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5.xml" ContentType="application/vnd.openxmlformats-officedocument.spreadsheetml.comments+xml"/>
  <Override PartName="/xl/drawings/drawing20.xml" ContentType="application/vnd.openxmlformats-officedocument.drawing+xml"/>
  <Override PartName="/xl/comments16.xml" ContentType="application/vnd.openxmlformats-officedocument.spreadsheetml.comments+xml"/>
  <Override PartName="/xl/drawings/drawing21.xml" ContentType="application/vnd.openxmlformats-officedocument.drawing+xml"/>
  <Override PartName="/xl/comments17.xml" ContentType="application/vnd.openxmlformats-officedocument.spreadsheetml.comments+xml"/>
  <Override PartName="/xl/drawings/drawing22.xml" ContentType="application/vnd.openxmlformats-officedocument.drawing+xml"/>
  <Override PartName="/xl/comments18.xml" ContentType="application/vnd.openxmlformats-officedocument.spreadsheetml.comments+xml"/>
  <Override PartName="/xl/drawings/drawing23.xml" ContentType="application/vnd.openxmlformats-officedocument.drawing+xml"/>
  <Override PartName="/xl/comments19.xml" ContentType="application/vnd.openxmlformats-officedocument.spreadsheetml.comments+xml"/>
  <Override PartName="/xl/drawings/drawing24.xml" ContentType="application/vnd.openxmlformats-officedocument.drawing+xml"/>
  <Override PartName="/xl/comments20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21.xml" ContentType="application/vnd.openxmlformats-officedocument.spreadsheetml.comments+xml"/>
  <Override PartName="/xl/drawings/drawing28.xml" ContentType="application/vnd.openxmlformats-officedocument.drawing+xml"/>
  <Override PartName="/xl/comments22.xml" ContentType="application/vnd.openxmlformats-officedocument.spreadsheetml.comments+xml"/>
  <Override PartName="/xl/drawings/drawing29.xml" ContentType="application/vnd.openxmlformats-officedocument.drawing+xml"/>
  <Override PartName="/xl/comments23.xml" ContentType="application/vnd.openxmlformats-officedocument.spreadsheetml.comments+xml"/>
  <Override PartName="/xl/drawings/drawing30.xml" ContentType="application/vnd.openxmlformats-officedocument.drawing+xml"/>
  <Override PartName="/xl/comments24.xml" ContentType="application/vnd.openxmlformats-officedocument.spreadsheetml.comments+xml"/>
  <Override PartName="/xl/drawings/drawing31.xml" ContentType="application/vnd.openxmlformats-officedocument.drawing+xml"/>
  <Override PartName="/xl/comments25.xml" ContentType="application/vnd.openxmlformats-officedocument.spreadsheetml.comments+xml"/>
  <Override PartName="/xl/drawings/drawing32.xml" ContentType="application/vnd.openxmlformats-officedocument.drawing+xml"/>
  <Override PartName="/xl/comments26.xml" ContentType="application/vnd.openxmlformats-officedocument.spreadsheetml.comments+xml"/>
  <Override PartName="/xl/drawings/drawing33.xml" ContentType="application/vnd.openxmlformats-officedocument.drawing+xml"/>
  <Override PartName="/xl/comments27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8.xml" ContentType="application/vnd.openxmlformats-officedocument.spreadsheetml.comments+xml"/>
  <Override PartName="/xl/drawings/drawing36.xml" ContentType="application/vnd.openxmlformats-officedocument.drawing+xml"/>
  <Override PartName="/xl/comments29.xml" ContentType="application/vnd.openxmlformats-officedocument.spreadsheetml.comments+xml"/>
  <Override PartName="/xl/drawings/drawing37.xml" ContentType="application/vnd.openxmlformats-officedocument.drawing+xml"/>
  <Override PartName="/xl/comments30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xWindow="0" yWindow="0" windowWidth="24000" windowHeight="9105" firstSheet="10" activeTab="21"/>
  </bookViews>
  <sheets>
    <sheet name="תקציב 2018" sheetId="45" r:id="rId1"/>
    <sheet name="תוכן ענינים" sheetId="46" r:id="rId2"/>
    <sheet name="מבוא" sheetId="39" r:id="rId3"/>
    <sheet name="תקציב 2017" sheetId="40" r:id="rId4"/>
    <sheet name="תקציב 2018 " sheetId="41" r:id="rId5"/>
    <sheet name="תקציב 2018 פרקים" sheetId="61" r:id="rId6"/>
    <sheet name="תקציב 2018  אגפים " sheetId="42" r:id="rId7"/>
    <sheet name="תקציב 2018  מקורות " sheetId="100" r:id="rId8"/>
    <sheet name="תקציב 2018 קרנות הרשות" sheetId="38" r:id="rId9"/>
    <sheet name="תקציב 2018 מקורות אחרים" sheetId="43" r:id="rId10"/>
    <sheet name="תרשים אגפים" sheetId="65" r:id="rId11"/>
    <sheet name="ריכוז אגפים" sheetId="12" r:id="rId12"/>
    <sheet name="תרשים פרקים" sheetId="98" r:id="rId13"/>
    <sheet name="ריכוז פרקים" sheetId="97" r:id="rId14"/>
    <sheet name="פרוט מקורות אחרים" sheetId="44" r:id="rId15"/>
    <sheet name="תרשים מקורות מימון" sheetId="66" r:id="rId16"/>
    <sheet name="תקציב 2018  הנדסה " sheetId="67" r:id="rId17"/>
    <sheet name="הנדסה " sheetId="25" r:id="rId18"/>
    <sheet name="הנדסה פרקים" sheetId="83" state="hidden" r:id="rId19"/>
    <sheet name="תקציב 2018 הח.לפיתוח  " sheetId="68" r:id="rId20"/>
    <sheet name="תקציב 2018 החב.לפיתוח " sheetId="99" r:id="rId21"/>
    <sheet name="החברה לפיתוח" sheetId="3" r:id="rId22"/>
    <sheet name="תקציב 2018 תבל" sheetId="69" r:id="rId23"/>
    <sheet name="החברה לפיתוח פרקים" sheetId="84" state="hidden" r:id="rId24"/>
    <sheet name="תבל  " sheetId="26" r:id="rId25"/>
    <sheet name="תבל   פרקים" sheetId="85" state="hidden" r:id="rId26"/>
    <sheet name="תקציב 2018 בטחון פיקוח " sheetId="71" r:id="rId27"/>
    <sheet name="ביטחון פיקוח וסדר ציבורי" sheetId="27" r:id="rId28"/>
    <sheet name="ביטחון פיקוח וסדר ציבורי פרקים" sheetId="86" state="hidden" r:id="rId29"/>
    <sheet name="תקציב 2018 חינוך " sheetId="72" r:id="rId30"/>
    <sheet name="חינוך" sheetId="28" r:id="rId31"/>
    <sheet name="חינוך פרקים" sheetId="87" state="hidden" r:id="rId32"/>
    <sheet name="תקציב 2018 תנוס" sheetId="74" r:id="rId33"/>
    <sheet name=" תנוס " sheetId="29" r:id="rId34"/>
    <sheet name=" תנוס פרקים" sheetId="88" state="hidden" r:id="rId35"/>
    <sheet name="תקציב 2018 שאיפה " sheetId="73" r:id="rId36"/>
    <sheet name="שאיפה " sheetId="30" r:id="rId37"/>
    <sheet name="שאיפה  פרקים" sheetId="89" state="hidden" r:id="rId38"/>
    <sheet name="תקציב 2018 רשות החופים" sheetId="75" r:id="rId39"/>
    <sheet name="רשות החופים" sheetId="32" r:id="rId40"/>
    <sheet name="רשות החופים פרקים" sheetId="90" state="hidden" r:id="rId41"/>
    <sheet name="תקציב 2018 איכות הסביבה" sheetId="76" r:id="rId42"/>
    <sheet name="איכות הסביבה" sheetId="31" r:id="rId43"/>
    <sheet name="איכות הסביבה פרקים" sheetId="91" state="hidden" r:id="rId44"/>
    <sheet name="תקציב 2018 הח. לתיירות  " sheetId="77" r:id="rId45"/>
    <sheet name="החברה לתיירות " sheetId="33" r:id="rId46"/>
    <sheet name="החברה לתיירות  פרקים" sheetId="92" state="hidden" r:id="rId47"/>
    <sheet name="תקציב 2018 מיחשוב" sheetId="78" r:id="rId48"/>
    <sheet name=" מחשוב  " sheetId="34" r:id="rId49"/>
    <sheet name=" מחשוב  פרקים" sheetId="93" state="hidden" r:id="rId50"/>
    <sheet name="תקציב 2018 נכסים  " sheetId="79" r:id="rId51"/>
    <sheet name="נכסים " sheetId="35" r:id="rId52"/>
    <sheet name="נכסים פרקים" sheetId="94" state="hidden" r:id="rId53"/>
    <sheet name="תקציב 2018 שיפוץ חזיתות" sheetId="80" r:id="rId54"/>
    <sheet name="שיפוצי בתים עמידר" sheetId="36" r:id="rId55"/>
    <sheet name="שיפוצי בתים עמידר פרקים" sheetId="95" state="hidden" r:id="rId56"/>
    <sheet name="תקציב 2018 כללי" sheetId="81" r:id="rId57"/>
    <sheet name="כללי  " sheetId="37" r:id="rId58"/>
    <sheet name="תקציב 2017 - ביצוע" sheetId="63" r:id="rId59"/>
    <sheet name="כללי פרקים" sheetId="96" state="hidden" r:id="rId60"/>
    <sheet name="ריכוז אגפים תוכנית 2017" sheetId="47" r:id="rId61"/>
    <sheet name="פרוט הנדסה 2017" sheetId="49" r:id="rId62"/>
    <sheet name="פרוט החב. לפיתוח 2017" sheetId="50" r:id="rId63"/>
    <sheet name="פרוט תבל 2017" sheetId="51" r:id="rId64"/>
    <sheet name="פרוט בטחון פיקוח  2017" sheetId="52" r:id="rId65"/>
    <sheet name="פרוט חינוך תנוס  2017" sheetId="53" r:id="rId66"/>
    <sheet name="פרוט שאיפה 2017" sheetId="54" r:id="rId67"/>
    <sheet name="פרוט הח. לתיירות" sheetId="55" r:id="rId68"/>
    <sheet name="פרוט מחשוב " sheetId="56" r:id="rId69"/>
    <sheet name="פרוט נכסים" sheetId="57" r:id="rId70"/>
    <sheet name="פרוט שיפוצי בתים עמידר " sheetId="58" r:id="rId71"/>
    <sheet name="פרוט כללי " sheetId="59" r:id="rId72"/>
    <sheet name="ריכוז תקציבים מעבר לתוכנית 2017" sheetId="62" r:id="rId73"/>
    <sheet name="פרויקטים החב. לפיתוח" sheetId="101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17" hidden="1">'הנדסה '!$A$4:$AME$4</definedName>
    <definedName name="_xlnm._FilterDatabase" localSheetId="18" hidden="1">'הנדסה פרקים'!$A$4:$AME$4</definedName>
    <definedName name="Print_Area_0" localSheetId="17">'הנדסה '!$A$1:$AE$104</definedName>
    <definedName name="Print_Area_0" localSheetId="18">'הנדסה פרקים'!$A$1:$AE$106</definedName>
    <definedName name="Print_Area_0_0" localSheetId="17">'הנדסה '!$A$1:$AE$104</definedName>
    <definedName name="Print_Area_0_0" localSheetId="18">'הנדסה פרקים'!$A$1:$AE$106</definedName>
    <definedName name="Print_Titles_0" localSheetId="17">'הנדסה '!$2:$4</definedName>
    <definedName name="Print_Titles_0" localSheetId="18">'הנדסה פרקים'!$2:$4</definedName>
    <definedName name="Print_Titles_0_0" localSheetId="17">'הנדסה '!$2:$4</definedName>
    <definedName name="Print_Titles_0_0" localSheetId="18">'הנדסה פרקים'!$2:$4</definedName>
    <definedName name="_xlnm.Print_Area" localSheetId="48">' מחשוב  '!$A$1:$Z$15</definedName>
    <definedName name="_xlnm.Print_Area" localSheetId="49">' מחשוב  פרקים'!$A$1:$Z$25</definedName>
    <definedName name="_xlnm.Print_Area" localSheetId="33">' תנוס '!$A$1:$Z$19</definedName>
    <definedName name="_xlnm.Print_Area" localSheetId="34">' תנוס פרקים'!$A$1:$Z$25</definedName>
    <definedName name="_xlnm.Print_Area" localSheetId="42">'איכות הסביבה'!$A$1:$Z$18</definedName>
    <definedName name="_xlnm.Print_Area" localSheetId="43">'איכות הסביבה פרקים'!$A$1:$Z$22</definedName>
    <definedName name="_xlnm.Print_Area" localSheetId="27">'ביטחון פיקוח וסדר ציבורי'!$A$1:$Z$12</definedName>
    <definedName name="_xlnm.Print_Area" localSheetId="28">'ביטחון פיקוח וסדר ציבורי פרקים'!$A$1:$Z$12</definedName>
    <definedName name="_xlnm.Print_Area" localSheetId="21">'החברה לפיתוח'!$A$1:$Z$120</definedName>
    <definedName name="_xlnm.Print_Area" localSheetId="23">'החברה לפיתוח פרקים'!$A$1:$Z$132</definedName>
    <definedName name="_xlnm.Print_Area" localSheetId="45">'החברה לתיירות '!$A$1:$Z$20</definedName>
    <definedName name="_xlnm.Print_Area" localSheetId="46">'החברה לתיירות  פרקים'!$A$1:$Z$24</definedName>
    <definedName name="_xlnm.Print_Area" localSheetId="17">'הנדסה '!$A$1:$Z$104</definedName>
    <definedName name="_xlnm.Print_Area" localSheetId="18">'הנדסה פרקים'!$A$1:$Z$106</definedName>
    <definedName name="_xlnm.Print_Area" localSheetId="30">חינוך!$A$1:$Z$26</definedName>
    <definedName name="_xlnm.Print_Area" localSheetId="31">'חינוך פרקים'!$A$1:$Z$26</definedName>
    <definedName name="_xlnm.Print_Area" localSheetId="57">'כללי  '!$A$1:$Z$15</definedName>
    <definedName name="_xlnm.Print_Area" localSheetId="59">'כללי פרקים'!$A$1:$Z$23</definedName>
    <definedName name="_xlnm.Print_Area" localSheetId="51">'נכסים '!$A$1:$Z$24</definedName>
    <definedName name="_xlnm.Print_Area" localSheetId="52">'נכסים פרקים'!$A$1:$Z$24</definedName>
    <definedName name="_xlnm.Print_Area" localSheetId="64">'פרוט בטחון פיקוח  2017'!$A$1:$BM$12</definedName>
    <definedName name="_xlnm.Print_Area" localSheetId="67">'פרוט הח. לתיירות'!$A$1:$BM$20</definedName>
    <definedName name="_xlnm.Print_Area" localSheetId="62">'פרוט החב. לפיתוח 2017'!$A$1:$BM$111</definedName>
    <definedName name="_xlnm.Print_Area" localSheetId="61">'פרוט הנדסה 2017'!$A$1:$BM$123</definedName>
    <definedName name="_xlnm.Print_Area" localSheetId="65">'פרוט חינוך תנוס  2017'!$A$1:$BM$46</definedName>
    <definedName name="_xlnm.Print_Area" localSheetId="71">'פרוט כללי '!$A$1:$BM$20</definedName>
    <definedName name="_xlnm.Print_Area" localSheetId="68">'פרוט מחשוב '!$A$1:$BM$18</definedName>
    <definedName name="_xlnm.Print_Area" localSheetId="14">'פרוט מקורות אחרים'!$A$1:$R$16</definedName>
    <definedName name="_xlnm.Print_Area" localSheetId="69">'פרוט נכסים'!$A$1:$BM$24</definedName>
    <definedName name="_xlnm.Print_Area" localSheetId="66">'פרוט שאיפה 2017'!$A$1:$BM$68</definedName>
    <definedName name="_xlnm.Print_Area" localSheetId="70">'פרוט שיפוצי בתים עמידר '!$A$1:$BM$10</definedName>
    <definedName name="_xlnm.Print_Area" localSheetId="63">'פרוט תבל 2017'!$A$1:$BM$82</definedName>
    <definedName name="_xlnm.Print_Area" localSheetId="73">'פרויקטים החב. לפיתוח'!$A$1:$C$40</definedName>
    <definedName name="_xlnm.Print_Area" localSheetId="11">'ריכוז אגפים'!$A$1:$X$19</definedName>
    <definedName name="_xlnm.Print_Area" localSheetId="60">'ריכוז אגפים תוכנית 2017'!$A$1:$AO$19</definedName>
    <definedName name="_xlnm.Print_Area" localSheetId="13">'ריכוז פרקים'!$A$1:$X$17</definedName>
    <definedName name="_xlnm.Print_Area" localSheetId="72">'ריכוז תקציבים מעבר לתוכנית 2017'!$C$1:$AM$103</definedName>
    <definedName name="_xlnm.Print_Area" localSheetId="39">'רשות החופים'!$A$1:$Z$39</definedName>
    <definedName name="_xlnm.Print_Area" localSheetId="40">'רשות החופים פרקים'!$A$1:$Z$39</definedName>
    <definedName name="_xlnm.Print_Area" localSheetId="36">'שאיפה '!$A$4:$Z$37</definedName>
    <definedName name="_xlnm.Print_Area" localSheetId="37">'שאיפה  פרקים'!$A$4:$Z$51</definedName>
    <definedName name="_xlnm.Print_Area" localSheetId="54">'שיפוצי בתים עמידר'!$A$1:$Z$10</definedName>
    <definedName name="_xlnm.Print_Area" localSheetId="55">'שיפוצי בתים עמידר פרקים'!$A$1:$Z$14</definedName>
    <definedName name="_xlnm.Print_Area" localSheetId="24">'תבל  '!$A$1:$Z$78</definedName>
    <definedName name="_xlnm.Print_Area" localSheetId="25">'תבל   פרקים'!$A$1:$Z$98</definedName>
    <definedName name="_xlnm.Print_Area" localSheetId="8">'תקציב 2018 קרנות הרשות'!$A$1:$H$21</definedName>
    <definedName name="_xlnm.Print_Titles" localSheetId="33">' תנוס '!$2:$4</definedName>
    <definedName name="_xlnm.Print_Titles" localSheetId="34">' תנוס פרקים'!$2:$4</definedName>
    <definedName name="_xlnm.Print_Titles" localSheetId="42">'איכות הסביבה'!$2:$4</definedName>
    <definedName name="_xlnm.Print_Titles" localSheetId="43">'איכות הסביבה פרקים'!$2:$4</definedName>
    <definedName name="_xlnm.Print_Titles" localSheetId="27">'ביטחון פיקוח וסדר ציבורי'!$2:$4</definedName>
    <definedName name="_xlnm.Print_Titles" localSheetId="28">'ביטחון פיקוח וסדר ציבורי פרקים'!$2:$4</definedName>
    <definedName name="_xlnm.Print_Titles" localSheetId="21">'החברה לפיתוח'!$2:$4</definedName>
    <definedName name="_xlnm.Print_Titles" localSheetId="23">'החברה לפיתוח פרקים'!$2:$4</definedName>
    <definedName name="_xlnm.Print_Titles" localSheetId="45">'החברה לתיירות '!$2:$4</definedName>
    <definedName name="_xlnm.Print_Titles" localSheetId="46">'החברה לתיירות  פרקים'!$2:$4</definedName>
    <definedName name="_xlnm.Print_Titles" localSheetId="17">'הנדסה '!$2:$4</definedName>
    <definedName name="_xlnm.Print_Titles" localSheetId="18">'הנדסה פרקים'!$2:$4</definedName>
    <definedName name="_xlnm.Print_Titles" localSheetId="30">חינוך!$3:$4</definedName>
    <definedName name="_xlnm.Print_Titles" localSheetId="31">'חינוך פרקים'!$3:$4</definedName>
    <definedName name="_xlnm.Print_Titles" localSheetId="57">'כללי  '!$2:$4</definedName>
    <definedName name="_xlnm.Print_Titles" localSheetId="59">'כללי פרקים'!$2:$4</definedName>
    <definedName name="_xlnm.Print_Titles" localSheetId="51">'נכסים '!$2:$4</definedName>
    <definedName name="_xlnm.Print_Titles" localSheetId="52">'נכסים פרקים'!$2:$4</definedName>
    <definedName name="_xlnm.Print_Titles" localSheetId="64">'פרוט בטחון פיקוח  2017'!$1:$4</definedName>
    <definedName name="_xlnm.Print_Titles" localSheetId="67">'פרוט הח. לתיירות'!$1:$4</definedName>
    <definedName name="_xlnm.Print_Titles" localSheetId="62">'פרוט החב. לפיתוח 2017'!$1:$4</definedName>
    <definedName name="_xlnm.Print_Titles" localSheetId="61">'פרוט הנדסה 2017'!$1:$4</definedName>
    <definedName name="_xlnm.Print_Titles" localSheetId="65">'פרוט חינוך תנוס  2017'!$1:$4</definedName>
    <definedName name="_xlnm.Print_Titles" localSheetId="71">'פרוט כללי '!$1:$4</definedName>
    <definedName name="_xlnm.Print_Titles" localSheetId="69">'פרוט נכסים'!$1:$4</definedName>
    <definedName name="_xlnm.Print_Titles" localSheetId="66">'פרוט שאיפה 2017'!$1:$4</definedName>
    <definedName name="_xlnm.Print_Titles" localSheetId="70">'פרוט שיפוצי בתים עמידר '!$1:$4</definedName>
    <definedName name="_xlnm.Print_Titles" localSheetId="63">'פרוט תבל 2017'!$1:$4</definedName>
    <definedName name="_xlnm.Print_Titles" localSheetId="11">'ריכוז אגפים'!$1:$4</definedName>
    <definedName name="_xlnm.Print_Titles" localSheetId="60">'ריכוז אגפים תוכנית 2017'!$1:$4</definedName>
    <definedName name="_xlnm.Print_Titles" localSheetId="13">'ריכוז פרקים'!$1:$4</definedName>
    <definedName name="_xlnm.Print_Titles" localSheetId="72">'ריכוז תקציבים מעבר לתוכנית 2017'!$1:$4</definedName>
    <definedName name="_xlnm.Print_Titles" localSheetId="39">'רשות החופים'!$2:$4</definedName>
    <definedName name="_xlnm.Print_Titles" localSheetId="40">'רשות החופים פרקים'!$2:$4</definedName>
    <definedName name="_xlnm.Print_Titles" localSheetId="36">'שאיפה '!$2:$4</definedName>
    <definedName name="_xlnm.Print_Titles" localSheetId="37">'שאיפה  פרקים'!$2:$4</definedName>
    <definedName name="_xlnm.Print_Titles" localSheetId="54">'שיפוצי בתים עמידר'!$2:$4</definedName>
    <definedName name="_xlnm.Print_Titles" localSheetId="55">'שיפוצי בתים עמידר פרקים'!$2:$4</definedName>
    <definedName name="_xlnm.Print_Titles" localSheetId="24">'תבל  '!$2:$4</definedName>
    <definedName name="_xlnm.Print_Titles" localSheetId="25">'תבל   פרקים'!$2:$4</definedName>
  </definedNames>
  <calcPr calcId="162913"/>
</workbook>
</file>

<file path=xl/calcChain.xml><?xml version="1.0" encoding="utf-8"?>
<calcChain xmlns="http://schemas.openxmlformats.org/spreadsheetml/2006/main">
  <c r="E13" i="38" l="1"/>
  <c r="O19" i="3" l="1"/>
  <c r="F10" i="78" l="1"/>
  <c r="F9" i="77"/>
  <c r="F9" i="76"/>
  <c r="F9" i="75"/>
  <c r="F9" i="73"/>
  <c r="H13" i="67"/>
  <c r="H12" i="67"/>
  <c r="H14" i="67"/>
  <c r="E27" i="99"/>
  <c r="E26" i="99"/>
  <c r="J11" i="100"/>
  <c r="V21" i="97" l="1"/>
  <c r="W21" i="97"/>
  <c r="C9" i="38"/>
  <c r="V23" i="12"/>
  <c r="W23" i="12"/>
  <c r="C19" i="38"/>
  <c r="C50" i="101" l="1"/>
  <c r="C51" i="101"/>
  <c r="C29" i="101"/>
  <c r="C9" i="101"/>
  <c r="C5" i="101"/>
  <c r="C60" i="101"/>
  <c r="C79" i="101"/>
  <c r="C16" i="101"/>
  <c r="C14" i="101"/>
  <c r="C30" i="101"/>
  <c r="C23" i="101"/>
  <c r="C91" i="101"/>
  <c r="C65" i="101"/>
  <c r="C35" i="101"/>
  <c r="C27" i="101"/>
  <c r="C7" i="101"/>
  <c r="C75" i="101"/>
  <c r="C19" i="101"/>
  <c r="C76" i="101"/>
  <c r="C21" i="101"/>
  <c r="C114" i="101" l="1"/>
  <c r="G13" i="100"/>
  <c r="F12" i="100"/>
  <c r="F11" i="100"/>
  <c r="F9" i="100"/>
  <c r="E17" i="76" l="1"/>
  <c r="E16" i="76"/>
  <c r="E15" i="76"/>
  <c r="E26" i="69" l="1"/>
  <c r="E25" i="69"/>
  <c r="E24" i="69"/>
  <c r="E23" i="69"/>
  <c r="E22" i="69"/>
  <c r="E21" i="69"/>
  <c r="E20" i="6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9" i="99"/>
  <c r="E8" i="99"/>
  <c r="D11" i="37" l="1"/>
  <c r="V11" i="37"/>
  <c r="M11" i="37"/>
  <c r="F11" i="44"/>
  <c r="Z13" i="31"/>
  <c r="D13" i="31"/>
  <c r="N13" i="31"/>
  <c r="BS64" i="54"/>
  <c r="H13" i="31"/>
  <c r="V31" i="30" l="1"/>
  <c r="V61" i="26" l="1"/>
  <c r="V72" i="26"/>
  <c r="V76" i="26"/>
  <c r="F17" i="61"/>
  <c r="F14" i="61"/>
  <c r="F13" i="61"/>
  <c r="F9" i="61"/>
  <c r="C5" i="97"/>
  <c r="C17" i="97" s="1"/>
  <c r="D5" i="97"/>
  <c r="E5" i="97"/>
  <c r="E17" i="97" s="1"/>
  <c r="F5" i="97"/>
  <c r="G5" i="97"/>
  <c r="H5" i="97"/>
  <c r="I5" i="97"/>
  <c r="I17" i="97" s="1"/>
  <c r="J5" i="97"/>
  <c r="K5" i="97"/>
  <c r="L5" i="97"/>
  <c r="M5" i="97"/>
  <c r="N5" i="97"/>
  <c r="O5" i="97"/>
  <c r="P5" i="97"/>
  <c r="P17" i="97" s="1"/>
  <c r="Q5" i="97"/>
  <c r="R5" i="97"/>
  <c r="S5" i="97"/>
  <c r="U5" i="97"/>
  <c r="V5" i="97"/>
  <c r="V17" i="97" s="1"/>
  <c r="W5" i="97"/>
  <c r="W17" i="97" s="1"/>
  <c r="X5" i="97"/>
  <c r="C6" i="97"/>
  <c r="D6" i="97"/>
  <c r="E6" i="97"/>
  <c r="F6" i="97"/>
  <c r="G6" i="97"/>
  <c r="H6" i="97"/>
  <c r="I6" i="97"/>
  <c r="J6" i="97"/>
  <c r="K6" i="97"/>
  <c r="L6" i="97"/>
  <c r="M6" i="97"/>
  <c r="N6" i="97"/>
  <c r="O6" i="97"/>
  <c r="P6" i="97"/>
  <c r="Q6" i="97"/>
  <c r="R6" i="97"/>
  <c r="S6" i="97"/>
  <c r="T6" i="97"/>
  <c r="U6" i="97"/>
  <c r="V6" i="97"/>
  <c r="W6" i="97"/>
  <c r="X6" i="97"/>
  <c r="C7" i="97"/>
  <c r="E7" i="97"/>
  <c r="F7" i="97"/>
  <c r="G7" i="97"/>
  <c r="G17" i="97" s="1"/>
  <c r="H7" i="97"/>
  <c r="H17" i="97" s="1"/>
  <c r="I7" i="97"/>
  <c r="J7" i="97"/>
  <c r="L7" i="97"/>
  <c r="N7" i="97"/>
  <c r="O7" i="97"/>
  <c r="P7" i="97"/>
  <c r="Q7" i="97"/>
  <c r="V7" i="97"/>
  <c r="W7" i="97"/>
  <c r="C8" i="97"/>
  <c r="D8" i="97"/>
  <c r="E8" i="97"/>
  <c r="F8" i="97"/>
  <c r="G8" i="97"/>
  <c r="H8" i="97"/>
  <c r="I8" i="97"/>
  <c r="J8" i="97"/>
  <c r="K8" i="97"/>
  <c r="L8" i="97"/>
  <c r="M8" i="97"/>
  <c r="N8" i="97"/>
  <c r="O8" i="97"/>
  <c r="P8" i="97"/>
  <c r="Q8" i="97"/>
  <c r="R8" i="97"/>
  <c r="S8" i="97"/>
  <c r="F12" i="61" s="1"/>
  <c r="T8" i="97"/>
  <c r="V8" i="97"/>
  <c r="W8" i="97"/>
  <c r="X8" i="97"/>
  <c r="C9" i="97"/>
  <c r="D9" i="97"/>
  <c r="E9" i="97"/>
  <c r="F9" i="97"/>
  <c r="G9" i="97"/>
  <c r="H9" i="97"/>
  <c r="I9" i="97"/>
  <c r="J9" i="97"/>
  <c r="K9" i="97"/>
  <c r="L9" i="97"/>
  <c r="M9" i="97"/>
  <c r="N9" i="97"/>
  <c r="O9" i="97"/>
  <c r="P9" i="97"/>
  <c r="Q9" i="97"/>
  <c r="R9" i="97"/>
  <c r="S9" i="97"/>
  <c r="F15" i="61" s="1"/>
  <c r="V9" i="97"/>
  <c r="W9" i="97"/>
  <c r="X9" i="97"/>
  <c r="C10" i="97"/>
  <c r="E10" i="97"/>
  <c r="F10" i="97"/>
  <c r="G10" i="97"/>
  <c r="H10" i="97"/>
  <c r="I10" i="97"/>
  <c r="J10" i="97"/>
  <c r="K10" i="97"/>
  <c r="L10" i="97"/>
  <c r="N10" i="97"/>
  <c r="O10" i="97"/>
  <c r="P10" i="97"/>
  <c r="Q10" i="97"/>
  <c r="R10" i="97"/>
  <c r="S10" i="97"/>
  <c r="V10" i="97"/>
  <c r="W10" i="97"/>
  <c r="X10" i="97"/>
  <c r="C11" i="97"/>
  <c r="D11" i="97"/>
  <c r="E11" i="97"/>
  <c r="F11" i="97"/>
  <c r="G11" i="97"/>
  <c r="H11" i="97"/>
  <c r="I11" i="97"/>
  <c r="J11" i="97"/>
  <c r="K11" i="97"/>
  <c r="L11" i="97"/>
  <c r="M11" i="97"/>
  <c r="N11" i="97"/>
  <c r="O11" i="97"/>
  <c r="P11" i="97"/>
  <c r="Q11" i="97"/>
  <c r="R11" i="97"/>
  <c r="S11" i="97"/>
  <c r="F16" i="61" s="1"/>
  <c r="T11" i="97"/>
  <c r="V11" i="97"/>
  <c r="W11" i="97"/>
  <c r="X11" i="97"/>
  <c r="C12" i="97"/>
  <c r="E12" i="97"/>
  <c r="G12" i="97"/>
  <c r="H12" i="97"/>
  <c r="I12" i="97"/>
  <c r="P12" i="97"/>
  <c r="V12" i="97"/>
  <c r="W12" i="97"/>
  <c r="C13" i="97"/>
  <c r="D13" i="97"/>
  <c r="E13" i="97"/>
  <c r="F13" i="97"/>
  <c r="G13" i="97"/>
  <c r="H13" i="97"/>
  <c r="I13" i="97"/>
  <c r="J13" i="97"/>
  <c r="K13" i="97"/>
  <c r="L13" i="97"/>
  <c r="M13" i="97"/>
  <c r="N13" i="97"/>
  <c r="O13" i="97"/>
  <c r="P13" i="97"/>
  <c r="Q13" i="97"/>
  <c r="R13" i="97"/>
  <c r="S13" i="97"/>
  <c r="V13" i="97"/>
  <c r="W13" i="97"/>
  <c r="X13" i="97"/>
  <c r="C14" i="97"/>
  <c r="D14" i="97"/>
  <c r="E14" i="97"/>
  <c r="F14" i="97"/>
  <c r="G14" i="97"/>
  <c r="H14" i="97"/>
  <c r="I14" i="97"/>
  <c r="J14" i="97"/>
  <c r="K14" i="97"/>
  <c r="L14" i="97"/>
  <c r="M14" i="97"/>
  <c r="N14" i="97"/>
  <c r="O14" i="97"/>
  <c r="P14" i="97"/>
  <c r="Q14" i="97"/>
  <c r="R14" i="97"/>
  <c r="S14" i="97"/>
  <c r="F11" i="61" s="1"/>
  <c r="T14" i="97"/>
  <c r="U14" i="97"/>
  <c r="V14" i="97"/>
  <c r="W14" i="97"/>
  <c r="X14" i="97"/>
  <c r="C15" i="97"/>
  <c r="D15" i="97"/>
  <c r="E15" i="97"/>
  <c r="F15" i="97"/>
  <c r="G15" i="97"/>
  <c r="H15" i="97"/>
  <c r="I15" i="97"/>
  <c r="J15" i="97"/>
  <c r="K15" i="97"/>
  <c r="L15" i="97"/>
  <c r="M15" i="97"/>
  <c r="N15" i="97"/>
  <c r="O15" i="97"/>
  <c r="P15" i="97"/>
  <c r="Q15" i="97"/>
  <c r="R15" i="97"/>
  <c r="S15" i="97"/>
  <c r="F10" i="61" s="1"/>
  <c r="T15" i="97"/>
  <c r="V15" i="97"/>
  <c r="W15" i="97"/>
  <c r="X15" i="97"/>
  <c r="C16" i="97"/>
  <c r="D16" i="97"/>
  <c r="E16" i="97"/>
  <c r="F16" i="97"/>
  <c r="G16" i="97"/>
  <c r="H16" i="97"/>
  <c r="I16" i="97"/>
  <c r="J16" i="97"/>
  <c r="K16" i="97"/>
  <c r="L16" i="97"/>
  <c r="M16" i="97"/>
  <c r="N16" i="97"/>
  <c r="O16" i="97"/>
  <c r="P16" i="97"/>
  <c r="Q16" i="97"/>
  <c r="R16" i="97"/>
  <c r="S16" i="97"/>
  <c r="T16" i="97"/>
  <c r="U16" i="97"/>
  <c r="V16" i="97"/>
  <c r="W16" i="97"/>
  <c r="X16" i="97"/>
  <c r="B15" i="97"/>
  <c r="B9" i="97"/>
  <c r="B16" i="97"/>
  <c r="B14" i="97"/>
  <c r="B13" i="97"/>
  <c r="B11" i="97"/>
  <c r="B8" i="97"/>
  <c r="B6" i="97"/>
  <c r="B5" i="97"/>
  <c r="E97" i="85" l="1"/>
  <c r="F97" i="85"/>
  <c r="G97" i="85"/>
  <c r="H97" i="85"/>
  <c r="I97" i="85"/>
  <c r="J97" i="85"/>
  <c r="K97" i="85"/>
  <c r="L97" i="85"/>
  <c r="M97" i="85"/>
  <c r="N97" i="85"/>
  <c r="O97" i="85"/>
  <c r="P97" i="85"/>
  <c r="Q97" i="85"/>
  <c r="R97" i="85"/>
  <c r="S97" i="85"/>
  <c r="T97" i="85"/>
  <c r="U97" i="85"/>
  <c r="X97" i="85"/>
  <c r="Y97" i="85"/>
  <c r="Z97" i="85"/>
  <c r="D97" i="85"/>
  <c r="E75" i="85"/>
  <c r="F75" i="85"/>
  <c r="G75" i="85"/>
  <c r="H75" i="85"/>
  <c r="I75" i="85"/>
  <c r="J75" i="85"/>
  <c r="K75" i="85"/>
  <c r="L75" i="85"/>
  <c r="M75" i="85"/>
  <c r="N75" i="85"/>
  <c r="O75" i="85"/>
  <c r="P75" i="85"/>
  <c r="Q75" i="85"/>
  <c r="R75" i="85"/>
  <c r="S75" i="85"/>
  <c r="T75" i="85"/>
  <c r="U75" i="85"/>
  <c r="X75" i="85"/>
  <c r="Y75" i="85"/>
  <c r="Z75" i="85"/>
  <c r="D75" i="85"/>
  <c r="E72" i="85"/>
  <c r="F72" i="85"/>
  <c r="G72" i="85"/>
  <c r="H72" i="85"/>
  <c r="I72" i="85"/>
  <c r="J72" i="85"/>
  <c r="K72" i="85"/>
  <c r="L72" i="85"/>
  <c r="M72" i="85"/>
  <c r="N72" i="85"/>
  <c r="O72" i="85"/>
  <c r="P72" i="85"/>
  <c r="Q72" i="85"/>
  <c r="R72" i="85"/>
  <c r="S72" i="85"/>
  <c r="T72" i="85"/>
  <c r="U72" i="85"/>
  <c r="V72" i="85"/>
  <c r="W72" i="85"/>
  <c r="X72" i="85"/>
  <c r="Y72" i="85"/>
  <c r="Z72" i="85"/>
  <c r="D72" i="85"/>
  <c r="V22" i="97"/>
  <c r="W22" i="97" l="1"/>
  <c r="E22" i="96" l="1"/>
  <c r="G22" i="96"/>
  <c r="H22" i="96"/>
  <c r="I22" i="96"/>
  <c r="J22" i="96"/>
  <c r="K22" i="96"/>
  <c r="L22" i="96"/>
  <c r="N22" i="96"/>
  <c r="P22" i="96"/>
  <c r="Q22" i="96"/>
  <c r="R22" i="96"/>
  <c r="S22" i="96"/>
  <c r="W22" i="96"/>
  <c r="X22" i="96"/>
  <c r="Y22" i="96"/>
  <c r="E20" i="96"/>
  <c r="F20" i="96"/>
  <c r="G20" i="96"/>
  <c r="H20" i="96"/>
  <c r="I20" i="96"/>
  <c r="J20" i="96"/>
  <c r="K20" i="96"/>
  <c r="L20" i="96"/>
  <c r="M20" i="96"/>
  <c r="N20" i="96"/>
  <c r="O20" i="96"/>
  <c r="P20" i="96"/>
  <c r="Q20" i="96"/>
  <c r="R20" i="96"/>
  <c r="S20" i="96"/>
  <c r="T20" i="96"/>
  <c r="U20" i="96"/>
  <c r="V20" i="96"/>
  <c r="W20" i="96"/>
  <c r="X20" i="96"/>
  <c r="Y20" i="96"/>
  <c r="Z20" i="96"/>
  <c r="D20" i="96"/>
  <c r="E17" i="96"/>
  <c r="F17" i="96"/>
  <c r="G17" i="96"/>
  <c r="H17" i="96"/>
  <c r="I17" i="96"/>
  <c r="J17" i="96"/>
  <c r="K17" i="96"/>
  <c r="L17" i="96"/>
  <c r="M17" i="96"/>
  <c r="N17" i="96"/>
  <c r="O17" i="96"/>
  <c r="P17" i="96"/>
  <c r="Q17" i="96"/>
  <c r="R17" i="96"/>
  <c r="S17" i="96"/>
  <c r="T17" i="96"/>
  <c r="U17" i="96"/>
  <c r="V17" i="96"/>
  <c r="W17" i="96"/>
  <c r="X17" i="96"/>
  <c r="Y17" i="96"/>
  <c r="Z17" i="96"/>
  <c r="D17" i="96"/>
  <c r="E13" i="96"/>
  <c r="G13" i="96"/>
  <c r="H13" i="96"/>
  <c r="I13" i="96"/>
  <c r="J13" i="96"/>
  <c r="K13" i="96"/>
  <c r="L13" i="96"/>
  <c r="N13" i="96"/>
  <c r="P13" i="96"/>
  <c r="Q13" i="96"/>
  <c r="R13" i="96"/>
  <c r="S13" i="96"/>
  <c r="W13" i="96"/>
  <c r="X13" i="96"/>
  <c r="Y13" i="96"/>
  <c r="E7" i="96"/>
  <c r="F7" i="96"/>
  <c r="G7" i="96"/>
  <c r="H7" i="96"/>
  <c r="I7" i="96"/>
  <c r="J7" i="96"/>
  <c r="K7" i="96"/>
  <c r="L7" i="96"/>
  <c r="M7" i="96"/>
  <c r="N7" i="96"/>
  <c r="O7" i="96"/>
  <c r="P7" i="96"/>
  <c r="Q7" i="96"/>
  <c r="R7" i="96"/>
  <c r="S7" i="96"/>
  <c r="T7" i="96"/>
  <c r="U7" i="96"/>
  <c r="V7" i="96"/>
  <c r="W7" i="96"/>
  <c r="X7" i="96"/>
  <c r="Y7" i="96"/>
  <c r="Z7" i="96"/>
  <c r="D7" i="96"/>
  <c r="E13" i="95"/>
  <c r="F13" i="95"/>
  <c r="G13" i="95"/>
  <c r="H13" i="95"/>
  <c r="I13" i="95"/>
  <c r="J13" i="95"/>
  <c r="K13" i="95"/>
  <c r="L13" i="95"/>
  <c r="M13" i="95"/>
  <c r="N13" i="95"/>
  <c r="O13" i="95"/>
  <c r="P13" i="95"/>
  <c r="Q13" i="95"/>
  <c r="R13" i="95"/>
  <c r="S13" i="95"/>
  <c r="T13" i="95"/>
  <c r="U13" i="95"/>
  <c r="V13" i="95"/>
  <c r="W13" i="95"/>
  <c r="X13" i="95"/>
  <c r="Y13" i="95"/>
  <c r="Z13" i="95"/>
  <c r="D13" i="95"/>
  <c r="E11" i="95"/>
  <c r="F11" i="95"/>
  <c r="G11" i="95"/>
  <c r="H11" i="95"/>
  <c r="I11" i="95"/>
  <c r="J11" i="95"/>
  <c r="K11" i="95"/>
  <c r="L11" i="95"/>
  <c r="M11" i="95"/>
  <c r="N11" i="95"/>
  <c r="O11" i="95"/>
  <c r="P11" i="95"/>
  <c r="Q11" i="95"/>
  <c r="R11" i="95"/>
  <c r="S11" i="95"/>
  <c r="T11" i="95"/>
  <c r="U11" i="95"/>
  <c r="V11" i="95"/>
  <c r="W11" i="95"/>
  <c r="X11" i="95"/>
  <c r="Y11" i="95"/>
  <c r="Z11" i="95"/>
  <c r="D11" i="95"/>
  <c r="E7" i="95"/>
  <c r="F7" i="95"/>
  <c r="G7" i="95"/>
  <c r="H7" i="95"/>
  <c r="I7" i="95"/>
  <c r="J7" i="95"/>
  <c r="K7" i="95"/>
  <c r="L7" i="95"/>
  <c r="M7" i="95"/>
  <c r="N7" i="95"/>
  <c r="O7" i="95"/>
  <c r="P7" i="95"/>
  <c r="Q7" i="95"/>
  <c r="R7" i="95"/>
  <c r="S7" i="95"/>
  <c r="T7" i="95"/>
  <c r="U7" i="95"/>
  <c r="V7" i="95"/>
  <c r="W7" i="95"/>
  <c r="X7" i="95"/>
  <c r="Y7" i="95"/>
  <c r="Z7" i="95"/>
  <c r="D7" i="95"/>
  <c r="E24" i="93"/>
  <c r="F24" i="93"/>
  <c r="G24" i="93"/>
  <c r="H24" i="93"/>
  <c r="I24" i="93"/>
  <c r="J24" i="93"/>
  <c r="K24" i="93"/>
  <c r="L24" i="93"/>
  <c r="M24" i="93"/>
  <c r="N24" i="93"/>
  <c r="O24" i="93"/>
  <c r="P24" i="93"/>
  <c r="Q24" i="93"/>
  <c r="R24" i="93"/>
  <c r="S24" i="93"/>
  <c r="T24" i="93"/>
  <c r="U24" i="93"/>
  <c r="X24" i="93"/>
  <c r="Y24" i="93"/>
  <c r="Z24" i="93"/>
  <c r="D24" i="93"/>
  <c r="E22" i="93"/>
  <c r="F22" i="93"/>
  <c r="G22" i="93"/>
  <c r="H22" i="93"/>
  <c r="I22" i="93"/>
  <c r="J22" i="93"/>
  <c r="K22" i="93"/>
  <c r="L22" i="93"/>
  <c r="M22" i="93"/>
  <c r="N22" i="93"/>
  <c r="O22" i="93"/>
  <c r="P22" i="93"/>
  <c r="Q22" i="93"/>
  <c r="R22" i="93"/>
  <c r="S22" i="93"/>
  <c r="T22" i="93"/>
  <c r="U22" i="93"/>
  <c r="W22" i="93"/>
  <c r="X22" i="93"/>
  <c r="Y22" i="93"/>
  <c r="Z22" i="93"/>
  <c r="D22" i="93"/>
  <c r="E18" i="93"/>
  <c r="F18" i="93"/>
  <c r="G18" i="93"/>
  <c r="H18" i="93"/>
  <c r="I18" i="93"/>
  <c r="J18" i="93"/>
  <c r="K18" i="93"/>
  <c r="L18" i="93"/>
  <c r="M18" i="93"/>
  <c r="N18" i="93"/>
  <c r="O18" i="93"/>
  <c r="P18" i="93"/>
  <c r="Q18" i="93"/>
  <c r="R18" i="93"/>
  <c r="S18" i="93"/>
  <c r="T18" i="93"/>
  <c r="U18" i="93"/>
  <c r="W18" i="93"/>
  <c r="X18" i="93"/>
  <c r="Y18" i="93"/>
  <c r="Z18" i="93"/>
  <c r="D18" i="93"/>
  <c r="E14" i="93"/>
  <c r="F14" i="93"/>
  <c r="G14" i="93"/>
  <c r="H14" i="93"/>
  <c r="I14" i="93"/>
  <c r="J14" i="93"/>
  <c r="K14" i="93"/>
  <c r="L14" i="93"/>
  <c r="M14" i="93"/>
  <c r="N14" i="93"/>
  <c r="O14" i="93"/>
  <c r="P14" i="93"/>
  <c r="Q14" i="93"/>
  <c r="R14" i="93"/>
  <c r="S14" i="93"/>
  <c r="T14" i="93"/>
  <c r="U14" i="93"/>
  <c r="W14" i="93"/>
  <c r="X14" i="93"/>
  <c r="Y14" i="93"/>
  <c r="Z14" i="93"/>
  <c r="D14" i="93"/>
  <c r="E10" i="93"/>
  <c r="F10" i="93"/>
  <c r="G10" i="93"/>
  <c r="H10" i="93"/>
  <c r="I10" i="93"/>
  <c r="J10" i="93"/>
  <c r="K10" i="93"/>
  <c r="L10" i="93"/>
  <c r="M10" i="93"/>
  <c r="N10" i="93"/>
  <c r="O10" i="93"/>
  <c r="P10" i="93"/>
  <c r="Q10" i="93"/>
  <c r="R10" i="93"/>
  <c r="S10" i="93"/>
  <c r="T10" i="93"/>
  <c r="U10" i="93"/>
  <c r="V10" i="93"/>
  <c r="X10" i="93"/>
  <c r="Y10" i="93"/>
  <c r="Z10" i="93"/>
  <c r="D10" i="93"/>
  <c r="E7" i="93"/>
  <c r="F7" i="93"/>
  <c r="G7" i="93"/>
  <c r="H7" i="93"/>
  <c r="I7" i="93"/>
  <c r="J7" i="93"/>
  <c r="K7" i="93"/>
  <c r="L7" i="93"/>
  <c r="M7" i="93"/>
  <c r="N7" i="93"/>
  <c r="O7" i="93"/>
  <c r="P7" i="93"/>
  <c r="Q7" i="93"/>
  <c r="R7" i="93"/>
  <c r="S7" i="93"/>
  <c r="T7" i="93"/>
  <c r="U7" i="93"/>
  <c r="W7" i="93"/>
  <c r="X7" i="93"/>
  <c r="Y7" i="93"/>
  <c r="Z7" i="93"/>
  <c r="D7" i="93"/>
  <c r="E23" i="92"/>
  <c r="F23" i="92"/>
  <c r="G23" i="92"/>
  <c r="H23" i="92"/>
  <c r="I23" i="92"/>
  <c r="J23" i="92"/>
  <c r="K23" i="92"/>
  <c r="L23" i="92"/>
  <c r="M23" i="92"/>
  <c r="N23" i="92"/>
  <c r="O23" i="92"/>
  <c r="P23" i="92"/>
  <c r="Q23" i="92"/>
  <c r="R23" i="92"/>
  <c r="S23" i="92"/>
  <c r="T23" i="92"/>
  <c r="U23" i="92"/>
  <c r="V23" i="92"/>
  <c r="W23" i="92"/>
  <c r="X23" i="92"/>
  <c r="Y23" i="92"/>
  <c r="Z23" i="92"/>
  <c r="D23" i="92"/>
  <c r="A14" i="92"/>
  <c r="A15" i="92"/>
  <c r="A16" i="92"/>
  <c r="A17" i="92"/>
  <c r="A18" i="92" s="1"/>
  <c r="A19" i="92" s="1"/>
  <c r="A20" i="92" s="1"/>
  <c r="E21" i="92"/>
  <c r="F21" i="92"/>
  <c r="G21" i="92"/>
  <c r="H21" i="92"/>
  <c r="I21" i="92"/>
  <c r="J21" i="92"/>
  <c r="K21" i="92"/>
  <c r="L21" i="92"/>
  <c r="M21" i="92"/>
  <c r="N21" i="92"/>
  <c r="O21" i="92"/>
  <c r="P21" i="92"/>
  <c r="Q21" i="92"/>
  <c r="R21" i="92"/>
  <c r="S21" i="92"/>
  <c r="T21" i="92"/>
  <c r="U21" i="92"/>
  <c r="V21" i="92"/>
  <c r="W21" i="92"/>
  <c r="X21" i="92"/>
  <c r="Y21" i="92"/>
  <c r="Z21" i="92"/>
  <c r="D21" i="92"/>
  <c r="E10" i="92"/>
  <c r="F10" i="92"/>
  <c r="G10" i="92"/>
  <c r="H10" i="92"/>
  <c r="I10" i="92"/>
  <c r="J10" i="92"/>
  <c r="K10" i="92"/>
  <c r="L10" i="92"/>
  <c r="M10" i="92"/>
  <c r="N10" i="92"/>
  <c r="O10" i="92"/>
  <c r="P10" i="92"/>
  <c r="Q10" i="92"/>
  <c r="R10" i="92"/>
  <c r="S10" i="92"/>
  <c r="T10" i="92"/>
  <c r="U10" i="92"/>
  <c r="V10" i="92"/>
  <c r="W10" i="92"/>
  <c r="X10" i="92"/>
  <c r="Y10" i="92"/>
  <c r="Z10" i="92"/>
  <c r="D10" i="92"/>
  <c r="E22" i="91"/>
  <c r="G22" i="91"/>
  <c r="I22" i="91"/>
  <c r="J22" i="91"/>
  <c r="K22" i="91"/>
  <c r="R22" i="91"/>
  <c r="V22" i="91"/>
  <c r="X22" i="91"/>
  <c r="Y22" i="91"/>
  <c r="E20" i="91"/>
  <c r="G20" i="91"/>
  <c r="I20" i="91"/>
  <c r="J20" i="91"/>
  <c r="K20" i="91"/>
  <c r="R20" i="91"/>
  <c r="V20" i="91"/>
  <c r="X20" i="91"/>
  <c r="Y20" i="91"/>
  <c r="E9" i="91"/>
  <c r="F9" i="91"/>
  <c r="G9" i="91"/>
  <c r="H9" i="91"/>
  <c r="I9" i="91"/>
  <c r="J9" i="91"/>
  <c r="K9" i="91"/>
  <c r="L9" i="91"/>
  <c r="M9" i="91"/>
  <c r="N9" i="91"/>
  <c r="O9" i="91"/>
  <c r="P9" i="91"/>
  <c r="Q9" i="91"/>
  <c r="R9" i="91"/>
  <c r="S9" i="91"/>
  <c r="T9" i="91"/>
  <c r="U9" i="91"/>
  <c r="V9" i="91"/>
  <c r="W9" i="91"/>
  <c r="X9" i="91"/>
  <c r="Y9" i="91"/>
  <c r="Z9" i="91"/>
  <c r="D9" i="91"/>
  <c r="A13" i="91"/>
  <c r="A14" i="91"/>
  <c r="A15" i="91" s="1"/>
  <c r="A16" i="91" s="1"/>
  <c r="A17" i="91" s="1"/>
  <c r="A18" i="91" s="1"/>
  <c r="A19" i="91" s="1"/>
  <c r="A33" i="89"/>
  <c r="A34" i="89"/>
  <c r="A12" i="89"/>
  <c r="A13" i="89"/>
  <c r="A14" i="89"/>
  <c r="A15" i="89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9" i="89"/>
  <c r="E50" i="89"/>
  <c r="F50" i="89"/>
  <c r="G50" i="89"/>
  <c r="H50" i="89"/>
  <c r="I50" i="89"/>
  <c r="J50" i="89"/>
  <c r="K50" i="89"/>
  <c r="L50" i="89"/>
  <c r="M50" i="89"/>
  <c r="N50" i="89"/>
  <c r="O50" i="89"/>
  <c r="P50" i="89"/>
  <c r="Q50" i="89"/>
  <c r="R50" i="89"/>
  <c r="S50" i="89"/>
  <c r="T50" i="89"/>
  <c r="U50" i="89"/>
  <c r="X50" i="89"/>
  <c r="Y50" i="89"/>
  <c r="Z50" i="89"/>
  <c r="D50" i="89"/>
  <c r="E48" i="89"/>
  <c r="F48" i="89"/>
  <c r="G48" i="89"/>
  <c r="H48" i="89"/>
  <c r="I48" i="89"/>
  <c r="J48" i="89"/>
  <c r="K48" i="89"/>
  <c r="L48" i="89"/>
  <c r="M48" i="89"/>
  <c r="N48" i="89"/>
  <c r="O48" i="89"/>
  <c r="P48" i="89"/>
  <c r="Q48" i="89"/>
  <c r="R48" i="89"/>
  <c r="S48" i="89"/>
  <c r="T48" i="89"/>
  <c r="U48" i="89"/>
  <c r="V48" i="89"/>
  <c r="W48" i="89"/>
  <c r="X48" i="89"/>
  <c r="Y48" i="89"/>
  <c r="Z48" i="89"/>
  <c r="D48" i="89"/>
  <c r="E45" i="89"/>
  <c r="F45" i="89"/>
  <c r="G45" i="89"/>
  <c r="H45" i="89"/>
  <c r="I45" i="89"/>
  <c r="J45" i="89"/>
  <c r="K45" i="89"/>
  <c r="L45" i="89"/>
  <c r="M45" i="89"/>
  <c r="N45" i="89"/>
  <c r="O45" i="89"/>
  <c r="P45" i="89"/>
  <c r="Q45" i="89"/>
  <c r="R45" i="89"/>
  <c r="S45" i="89"/>
  <c r="T45" i="89"/>
  <c r="U45" i="89"/>
  <c r="V45" i="89"/>
  <c r="W45" i="89"/>
  <c r="X45" i="89"/>
  <c r="Y45" i="89"/>
  <c r="Z45" i="89"/>
  <c r="D45" i="89"/>
  <c r="E41" i="89"/>
  <c r="F41" i="89"/>
  <c r="G41" i="89"/>
  <c r="H41" i="89"/>
  <c r="I41" i="89"/>
  <c r="J41" i="89"/>
  <c r="K41" i="89"/>
  <c r="L41" i="89"/>
  <c r="M41" i="89"/>
  <c r="N41" i="89"/>
  <c r="O41" i="89"/>
  <c r="P41" i="89"/>
  <c r="Q41" i="89"/>
  <c r="R41" i="89"/>
  <c r="S41" i="89"/>
  <c r="T41" i="89"/>
  <c r="U41" i="89"/>
  <c r="X41" i="89"/>
  <c r="Y41" i="89"/>
  <c r="Z41" i="89"/>
  <c r="D41" i="89"/>
  <c r="E38" i="89"/>
  <c r="F38" i="89"/>
  <c r="G38" i="89"/>
  <c r="H38" i="89"/>
  <c r="I38" i="89"/>
  <c r="J38" i="89"/>
  <c r="K38" i="89"/>
  <c r="L38" i="89"/>
  <c r="M38" i="89"/>
  <c r="N38" i="89"/>
  <c r="O38" i="89"/>
  <c r="P38" i="89"/>
  <c r="Q38" i="89"/>
  <c r="R38" i="89"/>
  <c r="S38" i="89"/>
  <c r="T38" i="89"/>
  <c r="U38" i="89"/>
  <c r="V38" i="89"/>
  <c r="W38" i="89"/>
  <c r="X38" i="89"/>
  <c r="Y38" i="89"/>
  <c r="Z38" i="89"/>
  <c r="D38" i="89"/>
  <c r="E35" i="89"/>
  <c r="F35" i="89"/>
  <c r="G35" i="89"/>
  <c r="H35" i="89"/>
  <c r="I35" i="89"/>
  <c r="J35" i="89"/>
  <c r="K35" i="89"/>
  <c r="L35" i="89"/>
  <c r="M35" i="89"/>
  <c r="N35" i="89"/>
  <c r="O35" i="89"/>
  <c r="P35" i="89"/>
  <c r="Q35" i="89"/>
  <c r="R35" i="89"/>
  <c r="S35" i="89"/>
  <c r="T35" i="89"/>
  <c r="U35" i="89"/>
  <c r="X35" i="89"/>
  <c r="Y35" i="89"/>
  <c r="Z35" i="89"/>
  <c r="D35" i="89"/>
  <c r="E29" i="89"/>
  <c r="F29" i="89"/>
  <c r="G29" i="89"/>
  <c r="H29" i="89"/>
  <c r="I29" i="89"/>
  <c r="J29" i="89"/>
  <c r="K29" i="89"/>
  <c r="L29" i="89"/>
  <c r="M29" i="89"/>
  <c r="N29" i="89"/>
  <c r="O29" i="89"/>
  <c r="P29" i="89"/>
  <c r="Q29" i="89"/>
  <c r="R29" i="89"/>
  <c r="S29" i="89"/>
  <c r="T29" i="89"/>
  <c r="U29" i="89"/>
  <c r="V29" i="89"/>
  <c r="W29" i="89"/>
  <c r="X29" i="89"/>
  <c r="Y29" i="89"/>
  <c r="Z29" i="89"/>
  <c r="D29" i="89"/>
  <c r="E7" i="89"/>
  <c r="F7" i="89"/>
  <c r="G7" i="89"/>
  <c r="H7" i="89"/>
  <c r="I7" i="89"/>
  <c r="J7" i="89"/>
  <c r="K7" i="89"/>
  <c r="L7" i="89"/>
  <c r="M7" i="89"/>
  <c r="N7" i="89"/>
  <c r="O7" i="89"/>
  <c r="P7" i="89"/>
  <c r="Q7" i="89"/>
  <c r="R7" i="89"/>
  <c r="S7" i="89"/>
  <c r="T7" i="89"/>
  <c r="U7" i="89"/>
  <c r="V7" i="89"/>
  <c r="W7" i="89"/>
  <c r="X7" i="89"/>
  <c r="Y7" i="89"/>
  <c r="Z7" i="89"/>
  <c r="D7" i="89"/>
  <c r="E24" i="88"/>
  <c r="F24" i="88"/>
  <c r="G24" i="88"/>
  <c r="H24" i="88"/>
  <c r="I24" i="88"/>
  <c r="J24" i="88"/>
  <c r="K24" i="88"/>
  <c r="L24" i="88"/>
  <c r="M24" i="88"/>
  <c r="N24" i="88"/>
  <c r="O24" i="88"/>
  <c r="P24" i="88"/>
  <c r="Q24" i="88"/>
  <c r="R24" i="88"/>
  <c r="S24" i="88"/>
  <c r="T24" i="88"/>
  <c r="U24" i="88"/>
  <c r="V24" i="88"/>
  <c r="X24" i="88"/>
  <c r="Y24" i="88"/>
  <c r="Z24" i="88"/>
  <c r="D24" i="88"/>
  <c r="A12" i="88"/>
  <c r="A13" i="88" s="1"/>
  <c r="A14" i="88" s="1"/>
  <c r="A15" i="88" s="1"/>
  <c r="A16" i="88" s="1"/>
  <c r="A17" i="88" s="1"/>
  <c r="A18" i="88" s="1"/>
  <c r="A10" i="88"/>
  <c r="E22" i="88"/>
  <c r="F22" i="88"/>
  <c r="G22" i="88"/>
  <c r="H22" i="88"/>
  <c r="I22" i="88"/>
  <c r="J22" i="88"/>
  <c r="K22" i="88"/>
  <c r="L22" i="88"/>
  <c r="M22" i="88"/>
  <c r="N22" i="88"/>
  <c r="O22" i="88"/>
  <c r="P22" i="88"/>
  <c r="Q22" i="88"/>
  <c r="R22" i="88"/>
  <c r="S22" i="88"/>
  <c r="T22" i="88"/>
  <c r="U22" i="88"/>
  <c r="V22" i="88"/>
  <c r="X22" i="88"/>
  <c r="Y22" i="88"/>
  <c r="Z22" i="88"/>
  <c r="D22" i="88"/>
  <c r="E19" i="88"/>
  <c r="F19" i="88"/>
  <c r="G19" i="88"/>
  <c r="H19" i="88"/>
  <c r="I19" i="88"/>
  <c r="J19" i="88"/>
  <c r="K19" i="88"/>
  <c r="L19" i="88"/>
  <c r="M19" i="88"/>
  <c r="N19" i="88"/>
  <c r="O19" i="88"/>
  <c r="P19" i="88"/>
  <c r="Q19" i="88"/>
  <c r="R19" i="88"/>
  <c r="S19" i="88"/>
  <c r="T19" i="88"/>
  <c r="U19" i="88"/>
  <c r="V19" i="88"/>
  <c r="X19" i="88"/>
  <c r="Y19" i="88"/>
  <c r="Z19" i="88"/>
  <c r="D19" i="88"/>
  <c r="E8" i="88"/>
  <c r="F8" i="88"/>
  <c r="G8" i="88"/>
  <c r="H8" i="88"/>
  <c r="I8" i="88"/>
  <c r="J8" i="88"/>
  <c r="K8" i="88"/>
  <c r="L8" i="88"/>
  <c r="M8" i="88"/>
  <c r="N8" i="88"/>
  <c r="O8" i="88"/>
  <c r="P8" i="88"/>
  <c r="Q8" i="88"/>
  <c r="R8" i="88"/>
  <c r="S8" i="88"/>
  <c r="T8" i="88"/>
  <c r="U8" i="88"/>
  <c r="V8" i="88"/>
  <c r="X8" i="88"/>
  <c r="Y8" i="88"/>
  <c r="Z8" i="88"/>
  <c r="D8" i="88"/>
  <c r="Z65" i="26"/>
  <c r="A14" i="85"/>
  <c r="A15" i="85" s="1"/>
  <c r="A16" i="85" s="1"/>
  <c r="A17" i="85" s="1"/>
  <c r="A18" i="85" s="1"/>
  <c r="A19" i="85" s="1"/>
  <c r="A20" i="85" s="1"/>
  <c r="A21" i="85" s="1"/>
  <c r="A12" i="85"/>
  <c r="A9" i="85"/>
  <c r="A131" i="84"/>
  <c r="A98" i="84"/>
  <c r="A99" i="84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96" i="84"/>
  <c r="A74" i="84"/>
  <c r="A75" i="84"/>
  <c r="A76" i="84"/>
  <c r="A77" i="84"/>
  <c r="A78" i="84" s="1"/>
  <c r="A79" i="84" s="1"/>
  <c r="A80" i="84" s="1"/>
  <c r="A81" i="84" s="1"/>
  <c r="A82" i="84" s="1"/>
  <c r="A83" i="84" s="1"/>
  <c r="A84" i="84" s="1"/>
  <c r="A85" i="84" s="1"/>
  <c r="A86" i="84" s="1"/>
  <c r="A87" i="84" s="1"/>
  <c r="A88" i="84" s="1"/>
  <c r="A89" i="84" s="1"/>
  <c r="A90" i="84" s="1"/>
  <c r="A91" i="84" s="1"/>
  <c r="A92" i="84" s="1"/>
  <c r="A93" i="84" s="1"/>
  <c r="A21" i="84"/>
  <c r="A22" i="84"/>
  <c r="A23" i="84"/>
  <c r="A24" i="84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11" i="84"/>
  <c r="A12" i="84"/>
  <c r="A13" i="84" s="1"/>
  <c r="A14" i="84" s="1"/>
  <c r="A15" i="84" s="1"/>
  <c r="A16" i="84" s="1"/>
  <c r="E131" i="84"/>
  <c r="F131" i="84"/>
  <c r="G131" i="84"/>
  <c r="H131" i="84"/>
  <c r="I131" i="84"/>
  <c r="J131" i="84"/>
  <c r="K131" i="84"/>
  <c r="L131" i="84"/>
  <c r="M131" i="84"/>
  <c r="N131" i="84"/>
  <c r="O131" i="84"/>
  <c r="P131" i="84"/>
  <c r="Q131" i="84"/>
  <c r="R131" i="84"/>
  <c r="S131" i="84"/>
  <c r="T131" i="84"/>
  <c r="U131" i="84"/>
  <c r="V131" i="84"/>
  <c r="W131" i="84"/>
  <c r="X131" i="84"/>
  <c r="Y131" i="84"/>
  <c r="Z131" i="84"/>
  <c r="D131" i="84"/>
  <c r="E9" i="96" l="1"/>
  <c r="F9" i="96"/>
  <c r="G9" i="96"/>
  <c r="H9" i="96"/>
  <c r="I9" i="96"/>
  <c r="J9" i="96"/>
  <c r="K9" i="96"/>
  <c r="L9" i="96"/>
  <c r="M9" i="96"/>
  <c r="N9" i="96"/>
  <c r="O9" i="96"/>
  <c r="P9" i="96"/>
  <c r="Q9" i="96"/>
  <c r="R9" i="96"/>
  <c r="S9" i="96"/>
  <c r="T9" i="96"/>
  <c r="U9" i="96"/>
  <c r="V9" i="96"/>
  <c r="W9" i="96"/>
  <c r="X9" i="96"/>
  <c r="Y9" i="96"/>
  <c r="Z9" i="96"/>
  <c r="AA9" i="96"/>
  <c r="E15" i="96"/>
  <c r="F15" i="96"/>
  <c r="G15" i="96"/>
  <c r="H15" i="96"/>
  <c r="I15" i="96"/>
  <c r="J15" i="96"/>
  <c r="K15" i="96"/>
  <c r="L15" i="96"/>
  <c r="M15" i="96"/>
  <c r="N15" i="96"/>
  <c r="O15" i="96"/>
  <c r="P15" i="96"/>
  <c r="Q15" i="96"/>
  <c r="R15" i="96"/>
  <c r="S15" i="96"/>
  <c r="T15" i="96"/>
  <c r="U15" i="96"/>
  <c r="V15" i="96"/>
  <c r="W15" i="96"/>
  <c r="X15" i="96"/>
  <c r="Y15" i="96"/>
  <c r="Z15" i="96"/>
  <c r="AA15" i="96"/>
  <c r="E16" i="96"/>
  <c r="F16" i="96"/>
  <c r="G16" i="96"/>
  <c r="H16" i="96"/>
  <c r="I16" i="96"/>
  <c r="J16" i="96"/>
  <c r="K16" i="96"/>
  <c r="L16" i="96"/>
  <c r="M16" i="96"/>
  <c r="N16" i="96"/>
  <c r="O16" i="96"/>
  <c r="P16" i="96"/>
  <c r="Q16" i="96"/>
  <c r="R16" i="96"/>
  <c r="S16" i="96"/>
  <c r="T16" i="96"/>
  <c r="U16" i="96"/>
  <c r="V16" i="96"/>
  <c r="W16" i="96"/>
  <c r="X16" i="96"/>
  <c r="Y16" i="96"/>
  <c r="Z16" i="96"/>
  <c r="AA16" i="96"/>
  <c r="E6" i="96"/>
  <c r="F6" i="96"/>
  <c r="G6" i="96"/>
  <c r="H6" i="96"/>
  <c r="I6" i="96"/>
  <c r="J6" i="96"/>
  <c r="K6" i="96"/>
  <c r="L6" i="96"/>
  <c r="M6" i="96"/>
  <c r="N6" i="96"/>
  <c r="O6" i="96"/>
  <c r="P6" i="96"/>
  <c r="Q6" i="96"/>
  <c r="R6" i="96"/>
  <c r="S6" i="96"/>
  <c r="T6" i="96"/>
  <c r="U6" i="96"/>
  <c r="V6" i="96"/>
  <c r="W6" i="96"/>
  <c r="X6" i="96"/>
  <c r="Y6" i="96"/>
  <c r="Z6" i="96"/>
  <c r="AA6" i="96"/>
  <c r="E19" i="96"/>
  <c r="F19" i="96"/>
  <c r="G19" i="96"/>
  <c r="H19" i="96"/>
  <c r="I19" i="96"/>
  <c r="J19" i="96"/>
  <c r="K19" i="96"/>
  <c r="L19" i="96"/>
  <c r="M19" i="96"/>
  <c r="N19" i="96"/>
  <c r="O19" i="96"/>
  <c r="P19" i="96"/>
  <c r="Q19" i="96"/>
  <c r="R19" i="96"/>
  <c r="S19" i="96"/>
  <c r="T19" i="96"/>
  <c r="U19" i="96"/>
  <c r="V19" i="96"/>
  <c r="W19" i="96"/>
  <c r="X19" i="96"/>
  <c r="Y19" i="96"/>
  <c r="Z19" i="96"/>
  <c r="AA19" i="96"/>
  <c r="E10" i="96"/>
  <c r="G10" i="96"/>
  <c r="H10" i="96"/>
  <c r="I10" i="96"/>
  <c r="J10" i="96"/>
  <c r="K10" i="96"/>
  <c r="L10" i="96"/>
  <c r="M10" i="96"/>
  <c r="M13" i="96" s="1"/>
  <c r="N10" i="96"/>
  <c r="P10" i="96"/>
  <c r="Q10" i="96"/>
  <c r="R10" i="96"/>
  <c r="S10" i="96"/>
  <c r="V10" i="96"/>
  <c r="V13" i="96" s="1"/>
  <c r="W10" i="96"/>
  <c r="X10" i="96"/>
  <c r="Y10" i="96"/>
  <c r="AA10" i="96"/>
  <c r="E11" i="96"/>
  <c r="F11" i="96"/>
  <c r="G11" i="96"/>
  <c r="H11" i="96"/>
  <c r="I11" i="96"/>
  <c r="J11" i="96"/>
  <c r="K11" i="96"/>
  <c r="L11" i="96"/>
  <c r="M11" i="96"/>
  <c r="N11" i="96"/>
  <c r="O11" i="96"/>
  <c r="P11" i="96"/>
  <c r="Q11" i="96"/>
  <c r="R11" i="96"/>
  <c r="S11" i="96"/>
  <c r="T11" i="96"/>
  <c r="U11" i="96"/>
  <c r="V11" i="96"/>
  <c r="W11" i="96"/>
  <c r="X11" i="96"/>
  <c r="Y11" i="96"/>
  <c r="Z11" i="96"/>
  <c r="AA11" i="96"/>
  <c r="E12" i="96"/>
  <c r="F12" i="96"/>
  <c r="G12" i="96"/>
  <c r="H12" i="96"/>
  <c r="I12" i="96"/>
  <c r="J12" i="96"/>
  <c r="K12" i="96"/>
  <c r="L12" i="96"/>
  <c r="M12" i="96"/>
  <c r="N12" i="96"/>
  <c r="O12" i="96"/>
  <c r="P12" i="96"/>
  <c r="Q12" i="96"/>
  <c r="R12" i="96"/>
  <c r="S12" i="96"/>
  <c r="T12" i="96"/>
  <c r="U12" i="96"/>
  <c r="V12" i="96"/>
  <c r="W12" i="96"/>
  <c r="X12" i="96"/>
  <c r="Y12" i="96"/>
  <c r="Z12" i="96"/>
  <c r="AA12" i="96"/>
  <c r="D15" i="96"/>
  <c r="D16" i="96"/>
  <c r="D6" i="96"/>
  <c r="D19" i="96"/>
  <c r="D10" i="96"/>
  <c r="D13" i="96" s="1"/>
  <c r="D11" i="96"/>
  <c r="D12" i="96"/>
  <c r="D9" i="96"/>
  <c r="Q26" i="96"/>
  <c r="Q27" i="96" s="1"/>
  <c r="T23" i="96"/>
  <c r="U23" i="96" s="1"/>
  <c r="O23" i="96"/>
  <c r="U5" i="96"/>
  <c r="O5" i="96"/>
  <c r="E6" i="95"/>
  <c r="F6" i="95"/>
  <c r="G6" i="95"/>
  <c r="H6" i="95"/>
  <c r="I6" i="95"/>
  <c r="J6" i="95"/>
  <c r="K6" i="95"/>
  <c r="L6" i="95"/>
  <c r="M6" i="95"/>
  <c r="N6" i="95"/>
  <c r="O6" i="95"/>
  <c r="P6" i="95"/>
  <c r="Q6" i="95"/>
  <c r="R6" i="95"/>
  <c r="S6" i="95"/>
  <c r="T6" i="95"/>
  <c r="U6" i="95"/>
  <c r="V6" i="95"/>
  <c r="W6" i="95"/>
  <c r="X6" i="95"/>
  <c r="Y6" i="95"/>
  <c r="Z6" i="95"/>
  <c r="AA6" i="95"/>
  <c r="E9" i="95"/>
  <c r="F9" i="95"/>
  <c r="G9" i="95"/>
  <c r="H9" i="95"/>
  <c r="I9" i="95"/>
  <c r="J9" i="95"/>
  <c r="K9" i="95"/>
  <c r="L9" i="95"/>
  <c r="M9" i="95"/>
  <c r="N9" i="95"/>
  <c r="O9" i="95"/>
  <c r="P9" i="95"/>
  <c r="Q9" i="95"/>
  <c r="R9" i="95"/>
  <c r="S9" i="95"/>
  <c r="T9" i="95"/>
  <c r="U9" i="95"/>
  <c r="V9" i="95"/>
  <c r="W9" i="95"/>
  <c r="X9" i="95"/>
  <c r="Y9" i="95"/>
  <c r="Z9" i="95"/>
  <c r="AA9" i="95"/>
  <c r="E10" i="95"/>
  <c r="F10" i="95"/>
  <c r="G10" i="95"/>
  <c r="H10" i="95"/>
  <c r="I10" i="95"/>
  <c r="J10" i="95"/>
  <c r="K10" i="95"/>
  <c r="L10" i="95"/>
  <c r="M10" i="95"/>
  <c r="N10" i="95"/>
  <c r="O10" i="95"/>
  <c r="P10" i="95"/>
  <c r="Q10" i="95"/>
  <c r="R10" i="95"/>
  <c r="S10" i="95"/>
  <c r="T10" i="95"/>
  <c r="U10" i="95"/>
  <c r="V10" i="95"/>
  <c r="W10" i="95"/>
  <c r="X10" i="95"/>
  <c r="Y10" i="95"/>
  <c r="Z10" i="95"/>
  <c r="AA10" i="95"/>
  <c r="D9" i="95"/>
  <c r="D10" i="95"/>
  <c r="D6" i="95"/>
  <c r="Q20" i="95"/>
  <c r="Q19" i="95"/>
  <c r="Q21" i="95" s="1"/>
  <c r="Q17" i="95"/>
  <c r="T14" i="95"/>
  <c r="U14" i="95" s="1"/>
  <c r="O14" i="95"/>
  <c r="A13" i="95"/>
  <c r="A9" i="95"/>
  <c r="E6" i="94"/>
  <c r="F6" i="94"/>
  <c r="G6" i="94"/>
  <c r="H6" i="94"/>
  <c r="H23" i="94" s="1"/>
  <c r="I6" i="94"/>
  <c r="J6" i="94"/>
  <c r="K6" i="94"/>
  <c r="L6" i="94"/>
  <c r="M6" i="94"/>
  <c r="N6" i="94"/>
  <c r="O6" i="94"/>
  <c r="P6" i="94"/>
  <c r="Q6" i="94"/>
  <c r="R6" i="94"/>
  <c r="R23" i="94" s="1"/>
  <c r="S6" i="94"/>
  <c r="T6" i="94"/>
  <c r="U6" i="94"/>
  <c r="V6" i="94"/>
  <c r="W6" i="94"/>
  <c r="X6" i="94"/>
  <c r="X23" i="94" s="1"/>
  <c r="Y6" i="94"/>
  <c r="Z6" i="94"/>
  <c r="Z23" i="94" s="1"/>
  <c r="AA6" i="94"/>
  <c r="E7" i="94"/>
  <c r="F7" i="94"/>
  <c r="G7" i="94"/>
  <c r="H7" i="94"/>
  <c r="I7" i="94"/>
  <c r="I23" i="94" s="1"/>
  <c r="J7" i="94"/>
  <c r="K7" i="94"/>
  <c r="L7" i="94"/>
  <c r="M7" i="94"/>
  <c r="N7" i="94"/>
  <c r="O7" i="94"/>
  <c r="P7" i="94"/>
  <c r="Q7" i="94"/>
  <c r="Q23" i="94" s="1"/>
  <c r="R7" i="94"/>
  <c r="S7" i="94"/>
  <c r="T7" i="94"/>
  <c r="U7" i="94"/>
  <c r="V7" i="94"/>
  <c r="W7" i="94"/>
  <c r="X7" i="94"/>
  <c r="Y7" i="94"/>
  <c r="Y23" i="94" s="1"/>
  <c r="Z7" i="94"/>
  <c r="AA7" i="94"/>
  <c r="E8" i="94"/>
  <c r="F8" i="94"/>
  <c r="G8" i="94"/>
  <c r="H8" i="94"/>
  <c r="I8" i="94"/>
  <c r="J8" i="94"/>
  <c r="K8" i="94"/>
  <c r="L8" i="94"/>
  <c r="M8" i="94"/>
  <c r="N8" i="94"/>
  <c r="N23" i="94" s="1"/>
  <c r="O8" i="94"/>
  <c r="P8" i="94"/>
  <c r="Q8" i="94"/>
  <c r="R8" i="94"/>
  <c r="S8" i="94"/>
  <c r="T8" i="94"/>
  <c r="U8" i="94"/>
  <c r="V8" i="94"/>
  <c r="W8" i="94"/>
  <c r="X8" i="94"/>
  <c r="Y8" i="94"/>
  <c r="Z8" i="94"/>
  <c r="AA8" i="94"/>
  <c r="E9" i="94"/>
  <c r="F9" i="94"/>
  <c r="G9" i="94"/>
  <c r="G23" i="94" s="1"/>
  <c r="H9" i="94"/>
  <c r="I9" i="94"/>
  <c r="J9" i="94"/>
  <c r="K9" i="94"/>
  <c r="L9" i="94"/>
  <c r="M9" i="94"/>
  <c r="N9" i="94"/>
  <c r="O9" i="94"/>
  <c r="P9" i="94"/>
  <c r="Q9" i="94"/>
  <c r="R9" i="94"/>
  <c r="S9" i="94"/>
  <c r="T9" i="94"/>
  <c r="U9" i="94"/>
  <c r="V9" i="94"/>
  <c r="W9" i="94"/>
  <c r="X9" i="94"/>
  <c r="Y9" i="94"/>
  <c r="Z9" i="94"/>
  <c r="AA9" i="94"/>
  <c r="E10" i="94"/>
  <c r="F10" i="94"/>
  <c r="G10" i="94"/>
  <c r="H10" i="94"/>
  <c r="I10" i="94"/>
  <c r="J10" i="94"/>
  <c r="K10" i="94"/>
  <c r="L10" i="94"/>
  <c r="M10" i="94"/>
  <c r="N10" i="94"/>
  <c r="O10" i="94"/>
  <c r="P10" i="94"/>
  <c r="Q10" i="94"/>
  <c r="R10" i="94"/>
  <c r="S10" i="94"/>
  <c r="T10" i="94"/>
  <c r="U10" i="94"/>
  <c r="V10" i="94"/>
  <c r="W10" i="94"/>
  <c r="X10" i="94"/>
  <c r="Y10" i="94"/>
  <c r="Z10" i="94"/>
  <c r="AA10" i="94"/>
  <c r="E11" i="94"/>
  <c r="F11" i="94"/>
  <c r="G11" i="94"/>
  <c r="H11" i="94"/>
  <c r="I11" i="94"/>
  <c r="J11" i="94"/>
  <c r="K11" i="94"/>
  <c r="L11" i="94"/>
  <c r="M11" i="94"/>
  <c r="N11" i="94"/>
  <c r="O11" i="94"/>
  <c r="P11" i="94"/>
  <c r="Q11" i="94"/>
  <c r="R11" i="94"/>
  <c r="S11" i="94"/>
  <c r="T11" i="94"/>
  <c r="U11" i="94"/>
  <c r="V11" i="94"/>
  <c r="W11" i="94"/>
  <c r="X11" i="94"/>
  <c r="Y11" i="94"/>
  <c r="Z11" i="94"/>
  <c r="AA11" i="94"/>
  <c r="E12" i="94"/>
  <c r="F12" i="94"/>
  <c r="G12" i="94"/>
  <c r="H12" i="94"/>
  <c r="I12" i="94"/>
  <c r="J12" i="94"/>
  <c r="K12" i="94"/>
  <c r="L12" i="94"/>
  <c r="M12" i="94"/>
  <c r="N12" i="94"/>
  <c r="O12" i="94"/>
  <c r="P12" i="94"/>
  <c r="Q12" i="94"/>
  <c r="R12" i="94"/>
  <c r="S12" i="94"/>
  <c r="T12" i="94"/>
  <c r="U12" i="94"/>
  <c r="V12" i="94"/>
  <c r="W12" i="94"/>
  <c r="X12" i="94"/>
  <c r="Y12" i="94"/>
  <c r="Z12" i="94"/>
  <c r="AA12" i="94"/>
  <c r="E13" i="94"/>
  <c r="F13" i="94"/>
  <c r="G13" i="94"/>
  <c r="H13" i="94"/>
  <c r="I13" i="94"/>
  <c r="J13" i="94"/>
  <c r="K13" i="94"/>
  <c r="L13" i="94"/>
  <c r="M13" i="94"/>
  <c r="N13" i="94"/>
  <c r="O13" i="94"/>
  <c r="P13" i="94"/>
  <c r="Q13" i="94"/>
  <c r="R13" i="94"/>
  <c r="S13" i="94"/>
  <c r="T13" i="94"/>
  <c r="U13" i="94"/>
  <c r="V13" i="94"/>
  <c r="W13" i="94"/>
  <c r="X13" i="94"/>
  <c r="Y13" i="94"/>
  <c r="Z13" i="94"/>
  <c r="AA13" i="94"/>
  <c r="E14" i="94"/>
  <c r="F14" i="94"/>
  <c r="G14" i="94"/>
  <c r="H14" i="94"/>
  <c r="I14" i="94"/>
  <c r="J14" i="94"/>
  <c r="K14" i="94"/>
  <c r="L14" i="94"/>
  <c r="M14" i="94"/>
  <c r="N14" i="94"/>
  <c r="O14" i="94"/>
  <c r="P14" i="94"/>
  <c r="Q14" i="94"/>
  <c r="R14" i="94"/>
  <c r="S14" i="94"/>
  <c r="T14" i="94"/>
  <c r="U14" i="94"/>
  <c r="V14" i="94"/>
  <c r="W14" i="94"/>
  <c r="X14" i="94"/>
  <c r="Y14" i="94"/>
  <c r="Z14" i="94"/>
  <c r="AA14" i="94"/>
  <c r="E15" i="94"/>
  <c r="F15" i="94"/>
  <c r="G15" i="94"/>
  <c r="H15" i="94"/>
  <c r="I15" i="94"/>
  <c r="J15" i="94"/>
  <c r="K15" i="94"/>
  <c r="L15" i="94"/>
  <c r="M15" i="94"/>
  <c r="N15" i="94"/>
  <c r="O15" i="94"/>
  <c r="P15" i="94"/>
  <c r="Q15" i="94"/>
  <c r="R15" i="94"/>
  <c r="S15" i="94"/>
  <c r="T15" i="94"/>
  <c r="U15" i="94"/>
  <c r="V15" i="94"/>
  <c r="W15" i="94"/>
  <c r="X15" i="94"/>
  <c r="Y15" i="94"/>
  <c r="Z15" i="94"/>
  <c r="AA15" i="94"/>
  <c r="E16" i="94"/>
  <c r="F16" i="94"/>
  <c r="G16" i="94"/>
  <c r="H16" i="94"/>
  <c r="I16" i="94"/>
  <c r="J16" i="94"/>
  <c r="K16" i="94"/>
  <c r="L16" i="94"/>
  <c r="M16" i="94"/>
  <c r="N16" i="94"/>
  <c r="O16" i="94"/>
  <c r="P16" i="94"/>
  <c r="Q16" i="94"/>
  <c r="R16" i="94"/>
  <c r="S16" i="94"/>
  <c r="T16" i="94"/>
  <c r="U16" i="94"/>
  <c r="V16" i="94"/>
  <c r="W16" i="94"/>
  <c r="X16" i="94"/>
  <c r="Y16" i="94"/>
  <c r="Z16" i="94"/>
  <c r="AA16" i="94"/>
  <c r="E17" i="94"/>
  <c r="F17" i="94"/>
  <c r="G17" i="94"/>
  <c r="H17" i="94"/>
  <c r="I17" i="94"/>
  <c r="J17" i="94"/>
  <c r="K17" i="94"/>
  <c r="L17" i="94"/>
  <c r="M17" i="94"/>
  <c r="N17" i="94"/>
  <c r="O17" i="94"/>
  <c r="P17" i="94"/>
  <c r="Q17" i="94"/>
  <c r="R17" i="94"/>
  <c r="S17" i="94"/>
  <c r="T17" i="94"/>
  <c r="U17" i="94"/>
  <c r="V17" i="94"/>
  <c r="W17" i="94"/>
  <c r="X17" i="94"/>
  <c r="Y17" i="94"/>
  <c r="Z17" i="94"/>
  <c r="AA17" i="94"/>
  <c r="E18" i="94"/>
  <c r="F18" i="94"/>
  <c r="G18" i="94"/>
  <c r="H18" i="94"/>
  <c r="I18" i="94"/>
  <c r="J18" i="94"/>
  <c r="K18" i="94"/>
  <c r="L18" i="94"/>
  <c r="M18" i="94"/>
  <c r="N18" i="94"/>
  <c r="O18" i="94"/>
  <c r="P18" i="94"/>
  <c r="Q18" i="94"/>
  <c r="R18" i="94"/>
  <c r="S18" i="94"/>
  <c r="T18" i="94"/>
  <c r="U18" i="94"/>
  <c r="V18" i="94"/>
  <c r="W18" i="94"/>
  <c r="X18" i="94"/>
  <c r="Y18" i="94"/>
  <c r="Z18" i="94"/>
  <c r="AA18" i="94"/>
  <c r="E19" i="94"/>
  <c r="F19" i="94"/>
  <c r="G19" i="94"/>
  <c r="H19" i="94"/>
  <c r="I19" i="94"/>
  <c r="J19" i="94"/>
  <c r="K19" i="94"/>
  <c r="L19" i="94"/>
  <c r="M19" i="94"/>
  <c r="N19" i="94"/>
  <c r="O19" i="94"/>
  <c r="P19" i="94"/>
  <c r="Q19" i="94"/>
  <c r="R19" i="94"/>
  <c r="S19" i="94"/>
  <c r="T19" i="94"/>
  <c r="U19" i="94"/>
  <c r="V19" i="94"/>
  <c r="W19" i="94"/>
  <c r="X19" i="94"/>
  <c r="Y19" i="94"/>
  <c r="Z19" i="94"/>
  <c r="AA19" i="94"/>
  <c r="E20" i="94"/>
  <c r="F20" i="94"/>
  <c r="G20" i="94"/>
  <c r="H20" i="94"/>
  <c r="I20" i="94"/>
  <c r="J20" i="94"/>
  <c r="K20" i="94"/>
  <c r="L20" i="94"/>
  <c r="M20" i="94"/>
  <c r="N20" i="94"/>
  <c r="O20" i="94"/>
  <c r="P20" i="94"/>
  <c r="Q20" i="94"/>
  <c r="R20" i="94"/>
  <c r="S20" i="94"/>
  <c r="T20" i="94"/>
  <c r="U20" i="94"/>
  <c r="V20" i="94"/>
  <c r="W20" i="94"/>
  <c r="X20" i="94"/>
  <c r="Y20" i="94"/>
  <c r="Z20" i="94"/>
  <c r="AA20" i="94"/>
  <c r="E21" i="94"/>
  <c r="F21" i="94"/>
  <c r="G21" i="94"/>
  <c r="H21" i="94"/>
  <c r="I21" i="94"/>
  <c r="J21" i="94"/>
  <c r="K21" i="94"/>
  <c r="L21" i="94"/>
  <c r="M21" i="94"/>
  <c r="N21" i="94"/>
  <c r="O21" i="94"/>
  <c r="P21" i="94"/>
  <c r="Q21" i="94"/>
  <c r="R21" i="94"/>
  <c r="S21" i="94"/>
  <c r="T21" i="94"/>
  <c r="U21" i="94"/>
  <c r="V21" i="94"/>
  <c r="W21" i="94"/>
  <c r="X21" i="94"/>
  <c r="Y21" i="94"/>
  <c r="Z21" i="94"/>
  <c r="AA21" i="94"/>
  <c r="E22" i="94"/>
  <c r="F22" i="94"/>
  <c r="G22" i="94"/>
  <c r="H22" i="94"/>
  <c r="I22" i="94"/>
  <c r="J22" i="94"/>
  <c r="K22" i="94"/>
  <c r="L22" i="94"/>
  <c r="M22" i="94"/>
  <c r="N22" i="94"/>
  <c r="O22" i="94"/>
  <c r="P22" i="94"/>
  <c r="Q22" i="94"/>
  <c r="R22" i="94"/>
  <c r="S22" i="94"/>
  <c r="T22" i="94"/>
  <c r="U22" i="94"/>
  <c r="V22" i="94"/>
  <c r="W22" i="94"/>
  <c r="X22" i="94"/>
  <c r="Y22" i="94"/>
  <c r="Z22" i="94"/>
  <c r="AA22" i="94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6" i="94"/>
  <c r="W23" i="94"/>
  <c r="J23" i="94"/>
  <c r="E23" i="94"/>
  <c r="A8" i="94"/>
  <c r="A9" i="94" s="1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6" i="94"/>
  <c r="A7" i="94" s="1"/>
  <c r="U5" i="94"/>
  <c r="T5" i="94"/>
  <c r="O5" i="94"/>
  <c r="AA16" i="93"/>
  <c r="AA6" i="93"/>
  <c r="AA12" i="93"/>
  <c r="AA20" i="93"/>
  <c r="AA21" i="93"/>
  <c r="AA17" i="93"/>
  <c r="AA9" i="93"/>
  <c r="AA13" i="93"/>
  <c r="E16" i="93"/>
  <c r="F16" i="93"/>
  <c r="G16" i="93"/>
  <c r="H16" i="93"/>
  <c r="I16" i="93"/>
  <c r="J16" i="93"/>
  <c r="K16" i="93"/>
  <c r="L16" i="93"/>
  <c r="M16" i="93"/>
  <c r="N16" i="93"/>
  <c r="O16" i="93"/>
  <c r="P16" i="93"/>
  <c r="Q16" i="93"/>
  <c r="R16" i="93"/>
  <c r="S16" i="93"/>
  <c r="T16" i="93"/>
  <c r="U16" i="93"/>
  <c r="W16" i="93"/>
  <c r="X16" i="93"/>
  <c r="Y16" i="93"/>
  <c r="Z16" i="93"/>
  <c r="E6" i="93"/>
  <c r="F6" i="93"/>
  <c r="G6" i="93"/>
  <c r="H6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W6" i="93"/>
  <c r="X6" i="93"/>
  <c r="Y6" i="93"/>
  <c r="Z6" i="93"/>
  <c r="E12" i="93"/>
  <c r="F12" i="93"/>
  <c r="G12" i="93"/>
  <c r="H12" i="93"/>
  <c r="I12" i="93"/>
  <c r="J12" i="93"/>
  <c r="K12" i="93"/>
  <c r="L12" i="93"/>
  <c r="M12" i="93"/>
  <c r="N12" i="93"/>
  <c r="O12" i="93"/>
  <c r="P12" i="93"/>
  <c r="Q12" i="93"/>
  <c r="R12" i="93"/>
  <c r="S12" i="93"/>
  <c r="T12" i="93"/>
  <c r="U12" i="93"/>
  <c r="W12" i="93"/>
  <c r="X12" i="93"/>
  <c r="Y12" i="93"/>
  <c r="Z12" i="93"/>
  <c r="E20" i="93"/>
  <c r="F20" i="93"/>
  <c r="G20" i="93"/>
  <c r="H20" i="93"/>
  <c r="I20" i="93"/>
  <c r="J20" i="93"/>
  <c r="K20" i="93"/>
  <c r="L20" i="93"/>
  <c r="M20" i="93"/>
  <c r="N20" i="93"/>
  <c r="O20" i="93"/>
  <c r="P20" i="93"/>
  <c r="Q20" i="93"/>
  <c r="R20" i="93"/>
  <c r="S20" i="93"/>
  <c r="T20" i="93"/>
  <c r="U20" i="93"/>
  <c r="W20" i="93"/>
  <c r="X20" i="93"/>
  <c r="Y20" i="93"/>
  <c r="Z20" i="93"/>
  <c r="E21" i="93"/>
  <c r="F21" i="93"/>
  <c r="G21" i="93"/>
  <c r="H21" i="93"/>
  <c r="I21" i="93"/>
  <c r="J21" i="93"/>
  <c r="K21" i="93"/>
  <c r="L21" i="93"/>
  <c r="M21" i="93"/>
  <c r="N21" i="93"/>
  <c r="O21" i="93"/>
  <c r="P21" i="93"/>
  <c r="Q21" i="93"/>
  <c r="R21" i="93"/>
  <c r="S21" i="93"/>
  <c r="T21" i="93"/>
  <c r="U21" i="93"/>
  <c r="W21" i="93"/>
  <c r="X21" i="93"/>
  <c r="Y21" i="93"/>
  <c r="Z21" i="93"/>
  <c r="E17" i="93"/>
  <c r="F17" i="93"/>
  <c r="G17" i="93"/>
  <c r="H17" i="93"/>
  <c r="I17" i="93"/>
  <c r="J17" i="93"/>
  <c r="K17" i="93"/>
  <c r="L17" i="93"/>
  <c r="M17" i="93"/>
  <c r="N17" i="93"/>
  <c r="O17" i="93"/>
  <c r="P17" i="93"/>
  <c r="Q17" i="93"/>
  <c r="R17" i="93"/>
  <c r="S17" i="93"/>
  <c r="T17" i="93"/>
  <c r="U17" i="93"/>
  <c r="W17" i="93"/>
  <c r="X17" i="93"/>
  <c r="Y17" i="93"/>
  <c r="Z17" i="93"/>
  <c r="E9" i="93"/>
  <c r="F9" i="93"/>
  <c r="G9" i="93"/>
  <c r="H9" i="93"/>
  <c r="I9" i="93"/>
  <c r="J9" i="93"/>
  <c r="K9" i="93"/>
  <c r="L9" i="93"/>
  <c r="M9" i="93"/>
  <c r="N9" i="93"/>
  <c r="O9" i="93"/>
  <c r="P9" i="93"/>
  <c r="Q9" i="93"/>
  <c r="R9" i="93"/>
  <c r="S9" i="93"/>
  <c r="T9" i="93"/>
  <c r="U9" i="93"/>
  <c r="V9" i="93"/>
  <c r="X9" i="93"/>
  <c r="Y9" i="93"/>
  <c r="Z9" i="93"/>
  <c r="E13" i="93"/>
  <c r="F13" i="93"/>
  <c r="G13" i="93"/>
  <c r="H13" i="93"/>
  <c r="I13" i="93"/>
  <c r="J13" i="93"/>
  <c r="K13" i="93"/>
  <c r="L13" i="93"/>
  <c r="M13" i="93"/>
  <c r="N13" i="93"/>
  <c r="O13" i="93"/>
  <c r="P13" i="93"/>
  <c r="Q13" i="93"/>
  <c r="R13" i="93"/>
  <c r="S13" i="93"/>
  <c r="T13" i="93"/>
  <c r="U13" i="93"/>
  <c r="W13" i="93"/>
  <c r="X13" i="93"/>
  <c r="Y13" i="93"/>
  <c r="Z13" i="93"/>
  <c r="D6" i="93"/>
  <c r="D12" i="93"/>
  <c r="D20" i="93"/>
  <c r="D21" i="93"/>
  <c r="D17" i="93"/>
  <c r="D9" i="93"/>
  <c r="D13" i="93"/>
  <c r="D16" i="93"/>
  <c r="W25" i="93"/>
  <c r="S25" i="93"/>
  <c r="K25" i="93"/>
  <c r="L25" i="93" s="1"/>
  <c r="AB24" i="93"/>
  <c r="E6" i="92"/>
  <c r="F6" i="92"/>
  <c r="G6" i="92"/>
  <c r="H6" i="92"/>
  <c r="I6" i="92"/>
  <c r="J6" i="92"/>
  <c r="K6" i="92"/>
  <c r="L6" i="92"/>
  <c r="M6" i="92"/>
  <c r="N6" i="92"/>
  <c r="O6" i="92"/>
  <c r="P6" i="92"/>
  <c r="Q6" i="92"/>
  <c r="R6" i="92"/>
  <c r="S6" i="92"/>
  <c r="T6" i="92"/>
  <c r="U6" i="92"/>
  <c r="V6" i="92"/>
  <c r="W6" i="92"/>
  <c r="X6" i="92"/>
  <c r="Y6" i="92"/>
  <c r="Z6" i="92"/>
  <c r="AA6" i="92"/>
  <c r="E7" i="92"/>
  <c r="F7" i="92"/>
  <c r="G7" i="92"/>
  <c r="H7" i="92"/>
  <c r="I7" i="92"/>
  <c r="J7" i="92"/>
  <c r="K7" i="92"/>
  <c r="L7" i="92"/>
  <c r="M7" i="92"/>
  <c r="N7" i="92"/>
  <c r="O7" i="92"/>
  <c r="P7" i="92"/>
  <c r="Q7" i="92"/>
  <c r="R7" i="92"/>
  <c r="S7" i="92"/>
  <c r="T7" i="92"/>
  <c r="U7" i="92"/>
  <c r="V7" i="92"/>
  <c r="W7" i="92"/>
  <c r="X7" i="92"/>
  <c r="Y7" i="92"/>
  <c r="Z7" i="92"/>
  <c r="AA7" i="92"/>
  <c r="E12" i="92"/>
  <c r="F12" i="92"/>
  <c r="G12" i="92"/>
  <c r="H12" i="92"/>
  <c r="I12" i="92"/>
  <c r="J12" i="92"/>
  <c r="K12" i="92"/>
  <c r="L12" i="92"/>
  <c r="M12" i="92"/>
  <c r="N12" i="92"/>
  <c r="O12" i="92"/>
  <c r="P12" i="92"/>
  <c r="Q12" i="92"/>
  <c r="R12" i="92"/>
  <c r="S12" i="92"/>
  <c r="T12" i="92"/>
  <c r="U12" i="92"/>
  <c r="V12" i="92"/>
  <c r="W12" i="92"/>
  <c r="X12" i="92"/>
  <c r="Y12" i="92"/>
  <c r="Z12" i="92"/>
  <c r="AA12" i="92"/>
  <c r="E13" i="92"/>
  <c r="F13" i="92"/>
  <c r="G13" i="92"/>
  <c r="H13" i="92"/>
  <c r="I13" i="92"/>
  <c r="J13" i="92"/>
  <c r="K13" i="92"/>
  <c r="L13" i="92"/>
  <c r="M13" i="92"/>
  <c r="N13" i="92"/>
  <c r="O13" i="92"/>
  <c r="P13" i="92"/>
  <c r="Q13" i="92"/>
  <c r="R13" i="92"/>
  <c r="S13" i="92"/>
  <c r="T13" i="92"/>
  <c r="U13" i="92"/>
  <c r="V13" i="92"/>
  <c r="W13" i="92"/>
  <c r="X13" i="92"/>
  <c r="Y13" i="92"/>
  <c r="Z13" i="92"/>
  <c r="AA13" i="92"/>
  <c r="E16" i="92"/>
  <c r="F16" i="92"/>
  <c r="G16" i="92"/>
  <c r="H16" i="92"/>
  <c r="I16" i="92"/>
  <c r="J16" i="92"/>
  <c r="K16" i="92"/>
  <c r="L16" i="92"/>
  <c r="M16" i="92"/>
  <c r="N16" i="92"/>
  <c r="O16" i="92"/>
  <c r="P16" i="92"/>
  <c r="Q16" i="92"/>
  <c r="R16" i="92"/>
  <c r="S16" i="92"/>
  <c r="T16" i="92"/>
  <c r="U16" i="92"/>
  <c r="V16" i="92"/>
  <c r="W16" i="92"/>
  <c r="X16" i="92"/>
  <c r="Y16" i="92"/>
  <c r="Z16" i="92"/>
  <c r="AA16" i="92"/>
  <c r="E14" i="92"/>
  <c r="F14" i="92"/>
  <c r="G14" i="92"/>
  <c r="H14" i="92"/>
  <c r="I14" i="92"/>
  <c r="J14" i="92"/>
  <c r="K14" i="92"/>
  <c r="L14" i="92"/>
  <c r="M14" i="92"/>
  <c r="N14" i="92"/>
  <c r="O14" i="92"/>
  <c r="P14" i="92"/>
  <c r="Q14" i="92"/>
  <c r="R14" i="92"/>
  <c r="S14" i="92"/>
  <c r="T14" i="92"/>
  <c r="U14" i="92"/>
  <c r="V14" i="92"/>
  <c r="W14" i="92"/>
  <c r="X14" i="92"/>
  <c r="Y14" i="92"/>
  <c r="Z14" i="92"/>
  <c r="AA14" i="92"/>
  <c r="E8" i="92"/>
  <c r="F8" i="92"/>
  <c r="G8" i="92"/>
  <c r="H8" i="92"/>
  <c r="I8" i="92"/>
  <c r="J8" i="92"/>
  <c r="K8" i="92"/>
  <c r="L8" i="92"/>
  <c r="M8" i="92"/>
  <c r="N8" i="92"/>
  <c r="O8" i="92"/>
  <c r="P8" i="92"/>
  <c r="Q8" i="92"/>
  <c r="R8" i="92"/>
  <c r="S8" i="92"/>
  <c r="T8" i="92"/>
  <c r="U8" i="92"/>
  <c r="V8" i="92"/>
  <c r="W8" i="92"/>
  <c r="X8" i="92"/>
  <c r="Y8" i="92"/>
  <c r="Z8" i="92"/>
  <c r="AA8" i="92"/>
  <c r="E17" i="92"/>
  <c r="F17" i="92"/>
  <c r="G17" i="92"/>
  <c r="H17" i="92"/>
  <c r="I17" i="92"/>
  <c r="J17" i="92"/>
  <c r="K17" i="92"/>
  <c r="L17" i="92"/>
  <c r="M17" i="92"/>
  <c r="N17" i="92"/>
  <c r="O17" i="92"/>
  <c r="P17" i="92"/>
  <c r="Q17" i="92"/>
  <c r="R17" i="92"/>
  <c r="S17" i="92"/>
  <c r="T17" i="92"/>
  <c r="U17" i="92"/>
  <c r="V17" i="92"/>
  <c r="W17" i="92"/>
  <c r="X17" i="92"/>
  <c r="Y17" i="92"/>
  <c r="Z17" i="92"/>
  <c r="AA17" i="92"/>
  <c r="E18" i="92"/>
  <c r="F18" i="92"/>
  <c r="G18" i="92"/>
  <c r="H18" i="92"/>
  <c r="I18" i="92"/>
  <c r="J18" i="92"/>
  <c r="K18" i="92"/>
  <c r="L18" i="92"/>
  <c r="M18" i="92"/>
  <c r="N18" i="92"/>
  <c r="O18" i="92"/>
  <c r="P18" i="92"/>
  <c r="Q18" i="92"/>
  <c r="R18" i="92"/>
  <c r="S18" i="92"/>
  <c r="T18" i="92"/>
  <c r="U18" i="92"/>
  <c r="V18" i="92"/>
  <c r="W18" i="92"/>
  <c r="X18" i="92"/>
  <c r="Y18" i="92"/>
  <c r="Z18" i="92"/>
  <c r="AA18" i="92"/>
  <c r="E15" i="92"/>
  <c r="F15" i="92"/>
  <c r="G15" i="92"/>
  <c r="H15" i="92"/>
  <c r="I15" i="92"/>
  <c r="J15" i="92"/>
  <c r="K15" i="92"/>
  <c r="L15" i="92"/>
  <c r="M15" i="92"/>
  <c r="N15" i="92"/>
  <c r="O15" i="92"/>
  <c r="P15" i="92"/>
  <c r="Q15" i="92"/>
  <c r="R15" i="92"/>
  <c r="S15" i="92"/>
  <c r="T15" i="92"/>
  <c r="U15" i="92"/>
  <c r="V15" i="92"/>
  <c r="W15" i="92"/>
  <c r="X15" i="92"/>
  <c r="Y15" i="92"/>
  <c r="Z15" i="92"/>
  <c r="AA15" i="92"/>
  <c r="E9" i="92"/>
  <c r="F9" i="92"/>
  <c r="G9" i="92"/>
  <c r="H9" i="92"/>
  <c r="I9" i="92"/>
  <c r="J9" i="92"/>
  <c r="K9" i="92"/>
  <c r="L9" i="92"/>
  <c r="M9" i="92"/>
  <c r="N9" i="92"/>
  <c r="O9" i="92"/>
  <c r="P9" i="92"/>
  <c r="Q9" i="92"/>
  <c r="R9" i="92"/>
  <c r="S9" i="92"/>
  <c r="T9" i="92"/>
  <c r="U9" i="92"/>
  <c r="V9" i="92"/>
  <c r="W9" i="92"/>
  <c r="X9" i="92"/>
  <c r="Y9" i="92"/>
  <c r="Z9" i="92"/>
  <c r="AA9" i="92"/>
  <c r="E19" i="92"/>
  <c r="F19" i="92"/>
  <c r="G19" i="92"/>
  <c r="H19" i="92"/>
  <c r="I19" i="92"/>
  <c r="J19" i="92"/>
  <c r="K19" i="92"/>
  <c r="L19" i="92"/>
  <c r="M19" i="92"/>
  <c r="N19" i="92"/>
  <c r="O19" i="92"/>
  <c r="P19" i="92"/>
  <c r="Q19" i="92"/>
  <c r="R19" i="92"/>
  <c r="S19" i="92"/>
  <c r="T19" i="92"/>
  <c r="U19" i="92"/>
  <c r="V19" i="92"/>
  <c r="W19" i="92"/>
  <c r="X19" i="92"/>
  <c r="Y19" i="92"/>
  <c r="Z19" i="92"/>
  <c r="AA19" i="92"/>
  <c r="E20" i="92"/>
  <c r="F20" i="92"/>
  <c r="G20" i="92"/>
  <c r="H20" i="92"/>
  <c r="I20" i="92"/>
  <c r="J20" i="92"/>
  <c r="K20" i="92"/>
  <c r="L20" i="92"/>
  <c r="M20" i="92"/>
  <c r="N20" i="92"/>
  <c r="O20" i="92"/>
  <c r="P20" i="92"/>
  <c r="Q20" i="92"/>
  <c r="R20" i="92"/>
  <c r="S20" i="92"/>
  <c r="T20" i="92"/>
  <c r="U20" i="92"/>
  <c r="V20" i="92"/>
  <c r="W20" i="92"/>
  <c r="X20" i="92"/>
  <c r="Y20" i="92"/>
  <c r="Z20" i="92"/>
  <c r="AA20" i="92"/>
  <c r="D7" i="92"/>
  <c r="D12" i="92"/>
  <c r="D13" i="92"/>
  <c r="D16" i="92"/>
  <c r="D14" i="92"/>
  <c r="D8" i="92"/>
  <c r="D17" i="92"/>
  <c r="D18" i="92"/>
  <c r="D15" i="92"/>
  <c r="D9" i="92"/>
  <c r="D19" i="92"/>
  <c r="D20" i="92"/>
  <c r="D6" i="92"/>
  <c r="F24" i="92"/>
  <c r="A6" i="92"/>
  <c r="A7" i="92" s="1"/>
  <c r="E6" i="91"/>
  <c r="F6" i="91"/>
  <c r="G6" i="91"/>
  <c r="H6" i="91"/>
  <c r="I6" i="91"/>
  <c r="J6" i="91"/>
  <c r="K6" i="91"/>
  <c r="L6" i="91"/>
  <c r="M6" i="91"/>
  <c r="N6" i="91"/>
  <c r="O6" i="91"/>
  <c r="P6" i="91"/>
  <c r="Q6" i="91"/>
  <c r="R6" i="91"/>
  <c r="S6" i="91"/>
  <c r="T6" i="91"/>
  <c r="U6" i="91"/>
  <c r="V6" i="91"/>
  <c r="W6" i="91"/>
  <c r="X6" i="91"/>
  <c r="Y6" i="91"/>
  <c r="Z6" i="91"/>
  <c r="AA6" i="91"/>
  <c r="E7" i="91"/>
  <c r="F7" i="91"/>
  <c r="G7" i="91"/>
  <c r="H7" i="91"/>
  <c r="I7" i="91"/>
  <c r="J7" i="91"/>
  <c r="K7" i="91"/>
  <c r="L7" i="91"/>
  <c r="M7" i="91"/>
  <c r="N7" i="91"/>
  <c r="O7" i="91"/>
  <c r="P7" i="91"/>
  <c r="Q7" i="91"/>
  <c r="R7" i="91"/>
  <c r="S7" i="91"/>
  <c r="T7" i="91"/>
  <c r="U7" i="91"/>
  <c r="V7" i="91"/>
  <c r="W7" i="91"/>
  <c r="X7" i="91"/>
  <c r="Y7" i="91"/>
  <c r="Z7" i="91"/>
  <c r="AA7" i="91"/>
  <c r="E11" i="91"/>
  <c r="F11" i="91"/>
  <c r="G11" i="91"/>
  <c r="H11" i="91"/>
  <c r="I11" i="91"/>
  <c r="J11" i="91"/>
  <c r="K11" i="91"/>
  <c r="L11" i="91"/>
  <c r="M11" i="91"/>
  <c r="N11" i="91"/>
  <c r="O11" i="91"/>
  <c r="P11" i="91"/>
  <c r="Q11" i="91"/>
  <c r="R11" i="91"/>
  <c r="S11" i="91"/>
  <c r="T11" i="91"/>
  <c r="U11" i="91"/>
  <c r="V11" i="91"/>
  <c r="W11" i="91"/>
  <c r="X11" i="91"/>
  <c r="Y11" i="91"/>
  <c r="Z11" i="91"/>
  <c r="AA11" i="91"/>
  <c r="E12" i="91"/>
  <c r="F12" i="91"/>
  <c r="G12" i="91"/>
  <c r="H12" i="91"/>
  <c r="I12" i="91"/>
  <c r="J12" i="91"/>
  <c r="K12" i="91"/>
  <c r="L12" i="91"/>
  <c r="M12" i="91"/>
  <c r="N12" i="91"/>
  <c r="O12" i="91"/>
  <c r="P12" i="91"/>
  <c r="Q12" i="91"/>
  <c r="R12" i="91"/>
  <c r="S12" i="91"/>
  <c r="T12" i="91"/>
  <c r="U12" i="91"/>
  <c r="V12" i="91"/>
  <c r="W12" i="91"/>
  <c r="X12" i="91"/>
  <c r="Y12" i="91"/>
  <c r="Z12" i="91"/>
  <c r="AA12" i="91"/>
  <c r="E13" i="91"/>
  <c r="F13" i="91"/>
  <c r="G13" i="91"/>
  <c r="H13" i="91"/>
  <c r="I13" i="91"/>
  <c r="J13" i="91"/>
  <c r="K13" i="91"/>
  <c r="L13" i="91"/>
  <c r="M13" i="91"/>
  <c r="N13" i="91"/>
  <c r="O13" i="91"/>
  <c r="P13" i="91"/>
  <c r="Q13" i="91"/>
  <c r="R13" i="91"/>
  <c r="S13" i="91"/>
  <c r="T13" i="91"/>
  <c r="U13" i="91"/>
  <c r="V13" i="91"/>
  <c r="W13" i="91"/>
  <c r="X13" i="91"/>
  <c r="Y13" i="91"/>
  <c r="Z13" i="91"/>
  <c r="AA13" i="91"/>
  <c r="E14" i="91"/>
  <c r="F14" i="91"/>
  <c r="G14" i="91"/>
  <c r="H14" i="91"/>
  <c r="I14" i="91"/>
  <c r="J14" i="91"/>
  <c r="K14" i="91"/>
  <c r="L14" i="91"/>
  <c r="M14" i="91"/>
  <c r="N14" i="91"/>
  <c r="O14" i="91"/>
  <c r="P14" i="91"/>
  <c r="Q14" i="91"/>
  <c r="R14" i="91"/>
  <c r="S14" i="91"/>
  <c r="T14" i="91"/>
  <c r="U14" i="91"/>
  <c r="V14" i="91"/>
  <c r="W14" i="91"/>
  <c r="X14" i="91"/>
  <c r="Y14" i="91"/>
  <c r="Z14" i="91"/>
  <c r="AA14" i="91"/>
  <c r="E15" i="91"/>
  <c r="F15" i="91"/>
  <c r="G15" i="91"/>
  <c r="H15" i="91"/>
  <c r="I15" i="91"/>
  <c r="J15" i="91"/>
  <c r="K15" i="91"/>
  <c r="L15" i="91"/>
  <c r="M15" i="91"/>
  <c r="N15" i="91"/>
  <c r="O15" i="91"/>
  <c r="P15" i="91"/>
  <c r="Q15" i="91"/>
  <c r="R15" i="91"/>
  <c r="S15" i="91"/>
  <c r="T15" i="91"/>
  <c r="U15" i="91"/>
  <c r="V15" i="91"/>
  <c r="W15" i="91"/>
  <c r="X15" i="91"/>
  <c r="Y15" i="91"/>
  <c r="Z15" i="91"/>
  <c r="AA15" i="91"/>
  <c r="E16" i="91"/>
  <c r="G16" i="91"/>
  <c r="H16" i="91"/>
  <c r="H20" i="91" s="1"/>
  <c r="I16" i="91"/>
  <c r="J16" i="91"/>
  <c r="K16" i="91"/>
  <c r="N16" i="91"/>
  <c r="N20" i="91" s="1"/>
  <c r="Q16" i="91"/>
  <c r="Q20" i="91" s="1"/>
  <c r="R16" i="91"/>
  <c r="V16" i="91"/>
  <c r="X16" i="91"/>
  <c r="Y16" i="91"/>
  <c r="Z16" i="91"/>
  <c r="Z20" i="91" s="1"/>
  <c r="AA16" i="91"/>
  <c r="E17" i="91"/>
  <c r="F17" i="91"/>
  <c r="G17" i="91"/>
  <c r="H17" i="91"/>
  <c r="I17" i="91"/>
  <c r="J17" i="91"/>
  <c r="K17" i="91"/>
  <c r="L17" i="91"/>
  <c r="M17" i="91"/>
  <c r="N17" i="91"/>
  <c r="O17" i="91"/>
  <c r="P17" i="91"/>
  <c r="Q17" i="91"/>
  <c r="R17" i="91"/>
  <c r="S17" i="91"/>
  <c r="T17" i="91"/>
  <c r="U17" i="91"/>
  <c r="V17" i="91"/>
  <c r="W17" i="91"/>
  <c r="X17" i="91"/>
  <c r="Y17" i="91"/>
  <c r="Z17" i="91"/>
  <c r="AA17" i="91"/>
  <c r="E18" i="91"/>
  <c r="F18" i="91"/>
  <c r="G18" i="91"/>
  <c r="H18" i="91"/>
  <c r="I18" i="91"/>
  <c r="J18" i="91"/>
  <c r="K18" i="91"/>
  <c r="L18" i="91"/>
  <c r="M18" i="91"/>
  <c r="N18" i="91"/>
  <c r="O18" i="91"/>
  <c r="P18" i="91"/>
  <c r="Q18" i="91"/>
  <c r="R18" i="91"/>
  <c r="S18" i="91"/>
  <c r="T18" i="91"/>
  <c r="U18" i="91"/>
  <c r="V18" i="91"/>
  <c r="W18" i="91"/>
  <c r="X18" i="91"/>
  <c r="Y18" i="91"/>
  <c r="Z18" i="91"/>
  <c r="AA18" i="91"/>
  <c r="E19" i="91"/>
  <c r="F19" i="91"/>
  <c r="G19" i="91"/>
  <c r="H19" i="91"/>
  <c r="I19" i="91"/>
  <c r="J19" i="91"/>
  <c r="K19" i="91"/>
  <c r="L19" i="91"/>
  <c r="M19" i="91"/>
  <c r="N19" i="91"/>
  <c r="O19" i="91"/>
  <c r="P19" i="91"/>
  <c r="Q19" i="91"/>
  <c r="R19" i="91"/>
  <c r="S19" i="91"/>
  <c r="T19" i="91"/>
  <c r="U19" i="91"/>
  <c r="V19" i="91"/>
  <c r="W19" i="91"/>
  <c r="X19" i="91"/>
  <c r="Y19" i="91"/>
  <c r="Z19" i="91"/>
  <c r="AA19" i="91"/>
  <c r="E8" i="91"/>
  <c r="F8" i="91"/>
  <c r="G8" i="91"/>
  <c r="H8" i="91"/>
  <c r="I8" i="91"/>
  <c r="J8" i="91"/>
  <c r="K8" i="91"/>
  <c r="L8" i="91"/>
  <c r="M8" i="91"/>
  <c r="N8" i="91"/>
  <c r="O8" i="91"/>
  <c r="P8" i="91"/>
  <c r="Q8" i="91"/>
  <c r="R8" i="91"/>
  <c r="S8" i="91"/>
  <c r="T8" i="91"/>
  <c r="U8" i="91"/>
  <c r="V8" i="91"/>
  <c r="W8" i="91"/>
  <c r="X8" i="91"/>
  <c r="Y8" i="91"/>
  <c r="Z8" i="91"/>
  <c r="AA8" i="91"/>
  <c r="D7" i="91"/>
  <c r="D11" i="91"/>
  <c r="D12" i="91"/>
  <c r="D13" i="91"/>
  <c r="D14" i="91"/>
  <c r="D15" i="91"/>
  <c r="D16" i="91"/>
  <c r="D20" i="91" s="1"/>
  <c r="D17" i="91"/>
  <c r="D18" i="91"/>
  <c r="D19" i="91"/>
  <c r="D8" i="91"/>
  <c r="D6" i="91"/>
  <c r="R50" i="91"/>
  <c r="R51" i="91" s="1"/>
  <c r="M26" i="91"/>
  <c r="L26" i="91"/>
  <c r="A7" i="91"/>
  <c r="E6" i="90"/>
  <c r="F6" i="90"/>
  <c r="G6" i="90"/>
  <c r="H6" i="90"/>
  <c r="H39" i="90" s="1"/>
  <c r="I6" i="90"/>
  <c r="J6" i="90"/>
  <c r="K6" i="90"/>
  <c r="L6" i="90"/>
  <c r="M6" i="90"/>
  <c r="N6" i="90"/>
  <c r="O6" i="90"/>
  <c r="P6" i="90"/>
  <c r="Q6" i="90"/>
  <c r="R6" i="90"/>
  <c r="R39" i="90" s="1"/>
  <c r="S6" i="90"/>
  <c r="T6" i="90"/>
  <c r="U6" i="90"/>
  <c r="V6" i="90"/>
  <c r="V39" i="90" s="1"/>
  <c r="X6" i="90"/>
  <c r="Y6" i="90"/>
  <c r="Z6" i="90"/>
  <c r="AA6" i="90"/>
  <c r="E7" i="90"/>
  <c r="F7" i="90"/>
  <c r="G7" i="90"/>
  <c r="H7" i="90"/>
  <c r="I7" i="90"/>
  <c r="I39" i="90" s="1"/>
  <c r="J7" i="90"/>
  <c r="K7" i="90"/>
  <c r="L7" i="90"/>
  <c r="M7" i="90"/>
  <c r="N7" i="90"/>
  <c r="O7" i="90"/>
  <c r="P7" i="90"/>
  <c r="Q7" i="90"/>
  <c r="Q39" i="90" s="1"/>
  <c r="R7" i="90"/>
  <c r="S7" i="90"/>
  <c r="T7" i="90"/>
  <c r="U7" i="90"/>
  <c r="V7" i="90"/>
  <c r="X7" i="90"/>
  <c r="Y7" i="90"/>
  <c r="Y39" i="90" s="1"/>
  <c r="Z7" i="90"/>
  <c r="AA7" i="90"/>
  <c r="E8" i="90"/>
  <c r="F8" i="90"/>
  <c r="G8" i="90"/>
  <c r="H8" i="90"/>
  <c r="I8" i="90"/>
  <c r="J8" i="90"/>
  <c r="K8" i="90"/>
  <c r="L8" i="90"/>
  <c r="M8" i="90"/>
  <c r="N8" i="90"/>
  <c r="N39" i="90" s="1"/>
  <c r="O8" i="90"/>
  <c r="P8" i="90"/>
  <c r="Q8" i="90"/>
  <c r="R8" i="90"/>
  <c r="S8" i="90"/>
  <c r="T8" i="90"/>
  <c r="U8" i="90"/>
  <c r="V8" i="90"/>
  <c r="X8" i="90"/>
  <c r="Y8" i="90"/>
  <c r="Z8" i="90"/>
  <c r="AA8" i="90"/>
  <c r="E9" i="90"/>
  <c r="F9" i="90"/>
  <c r="G9" i="90"/>
  <c r="G39" i="90" s="1"/>
  <c r="H9" i="90"/>
  <c r="I9" i="90"/>
  <c r="J9" i="90"/>
  <c r="K9" i="90"/>
  <c r="L9" i="90"/>
  <c r="M9" i="90"/>
  <c r="N9" i="90"/>
  <c r="O9" i="90"/>
  <c r="P9" i="90"/>
  <c r="Q9" i="90"/>
  <c r="R9" i="90"/>
  <c r="S9" i="90"/>
  <c r="T9" i="90"/>
  <c r="U9" i="90"/>
  <c r="V9" i="90"/>
  <c r="X9" i="90"/>
  <c r="Y9" i="90"/>
  <c r="Z9" i="90"/>
  <c r="AA9" i="90"/>
  <c r="E10" i="90"/>
  <c r="F10" i="90"/>
  <c r="G10" i="90"/>
  <c r="H10" i="90"/>
  <c r="I10" i="90"/>
  <c r="J10" i="90"/>
  <c r="K10" i="90"/>
  <c r="L10" i="90"/>
  <c r="M10" i="90"/>
  <c r="N10" i="90"/>
  <c r="O10" i="90"/>
  <c r="P10" i="90"/>
  <c r="Q10" i="90"/>
  <c r="R10" i="90"/>
  <c r="S10" i="90"/>
  <c r="T10" i="90"/>
  <c r="U10" i="90"/>
  <c r="V10" i="90"/>
  <c r="X10" i="90"/>
  <c r="Y10" i="90"/>
  <c r="Z10" i="90"/>
  <c r="AA10" i="90"/>
  <c r="E11" i="90"/>
  <c r="F11" i="90"/>
  <c r="G11" i="90"/>
  <c r="H11" i="90"/>
  <c r="I11" i="90"/>
  <c r="J11" i="90"/>
  <c r="K11" i="90"/>
  <c r="L11" i="90"/>
  <c r="M11" i="90"/>
  <c r="N11" i="90"/>
  <c r="O11" i="90"/>
  <c r="P11" i="90"/>
  <c r="Q11" i="90"/>
  <c r="R11" i="90"/>
  <c r="S11" i="90"/>
  <c r="T11" i="90"/>
  <c r="U11" i="90"/>
  <c r="V11" i="90"/>
  <c r="X11" i="90"/>
  <c r="Y11" i="90"/>
  <c r="Z11" i="90"/>
  <c r="AA11" i="90"/>
  <c r="E12" i="90"/>
  <c r="F12" i="90"/>
  <c r="G12" i="90"/>
  <c r="H12" i="90"/>
  <c r="I12" i="90"/>
  <c r="J12" i="90"/>
  <c r="K12" i="90"/>
  <c r="L12" i="90"/>
  <c r="M12" i="90"/>
  <c r="N12" i="90"/>
  <c r="O12" i="90"/>
  <c r="P12" i="90"/>
  <c r="Q12" i="90"/>
  <c r="R12" i="90"/>
  <c r="S12" i="90"/>
  <c r="T12" i="90"/>
  <c r="U12" i="90"/>
  <c r="V12" i="90"/>
  <c r="X12" i="90"/>
  <c r="Y12" i="90"/>
  <c r="Z12" i="90"/>
  <c r="AA12" i="90"/>
  <c r="E13" i="90"/>
  <c r="F13" i="90"/>
  <c r="G13" i="90"/>
  <c r="H13" i="90"/>
  <c r="I13" i="90"/>
  <c r="J13" i="90"/>
  <c r="K13" i="90"/>
  <c r="L13" i="90"/>
  <c r="M13" i="90"/>
  <c r="N13" i="90"/>
  <c r="O13" i="90"/>
  <c r="P13" i="90"/>
  <c r="Q13" i="90"/>
  <c r="R13" i="90"/>
  <c r="S13" i="90"/>
  <c r="T13" i="90"/>
  <c r="U13" i="90"/>
  <c r="V13" i="90"/>
  <c r="X13" i="90"/>
  <c r="Y13" i="90"/>
  <c r="Z13" i="90"/>
  <c r="AA13" i="90"/>
  <c r="E14" i="90"/>
  <c r="F14" i="90"/>
  <c r="G14" i="90"/>
  <c r="H14" i="90"/>
  <c r="I14" i="90"/>
  <c r="J14" i="90"/>
  <c r="K14" i="90"/>
  <c r="L14" i="90"/>
  <c r="M14" i="90"/>
  <c r="N14" i="90"/>
  <c r="O14" i="90"/>
  <c r="P14" i="90"/>
  <c r="Q14" i="90"/>
  <c r="R14" i="90"/>
  <c r="S14" i="90"/>
  <c r="T14" i="90"/>
  <c r="U14" i="90"/>
  <c r="V14" i="90"/>
  <c r="X14" i="90"/>
  <c r="Y14" i="90"/>
  <c r="Z14" i="90"/>
  <c r="AA14" i="90"/>
  <c r="E15" i="90"/>
  <c r="F15" i="90"/>
  <c r="G15" i="90"/>
  <c r="H15" i="90"/>
  <c r="I15" i="90"/>
  <c r="J15" i="90"/>
  <c r="K15" i="90"/>
  <c r="L15" i="90"/>
  <c r="M15" i="90"/>
  <c r="N15" i="90"/>
  <c r="O15" i="90"/>
  <c r="P15" i="90"/>
  <c r="Q15" i="90"/>
  <c r="R15" i="90"/>
  <c r="S15" i="90"/>
  <c r="T15" i="90"/>
  <c r="U15" i="90"/>
  <c r="V15" i="90"/>
  <c r="X15" i="90"/>
  <c r="Y15" i="90"/>
  <c r="Z15" i="90"/>
  <c r="AA15" i="90"/>
  <c r="E16" i="90"/>
  <c r="F16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V16" i="90"/>
  <c r="X16" i="90"/>
  <c r="Y16" i="90"/>
  <c r="Z16" i="90"/>
  <c r="AA16" i="90"/>
  <c r="E17" i="90"/>
  <c r="F17" i="90"/>
  <c r="G17" i="90"/>
  <c r="H17" i="90"/>
  <c r="I17" i="90"/>
  <c r="J17" i="90"/>
  <c r="K17" i="90"/>
  <c r="L17" i="90"/>
  <c r="M17" i="90"/>
  <c r="N17" i="90"/>
  <c r="O17" i="90"/>
  <c r="P17" i="90"/>
  <c r="Q17" i="90"/>
  <c r="R17" i="90"/>
  <c r="S17" i="90"/>
  <c r="T17" i="90"/>
  <c r="U17" i="90"/>
  <c r="V17" i="90"/>
  <c r="X17" i="90"/>
  <c r="Y17" i="90"/>
  <c r="Z17" i="90"/>
  <c r="AA17" i="90"/>
  <c r="E18" i="90"/>
  <c r="F18" i="90"/>
  <c r="G18" i="90"/>
  <c r="H18" i="90"/>
  <c r="I18" i="90"/>
  <c r="J18" i="90"/>
  <c r="K18" i="90"/>
  <c r="L18" i="90"/>
  <c r="M18" i="90"/>
  <c r="N18" i="90"/>
  <c r="O18" i="90"/>
  <c r="P18" i="90"/>
  <c r="Q18" i="90"/>
  <c r="R18" i="90"/>
  <c r="S18" i="90"/>
  <c r="T18" i="90"/>
  <c r="U18" i="90"/>
  <c r="V18" i="90"/>
  <c r="X18" i="90"/>
  <c r="Y18" i="90"/>
  <c r="Z18" i="90"/>
  <c r="AA18" i="90"/>
  <c r="E19" i="90"/>
  <c r="F19" i="90"/>
  <c r="G19" i="90"/>
  <c r="H19" i="90"/>
  <c r="I19" i="90"/>
  <c r="J19" i="90"/>
  <c r="K19" i="90"/>
  <c r="L19" i="90"/>
  <c r="M19" i="90"/>
  <c r="N19" i="90"/>
  <c r="O19" i="90"/>
  <c r="P19" i="90"/>
  <c r="Q19" i="90"/>
  <c r="R19" i="90"/>
  <c r="S19" i="90"/>
  <c r="T19" i="90"/>
  <c r="U19" i="90"/>
  <c r="V19" i="90"/>
  <c r="X19" i="90"/>
  <c r="Y19" i="90"/>
  <c r="Z19" i="90"/>
  <c r="AA19" i="90"/>
  <c r="E20" i="90"/>
  <c r="F20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U20" i="90"/>
  <c r="V20" i="90"/>
  <c r="X20" i="90"/>
  <c r="Y20" i="90"/>
  <c r="Z20" i="90"/>
  <c r="AA20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V21" i="90"/>
  <c r="X21" i="90"/>
  <c r="Y21" i="90"/>
  <c r="Z21" i="90"/>
  <c r="AA21" i="90"/>
  <c r="E22" i="90"/>
  <c r="F22" i="90"/>
  <c r="G22" i="90"/>
  <c r="H22" i="90"/>
  <c r="I22" i="90"/>
  <c r="J22" i="90"/>
  <c r="K22" i="90"/>
  <c r="L22" i="90"/>
  <c r="M22" i="90"/>
  <c r="N22" i="90"/>
  <c r="O22" i="90"/>
  <c r="P22" i="90"/>
  <c r="Q22" i="90"/>
  <c r="R22" i="90"/>
  <c r="S22" i="90"/>
  <c r="T22" i="90"/>
  <c r="U22" i="90"/>
  <c r="V22" i="90"/>
  <c r="X22" i="90"/>
  <c r="Y22" i="90"/>
  <c r="Z22" i="90"/>
  <c r="AA22" i="90"/>
  <c r="E23" i="90"/>
  <c r="F23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U23" i="90"/>
  <c r="V23" i="90"/>
  <c r="X23" i="90"/>
  <c r="Y23" i="90"/>
  <c r="Z23" i="90"/>
  <c r="AA23" i="90"/>
  <c r="E24" i="90"/>
  <c r="F24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U24" i="90"/>
  <c r="V24" i="90"/>
  <c r="X24" i="90"/>
  <c r="Y24" i="90"/>
  <c r="Z24" i="90"/>
  <c r="AA24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U25" i="90"/>
  <c r="V25" i="90"/>
  <c r="X25" i="90"/>
  <c r="Y25" i="90"/>
  <c r="Z25" i="90"/>
  <c r="AA25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U26" i="90"/>
  <c r="V26" i="90"/>
  <c r="X26" i="90"/>
  <c r="Y26" i="90"/>
  <c r="Z26" i="90"/>
  <c r="AA26" i="90"/>
  <c r="E27" i="90"/>
  <c r="F27" i="90"/>
  <c r="G27" i="90"/>
  <c r="H27" i="90"/>
  <c r="I27" i="90"/>
  <c r="J27" i="90"/>
  <c r="K27" i="90"/>
  <c r="L27" i="90"/>
  <c r="M27" i="90"/>
  <c r="N27" i="90"/>
  <c r="O27" i="90"/>
  <c r="P27" i="90"/>
  <c r="Q27" i="90"/>
  <c r="R27" i="90"/>
  <c r="S27" i="90"/>
  <c r="T27" i="90"/>
  <c r="U27" i="90"/>
  <c r="V27" i="90"/>
  <c r="X27" i="90"/>
  <c r="Y27" i="90"/>
  <c r="Z27" i="90"/>
  <c r="AA27" i="90"/>
  <c r="E28" i="90"/>
  <c r="F28" i="90"/>
  <c r="G28" i="90"/>
  <c r="H28" i="90"/>
  <c r="I28" i="90"/>
  <c r="J28" i="90"/>
  <c r="K28" i="90"/>
  <c r="L28" i="90"/>
  <c r="M28" i="90"/>
  <c r="N28" i="90"/>
  <c r="O28" i="90"/>
  <c r="P28" i="90"/>
  <c r="Q28" i="90"/>
  <c r="R28" i="90"/>
  <c r="S28" i="90"/>
  <c r="T28" i="90"/>
  <c r="U28" i="90"/>
  <c r="V28" i="90"/>
  <c r="X28" i="90"/>
  <c r="Y28" i="90"/>
  <c r="Z28" i="90"/>
  <c r="AA28" i="90"/>
  <c r="E29" i="90"/>
  <c r="F29" i="90"/>
  <c r="G29" i="90"/>
  <c r="H29" i="90"/>
  <c r="I29" i="90"/>
  <c r="J29" i="90"/>
  <c r="J39" i="90" s="1"/>
  <c r="K29" i="90"/>
  <c r="L29" i="90"/>
  <c r="M29" i="90"/>
  <c r="N29" i="90"/>
  <c r="O29" i="90"/>
  <c r="P29" i="90"/>
  <c r="Q29" i="90"/>
  <c r="R29" i="90"/>
  <c r="S29" i="90"/>
  <c r="T29" i="90"/>
  <c r="U29" i="90"/>
  <c r="V29" i="90"/>
  <c r="X29" i="90"/>
  <c r="Y29" i="90"/>
  <c r="Z29" i="90"/>
  <c r="AA29" i="90"/>
  <c r="E30" i="90"/>
  <c r="F30" i="90"/>
  <c r="G30" i="90"/>
  <c r="H30" i="90"/>
  <c r="I30" i="90"/>
  <c r="J30" i="90"/>
  <c r="K30" i="90"/>
  <c r="L30" i="90"/>
  <c r="M30" i="90"/>
  <c r="N30" i="90"/>
  <c r="O30" i="90"/>
  <c r="P30" i="90"/>
  <c r="Q30" i="90"/>
  <c r="R30" i="90"/>
  <c r="S30" i="90"/>
  <c r="T30" i="90"/>
  <c r="U30" i="90"/>
  <c r="V30" i="90"/>
  <c r="X30" i="90"/>
  <c r="Y30" i="90"/>
  <c r="Z30" i="90"/>
  <c r="AA30" i="90"/>
  <c r="E31" i="90"/>
  <c r="F31" i="90"/>
  <c r="G31" i="90"/>
  <c r="H31" i="90"/>
  <c r="I31" i="90"/>
  <c r="J31" i="90"/>
  <c r="K31" i="90"/>
  <c r="L31" i="90"/>
  <c r="M31" i="90"/>
  <c r="N31" i="90"/>
  <c r="O31" i="90"/>
  <c r="P31" i="90"/>
  <c r="Q31" i="90"/>
  <c r="R31" i="90"/>
  <c r="S31" i="90"/>
  <c r="T31" i="90"/>
  <c r="U31" i="90"/>
  <c r="V31" i="90"/>
  <c r="X31" i="90"/>
  <c r="Y31" i="90"/>
  <c r="Z31" i="90"/>
  <c r="AA31" i="90"/>
  <c r="E32" i="90"/>
  <c r="F32" i="90"/>
  <c r="G32" i="90"/>
  <c r="H32" i="90"/>
  <c r="I32" i="90"/>
  <c r="J32" i="90"/>
  <c r="K32" i="90"/>
  <c r="L32" i="90"/>
  <c r="M32" i="90"/>
  <c r="N32" i="90"/>
  <c r="O32" i="90"/>
  <c r="P32" i="90"/>
  <c r="Q32" i="90"/>
  <c r="R32" i="90"/>
  <c r="S32" i="90"/>
  <c r="T32" i="90"/>
  <c r="U32" i="90"/>
  <c r="V32" i="90"/>
  <c r="W32" i="90"/>
  <c r="X32" i="90"/>
  <c r="Y32" i="90"/>
  <c r="Z32" i="90"/>
  <c r="AA32" i="90"/>
  <c r="E33" i="90"/>
  <c r="F33" i="90"/>
  <c r="G33" i="90"/>
  <c r="H33" i="90"/>
  <c r="I33" i="90"/>
  <c r="J33" i="90"/>
  <c r="K33" i="90"/>
  <c r="L33" i="90"/>
  <c r="M33" i="90"/>
  <c r="N33" i="90"/>
  <c r="O33" i="90"/>
  <c r="P33" i="90"/>
  <c r="Q33" i="90"/>
  <c r="R33" i="90"/>
  <c r="S33" i="90"/>
  <c r="T33" i="90"/>
  <c r="U33" i="90"/>
  <c r="V33" i="90"/>
  <c r="W33" i="90"/>
  <c r="X33" i="90"/>
  <c r="Y33" i="90"/>
  <c r="Z33" i="90"/>
  <c r="AA33" i="90"/>
  <c r="E34" i="90"/>
  <c r="F34" i="90"/>
  <c r="G34" i="90"/>
  <c r="H34" i="90"/>
  <c r="I34" i="90"/>
  <c r="J34" i="90"/>
  <c r="K34" i="90"/>
  <c r="L34" i="90"/>
  <c r="M34" i="90"/>
  <c r="N34" i="90"/>
  <c r="O34" i="90"/>
  <c r="P34" i="90"/>
  <c r="Q34" i="90"/>
  <c r="R34" i="90"/>
  <c r="S34" i="90"/>
  <c r="T34" i="90"/>
  <c r="U34" i="90"/>
  <c r="V34" i="90"/>
  <c r="W34" i="90"/>
  <c r="X34" i="90"/>
  <c r="Y34" i="90"/>
  <c r="Z34" i="90"/>
  <c r="AA34" i="90"/>
  <c r="E35" i="90"/>
  <c r="F35" i="90"/>
  <c r="G35" i="90"/>
  <c r="H35" i="90"/>
  <c r="I35" i="90"/>
  <c r="J35" i="90"/>
  <c r="K35" i="90"/>
  <c r="L35" i="90"/>
  <c r="M35" i="90"/>
  <c r="N35" i="90"/>
  <c r="O35" i="90"/>
  <c r="P35" i="90"/>
  <c r="Q35" i="90"/>
  <c r="R35" i="90"/>
  <c r="S35" i="90"/>
  <c r="T35" i="90"/>
  <c r="U35" i="90"/>
  <c r="V35" i="90"/>
  <c r="W35" i="90"/>
  <c r="X35" i="90"/>
  <c r="Y35" i="90"/>
  <c r="Z35" i="90"/>
  <c r="AA35" i="90"/>
  <c r="E36" i="90"/>
  <c r="F36" i="90"/>
  <c r="G36" i="90"/>
  <c r="H36" i="90"/>
  <c r="I36" i="90"/>
  <c r="J36" i="90"/>
  <c r="K36" i="90"/>
  <c r="L36" i="90"/>
  <c r="M36" i="90"/>
  <c r="N36" i="90"/>
  <c r="O36" i="90"/>
  <c r="P36" i="90"/>
  <c r="Q36" i="90"/>
  <c r="R36" i="90"/>
  <c r="S36" i="90"/>
  <c r="T36" i="90"/>
  <c r="U36" i="90"/>
  <c r="V36" i="90"/>
  <c r="W36" i="90"/>
  <c r="X36" i="90"/>
  <c r="Y36" i="90"/>
  <c r="Z36" i="90"/>
  <c r="AA36" i="90"/>
  <c r="E37" i="90"/>
  <c r="F37" i="90"/>
  <c r="G37" i="90"/>
  <c r="H37" i="90"/>
  <c r="I37" i="90"/>
  <c r="J37" i="90"/>
  <c r="K37" i="90"/>
  <c r="L37" i="90"/>
  <c r="M37" i="90"/>
  <c r="N37" i="90"/>
  <c r="O37" i="90"/>
  <c r="P37" i="90"/>
  <c r="Q37" i="90"/>
  <c r="R37" i="90"/>
  <c r="S37" i="90"/>
  <c r="T37" i="90"/>
  <c r="U37" i="90"/>
  <c r="V37" i="90"/>
  <c r="W37" i="90"/>
  <c r="X37" i="90"/>
  <c r="Y37" i="90"/>
  <c r="Z37" i="90"/>
  <c r="AA37" i="90"/>
  <c r="E38" i="90"/>
  <c r="F38" i="90"/>
  <c r="G38" i="90"/>
  <c r="H38" i="90"/>
  <c r="I38" i="90"/>
  <c r="J38" i="90"/>
  <c r="K38" i="90"/>
  <c r="L38" i="90"/>
  <c r="M38" i="90"/>
  <c r="N38" i="90"/>
  <c r="O38" i="90"/>
  <c r="P38" i="90"/>
  <c r="Q38" i="90"/>
  <c r="R38" i="90"/>
  <c r="S38" i="90"/>
  <c r="T38" i="90"/>
  <c r="U38" i="90"/>
  <c r="V38" i="90"/>
  <c r="W38" i="90"/>
  <c r="X38" i="90"/>
  <c r="Y38" i="90"/>
  <c r="Z38" i="90"/>
  <c r="AA38" i="90"/>
  <c r="D7" i="90"/>
  <c r="D8" i="90"/>
  <c r="D9" i="90"/>
  <c r="D10" i="90"/>
  <c r="D11" i="90"/>
  <c r="D12" i="90"/>
  <c r="D13" i="90"/>
  <c r="D14" i="90"/>
  <c r="D15" i="90"/>
  <c r="D16" i="90"/>
  <c r="D17" i="90"/>
  <c r="D18" i="90"/>
  <c r="D19" i="90"/>
  <c r="D20" i="90"/>
  <c r="D21" i="90"/>
  <c r="D22" i="90"/>
  <c r="D23" i="90"/>
  <c r="D24" i="90"/>
  <c r="D25" i="90"/>
  <c r="D26" i="90"/>
  <c r="D27" i="90"/>
  <c r="D28" i="90"/>
  <c r="D29" i="90"/>
  <c r="D30" i="90"/>
  <c r="D31" i="90"/>
  <c r="D32" i="90"/>
  <c r="D33" i="90"/>
  <c r="D34" i="90"/>
  <c r="D35" i="90"/>
  <c r="D36" i="90"/>
  <c r="D37" i="90"/>
  <c r="D38" i="90"/>
  <c r="D6" i="90"/>
  <c r="R60" i="90"/>
  <c r="R61" i="90" s="1"/>
  <c r="AB39" i="90"/>
  <c r="X39" i="90"/>
  <c r="E39" i="90"/>
  <c r="D39" i="90"/>
  <c r="A6" i="90"/>
  <c r="A7" i="90" s="1"/>
  <c r="A8" i="90" s="1"/>
  <c r="A9" i="90" s="1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E9" i="89"/>
  <c r="F9" i="89"/>
  <c r="G9" i="89"/>
  <c r="H9" i="89"/>
  <c r="I9" i="89"/>
  <c r="J9" i="89"/>
  <c r="K9" i="89"/>
  <c r="L9" i="89"/>
  <c r="M9" i="89"/>
  <c r="N9" i="89"/>
  <c r="O9" i="89"/>
  <c r="P9" i="89"/>
  <c r="Q9" i="89"/>
  <c r="R9" i="89"/>
  <c r="S9" i="89"/>
  <c r="T9" i="89"/>
  <c r="U9" i="89"/>
  <c r="V9" i="89"/>
  <c r="W9" i="89"/>
  <c r="X9" i="89"/>
  <c r="Y9" i="89"/>
  <c r="Z9" i="89"/>
  <c r="AA9" i="89"/>
  <c r="E10" i="89"/>
  <c r="F10" i="89"/>
  <c r="G10" i="89"/>
  <c r="H10" i="89"/>
  <c r="I10" i="89"/>
  <c r="J10" i="89"/>
  <c r="K10" i="89"/>
  <c r="L10" i="89"/>
  <c r="M10" i="89"/>
  <c r="N10" i="89"/>
  <c r="O10" i="89"/>
  <c r="P10" i="89"/>
  <c r="Q10" i="89"/>
  <c r="R10" i="89"/>
  <c r="S10" i="89"/>
  <c r="T10" i="89"/>
  <c r="U10" i="89"/>
  <c r="V10" i="89"/>
  <c r="W10" i="89"/>
  <c r="X10" i="89"/>
  <c r="Y10" i="89"/>
  <c r="Z10" i="89"/>
  <c r="AA10" i="89"/>
  <c r="E31" i="89"/>
  <c r="F31" i="89"/>
  <c r="G31" i="89"/>
  <c r="H31" i="89"/>
  <c r="I31" i="89"/>
  <c r="J31" i="89"/>
  <c r="K31" i="89"/>
  <c r="L31" i="89"/>
  <c r="M31" i="89"/>
  <c r="N31" i="89"/>
  <c r="O31" i="89"/>
  <c r="P31" i="89"/>
  <c r="Q31" i="89"/>
  <c r="R31" i="89"/>
  <c r="S31" i="89"/>
  <c r="T31" i="89"/>
  <c r="U31" i="89"/>
  <c r="V31" i="89"/>
  <c r="W31" i="89"/>
  <c r="X31" i="89"/>
  <c r="Y31" i="89"/>
  <c r="Z31" i="89"/>
  <c r="AA31" i="89"/>
  <c r="E11" i="89"/>
  <c r="F11" i="89"/>
  <c r="G11" i="89"/>
  <c r="H11" i="89"/>
  <c r="I11" i="89"/>
  <c r="J11" i="89"/>
  <c r="K11" i="89"/>
  <c r="L11" i="89"/>
  <c r="M11" i="89"/>
  <c r="N11" i="89"/>
  <c r="O11" i="89"/>
  <c r="P11" i="89"/>
  <c r="Q11" i="89"/>
  <c r="R11" i="89"/>
  <c r="S11" i="89"/>
  <c r="T11" i="89"/>
  <c r="U11" i="89"/>
  <c r="V11" i="89"/>
  <c r="W11" i="89"/>
  <c r="X11" i="89"/>
  <c r="Y11" i="89"/>
  <c r="Z11" i="89"/>
  <c r="AA11" i="89"/>
  <c r="E12" i="89"/>
  <c r="F12" i="89"/>
  <c r="G12" i="89"/>
  <c r="H12" i="89"/>
  <c r="I12" i="89"/>
  <c r="J12" i="89"/>
  <c r="K12" i="89"/>
  <c r="L12" i="89"/>
  <c r="M12" i="89"/>
  <c r="N12" i="89"/>
  <c r="O12" i="89"/>
  <c r="P12" i="89"/>
  <c r="Q12" i="89"/>
  <c r="R12" i="89"/>
  <c r="S12" i="89"/>
  <c r="T12" i="89"/>
  <c r="U12" i="89"/>
  <c r="V12" i="89"/>
  <c r="W12" i="89"/>
  <c r="X12" i="89"/>
  <c r="Y12" i="89"/>
  <c r="Z12" i="89"/>
  <c r="AA12" i="89"/>
  <c r="E13" i="89"/>
  <c r="F13" i="89"/>
  <c r="G13" i="89"/>
  <c r="H13" i="89"/>
  <c r="I13" i="89"/>
  <c r="J13" i="89"/>
  <c r="K13" i="89"/>
  <c r="L13" i="89"/>
  <c r="M13" i="89"/>
  <c r="N13" i="89"/>
  <c r="O13" i="89"/>
  <c r="P13" i="89"/>
  <c r="Q13" i="89"/>
  <c r="R13" i="89"/>
  <c r="S13" i="89"/>
  <c r="T13" i="89"/>
  <c r="U13" i="89"/>
  <c r="V13" i="89"/>
  <c r="W13" i="89"/>
  <c r="X13" i="89"/>
  <c r="Y13" i="89"/>
  <c r="Z13" i="89"/>
  <c r="AA13" i="89"/>
  <c r="E14" i="89"/>
  <c r="F14" i="89"/>
  <c r="G14" i="89"/>
  <c r="H14" i="89"/>
  <c r="I14" i="89"/>
  <c r="J14" i="89"/>
  <c r="K14" i="89"/>
  <c r="L14" i="89"/>
  <c r="M14" i="89"/>
  <c r="N14" i="89"/>
  <c r="O14" i="89"/>
  <c r="P14" i="89"/>
  <c r="Q14" i="89"/>
  <c r="R14" i="89"/>
  <c r="S14" i="89"/>
  <c r="T14" i="89"/>
  <c r="U14" i="89"/>
  <c r="V14" i="89"/>
  <c r="W14" i="89"/>
  <c r="X14" i="89"/>
  <c r="Y14" i="89"/>
  <c r="Z14" i="89"/>
  <c r="AA14" i="89"/>
  <c r="E15" i="89"/>
  <c r="F15" i="89"/>
  <c r="G15" i="89"/>
  <c r="H15" i="89"/>
  <c r="I15" i="89"/>
  <c r="J15" i="89"/>
  <c r="K15" i="89"/>
  <c r="L15" i="89"/>
  <c r="M15" i="89"/>
  <c r="N15" i="89"/>
  <c r="O15" i="89"/>
  <c r="P15" i="89"/>
  <c r="Q15" i="89"/>
  <c r="R15" i="89"/>
  <c r="S15" i="89"/>
  <c r="T15" i="89"/>
  <c r="U15" i="89"/>
  <c r="V15" i="89"/>
  <c r="W15" i="89"/>
  <c r="X15" i="89"/>
  <c r="Y15" i="89"/>
  <c r="Z15" i="89"/>
  <c r="AA15" i="89"/>
  <c r="E40" i="89"/>
  <c r="F40" i="89"/>
  <c r="G40" i="89"/>
  <c r="H40" i="89"/>
  <c r="I40" i="89"/>
  <c r="J40" i="89"/>
  <c r="K40" i="89"/>
  <c r="L40" i="89"/>
  <c r="M40" i="89"/>
  <c r="N40" i="89"/>
  <c r="O40" i="89"/>
  <c r="P40" i="89"/>
  <c r="Q40" i="89"/>
  <c r="R40" i="89"/>
  <c r="S40" i="89"/>
  <c r="T40" i="89"/>
  <c r="U40" i="89"/>
  <c r="V40" i="89"/>
  <c r="V41" i="89" s="1"/>
  <c r="X40" i="89"/>
  <c r="Y40" i="89"/>
  <c r="Z40" i="89"/>
  <c r="AA40" i="89"/>
  <c r="E16" i="89"/>
  <c r="F16" i="89"/>
  <c r="G16" i="89"/>
  <c r="H16" i="89"/>
  <c r="I16" i="89"/>
  <c r="J16" i="89"/>
  <c r="K16" i="89"/>
  <c r="L16" i="89"/>
  <c r="M16" i="89"/>
  <c r="N16" i="89"/>
  <c r="O16" i="89"/>
  <c r="P16" i="89"/>
  <c r="Q16" i="89"/>
  <c r="R16" i="89"/>
  <c r="S16" i="89"/>
  <c r="T16" i="89"/>
  <c r="U16" i="89"/>
  <c r="V16" i="89"/>
  <c r="W16" i="89"/>
  <c r="X16" i="89"/>
  <c r="Y16" i="89"/>
  <c r="Z16" i="89"/>
  <c r="AA16" i="89"/>
  <c r="E17" i="89"/>
  <c r="F17" i="89"/>
  <c r="G17" i="89"/>
  <c r="H17" i="89"/>
  <c r="I17" i="89"/>
  <c r="J17" i="89"/>
  <c r="K17" i="89"/>
  <c r="L17" i="89"/>
  <c r="M17" i="89"/>
  <c r="N17" i="89"/>
  <c r="O17" i="89"/>
  <c r="P17" i="89"/>
  <c r="Q17" i="89"/>
  <c r="R17" i="89"/>
  <c r="S17" i="89"/>
  <c r="T17" i="89"/>
  <c r="U17" i="89"/>
  <c r="V17" i="89"/>
  <c r="W17" i="89"/>
  <c r="X17" i="89"/>
  <c r="Y17" i="89"/>
  <c r="Z17" i="89"/>
  <c r="AA17" i="89"/>
  <c r="E47" i="89"/>
  <c r="F47" i="89"/>
  <c r="G47" i="89"/>
  <c r="H47" i="89"/>
  <c r="I47" i="89"/>
  <c r="J47" i="89"/>
  <c r="K47" i="89"/>
  <c r="L47" i="89"/>
  <c r="M47" i="89"/>
  <c r="N47" i="89"/>
  <c r="O47" i="89"/>
  <c r="P47" i="89"/>
  <c r="Q47" i="89"/>
  <c r="R47" i="89"/>
  <c r="S47" i="89"/>
  <c r="T47" i="89"/>
  <c r="U47" i="89"/>
  <c r="V47" i="89"/>
  <c r="W47" i="89"/>
  <c r="X47" i="89"/>
  <c r="Y47" i="89"/>
  <c r="Z47" i="89"/>
  <c r="AA47" i="89"/>
  <c r="E18" i="89"/>
  <c r="F18" i="89"/>
  <c r="G18" i="89"/>
  <c r="H18" i="89"/>
  <c r="I18" i="89"/>
  <c r="J18" i="89"/>
  <c r="K18" i="89"/>
  <c r="L18" i="89"/>
  <c r="M18" i="89"/>
  <c r="N18" i="89"/>
  <c r="O18" i="89"/>
  <c r="P18" i="89"/>
  <c r="Q18" i="89"/>
  <c r="R18" i="89"/>
  <c r="S18" i="89"/>
  <c r="T18" i="89"/>
  <c r="U18" i="89"/>
  <c r="V18" i="89"/>
  <c r="W18" i="89"/>
  <c r="X18" i="89"/>
  <c r="Y18" i="89"/>
  <c r="Z18" i="89"/>
  <c r="AA18" i="89"/>
  <c r="E19" i="89"/>
  <c r="F19" i="89"/>
  <c r="G19" i="89"/>
  <c r="H19" i="89"/>
  <c r="I19" i="89"/>
  <c r="J19" i="89"/>
  <c r="K19" i="89"/>
  <c r="L19" i="89"/>
  <c r="M19" i="89"/>
  <c r="N19" i="89"/>
  <c r="O19" i="89"/>
  <c r="P19" i="89"/>
  <c r="Q19" i="89"/>
  <c r="R19" i="89"/>
  <c r="S19" i="89"/>
  <c r="T19" i="89"/>
  <c r="U19" i="89"/>
  <c r="V19" i="89"/>
  <c r="W19" i="89"/>
  <c r="X19" i="89"/>
  <c r="Y19" i="89"/>
  <c r="Z19" i="89"/>
  <c r="AA19" i="89"/>
  <c r="E6" i="89"/>
  <c r="F6" i="89"/>
  <c r="G6" i="89"/>
  <c r="H6" i="89"/>
  <c r="I6" i="89"/>
  <c r="J6" i="89"/>
  <c r="K6" i="89"/>
  <c r="L6" i="89"/>
  <c r="M6" i="89"/>
  <c r="N6" i="89"/>
  <c r="O6" i="89"/>
  <c r="P6" i="89"/>
  <c r="Q6" i="89"/>
  <c r="R6" i="89"/>
  <c r="S6" i="89"/>
  <c r="T6" i="89"/>
  <c r="U6" i="89"/>
  <c r="V6" i="89"/>
  <c r="W6" i="89"/>
  <c r="X6" i="89"/>
  <c r="Y6" i="89"/>
  <c r="Z6" i="89"/>
  <c r="AA6" i="89"/>
  <c r="E43" i="89"/>
  <c r="F43" i="89"/>
  <c r="G43" i="89"/>
  <c r="H43" i="89"/>
  <c r="I43" i="89"/>
  <c r="J43" i="89"/>
  <c r="K43" i="89"/>
  <c r="L43" i="89"/>
  <c r="M43" i="89"/>
  <c r="N43" i="89"/>
  <c r="O43" i="89"/>
  <c r="P43" i="89"/>
  <c r="Q43" i="89"/>
  <c r="R43" i="89"/>
  <c r="S43" i="89"/>
  <c r="T43" i="89"/>
  <c r="U43" i="89"/>
  <c r="V43" i="89"/>
  <c r="W43" i="89"/>
  <c r="X43" i="89"/>
  <c r="Y43" i="89"/>
  <c r="Z43" i="89"/>
  <c r="AA43" i="89"/>
  <c r="E20" i="89"/>
  <c r="F20" i="89"/>
  <c r="G20" i="89"/>
  <c r="H20" i="89"/>
  <c r="I20" i="89"/>
  <c r="J20" i="89"/>
  <c r="K20" i="89"/>
  <c r="L20" i="89"/>
  <c r="M20" i="89"/>
  <c r="N20" i="89"/>
  <c r="O20" i="89"/>
  <c r="P20" i="89"/>
  <c r="Q20" i="89"/>
  <c r="R20" i="89"/>
  <c r="S20" i="89"/>
  <c r="T20" i="89"/>
  <c r="U20" i="89"/>
  <c r="V20" i="89"/>
  <c r="W20" i="89"/>
  <c r="X20" i="89"/>
  <c r="Y20" i="89"/>
  <c r="Z20" i="89"/>
  <c r="AA20" i="89"/>
  <c r="E21" i="89"/>
  <c r="F21" i="89"/>
  <c r="G21" i="89"/>
  <c r="H21" i="89"/>
  <c r="I21" i="89"/>
  <c r="J21" i="89"/>
  <c r="K21" i="89"/>
  <c r="L21" i="89"/>
  <c r="M21" i="89"/>
  <c r="N21" i="89"/>
  <c r="O21" i="89"/>
  <c r="P21" i="89"/>
  <c r="Q21" i="89"/>
  <c r="R21" i="89"/>
  <c r="S21" i="89"/>
  <c r="T21" i="89"/>
  <c r="U21" i="89"/>
  <c r="V21" i="89"/>
  <c r="W21" i="89"/>
  <c r="X21" i="89"/>
  <c r="Y21" i="89"/>
  <c r="Z21" i="89"/>
  <c r="AA21" i="89"/>
  <c r="E22" i="89"/>
  <c r="F22" i="89"/>
  <c r="G22" i="89"/>
  <c r="H22" i="89"/>
  <c r="I22" i="89"/>
  <c r="J22" i="89"/>
  <c r="K22" i="89"/>
  <c r="L22" i="89"/>
  <c r="M22" i="89"/>
  <c r="N22" i="89"/>
  <c r="O22" i="89"/>
  <c r="P22" i="89"/>
  <c r="Q22" i="89"/>
  <c r="R22" i="89"/>
  <c r="S22" i="89"/>
  <c r="T22" i="89"/>
  <c r="U22" i="89"/>
  <c r="V22" i="89"/>
  <c r="W22" i="89"/>
  <c r="X22" i="89"/>
  <c r="Y22" i="89"/>
  <c r="Z22" i="89"/>
  <c r="AA22" i="89"/>
  <c r="E23" i="89"/>
  <c r="F23" i="89"/>
  <c r="G23" i="89"/>
  <c r="H23" i="89"/>
  <c r="I23" i="89"/>
  <c r="J23" i="89"/>
  <c r="K23" i="89"/>
  <c r="L23" i="89"/>
  <c r="M23" i="89"/>
  <c r="N23" i="89"/>
  <c r="O23" i="89"/>
  <c r="P23" i="89"/>
  <c r="Q23" i="89"/>
  <c r="R23" i="89"/>
  <c r="S23" i="89"/>
  <c r="T23" i="89"/>
  <c r="U23" i="89"/>
  <c r="V23" i="89"/>
  <c r="W23" i="89"/>
  <c r="X23" i="89"/>
  <c r="Y23" i="89"/>
  <c r="Z23" i="89"/>
  <c r="AA23" i="89"/>
  <c r="E24" i="89"/>
  <c r="F24" i="89"/>
  <c r="G24" i="89"/>
  <c r="H24" i="89"/>
  <c r="I24" i="89"/>
  <c r="J24" i="89"/>
  <c r="K24" i="89"/>
  <c r="L24" i="89"/>
  <c r="M24" i="89"/>
  <c r="N24" i="89"/>
  <c r="O24" i="89"/>
  <c r="P24" i="89"/>
  <c r="Q24" i="89"/>
  <c r="R24" i="89"/>
  <c r="S24" i="89"/>
  <c r="T24" i="89"/>
  <c r="U24" i="89"/>
  <c r="V24" i="89"/>
  <c r="W24" i="89"/>
  <c r="X24" i="89"/>
  <c r="Y24" i="89"/>
  <c r="Z24" i="89"/>
  <c r="AA24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R25" i="89"/>
  <c r="S25" i="89"/>
  <c r="T25" i="89"/>
  <c r="U25" i="89"/>
  <c r="V25" i="89"/>
  <c r="W25" i="89"/>
  <c r="X25" i="89"/>
  <c r="Y25" i="89"/>
  <c r="Z25" i="89"/>
  <c r="AA25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R26" i="89"/>
  <c r="S26" i="89"/>
  <c r="T26" i="89"/>
  <c r="U26" i="89"/>
  <c r="V26" i="89"/>
  <c r="W26" i="89"/>
  <c r="X26" i="89"/>
  <c r="Y26" i="89"/>
  <c r="Z26" i="89"/>
  <c r="AA26" i="89"/>
  <c r="E32" i="89"/>
  <c r="F32" i="89"/>
  <c r="G32" i="89"/>
  <c r="H32" i="89"/>
  <c r="I32" i="89"/>
  <c r="J32" i="89"/>
  <c r="K32" i="89"/>
  <c r="L32" i="89"/>
  <c r="M32" i="89"/>
  <c r="N32" i="89"/>
  <c r="O32" i="89"/>
  <c r="P32" i="89"/>
  <c r="Q32" i="89"/>
  <c r="R32" i="89"/>
  <c r="S32" i="89"/>
  <c r="T32" i="89"/>
  <c r="U32" i="89"/>
  <c r="V32" i="89"/>
  <c r="W32" i="89"/>
  <c r="X32" i="89"/>
  <c r="Y32" i="89"/>
  <c r="Z32" i="89"/>
  <c r="AA32" i="89"/>
  <c r="E44" i="89"/>
  <c r="F44" i="89"/>
  <c r="G44" i="89"/>
  <c r="H44" i="89"/>
  <c r="I44" i="89"/>
  <c r="J44" i="89"/>
  <c r="K44" i="89"/>
  <c r="L44" i="89"/>
  <c r="M44" i="89"/>
  <c r="N44" i="89"/>
  <c r="O44" i="89"/>
  <c r="P44" i="89"/>
  <c r="Q44" i="89"/>
  <c r="R44" i="89"/>
  <c r="S44" i="89"/>
  <c r="T44" i="89"/>
  <c r="U44" i="89"/>
  <c r="V44" i="89"/>
  <c r="W44" i="89"/>
  <c r="X44" i="89"/>
  <c r="Y44" i="89"/>
  <c r="Z44" i="89"/>
  <c r="AA44" i="89"/>
  <c r="E33" i="89"/>
  <c r="F33" i="89"/>
  <c r="G33" i="89"/>
  <c r="H33" i="89"/>
  <c r="I33" i="89"/>
  <c r="J33" i="89"/>
  <c r="K33" i="89"/>
  <c r="L33" i="89"/>
  <c r="M33" i="89"/>
  <c r="N33" i="89"/>
  <c r="O33" i="89"/>
  <c r="P33" i="89"/>
  <c r="Q33" i="89"/>
  <c r="R33" i="89"/>
  <c r="S33" i="89"/>
  <c r="T33" i="89"/>
  <c r="U33" i="89"/>
  <c r="V33" i="89"/>
  <c r="V35" i="89" s="1"/>
  <c r="X33" i="89"/>
  <c r="Y33" i="89"/>
  <c r="Z33" i="89"/>
  <c r="AA33" i="89"/>
  <c r="E27" i="89"/>
  <c r="F27" i="89"/>
  <c r="G27" i="89"/>
  <c r="H27" i="89"/>
  <c r="I27" i="89"/>
  <c r="J27" i="89"/>
  <c r="K27" i="89"/>
  <c r="L27" i="89"/>
  <c r="M27" i="89"/>
  <c r="N27" i="89"/>
  <c r="O27" i="89"/>
  <c r="P27" i="89"/>
  <c r="Q27" i="89"/>
  <c r="R27" i="89"/>
  <c r="S27" i="89"/>
  <c r="T27" i="89"/>
  <c r="U27" i="89"/>
  <c r="V27" i="89"/>
  <c r="W27" i="89"/>
  <c r="X27" i="89"/>
  <c r="Y27" i="89"/>
  <c r="Z27" i="89"/>
  <c r="AA27" i="89"/>
  <c r="E37" i="89"/>
  <c r="F37" i="89"/>
  <c r="G37" i="89"/>
  <c r="H37" i="89"/>
  <c r="I37" i="89"/>
  <c r="J37" i="89"/>
  <c r="K37" i="89"/>
  <c r="L37" i="89"/>
  <c r="M37" i="89"/>
  <c r="N37" i="89"/>
  <c r="O37" i="89"/>
  <c r="P37" i="89"/>
  <c r="Q37" i="89"/>
  <c r="R37" i="89"/>
  <c r="S37" i="89"/>
  <c r="T37" i="89"/>
  <c r="U37" i="89"/>
  <c r="V37" i="89"/>
  <c r="W37" i="89"/>
  <c r="X37" i="89"/>
  <c r="Y37" i="89"/>
  <c r="Z37" i="89"/>
  <c r="AA37" i="89"/>
  <c r="E34" i="89"/>
  <c r="F34" i="89"/>
  <c r="G34" i="89"/>
  <c r="H34" i="89"/>
  <c r="I34" i="89"/>
  <c r="J34" i="89"/>
  <c r="K34" i="89"/>
  <c r="L34" i="89"/>
  <c r="M34" i="89"/>
  <c r="N34" i="89"/>
  <c r="O34" i="89"/>
  <c r="P34" i="89"/>
  <c r="Q34" i="89"/>
  <c r="R34" i="89"/>
  <c r="S34" i="89"/>
  <c r="T34" i="89"/>
  <c r="U34" i="89"/>
  <c r="V34" i="89"/>
  <c r="W34" i="89"/>
  <c r="X34" i="89"/>
  <c r="Y34" i="89"/>
  <c r="Z34" i="89"/>
  <c r="AA34" i="89"/>
  <c r="E28" i="89"/>
  <c r="F28" i="89"/>
  <c r="G28" i="89"/>
  <c r="H28" i="89"/>
  <c r="I28" i="89"/>
  <c r="J28" i="89"/>
  <c r="K28" i="89"/>
  <c r="L28" i="89"/>
  <c r="M28" i="89"/>
  <c r="N28" i="89"/>
  <c r="O28" i="89"/>
  <c r="P28" i="89"/>
  <c r="Q28" i="89"/>
  <c r="R28" i="89"/>
  <c r="S28" i="89"/>
  <c r="T28" i="89"/>
  <c r="U28" i="89"/>
  <c r="V28" i="89"/>
  <c r="W28" i="89"/>
  <c r="X28" i="89"/>
  <c r="Y28" i="89"/>
  <c r="Z28" i="89"/>
  <c r="AA28" i="89"/>
  <c r="D10" i="89"/>
  <c r="D31" i="89"/>
  <c r="D11" i="89"/>
  <c r="D12" i="89"/>
  <c r="D13" i="89"/>
  <c r="D14" i="89"/>
  <c r="D15" i="89"/>
  <c r="D40" i="89"/>
  <c r="D16" i="89"/>
  <c r="D17" i="89"/>
  <c r="D47" i="89"/>
  <c r="D18" i="89"/>
  <c r="D19" i="89"/>
  <c r="D6" i="89"/>
  <c r="D43" i="89"/>
  <c r="D20" i="89"/>
  <c r="D21" i="89"/>
  <c r="D22" i="89"/>
  <c r="D23" i="89"/>
  <c r="D24" i="89"/>
  <c r="D25" i="89"/>
  <c r="D26" i="89"/>
  <c r="D32" i="89"/>
  <c r="D44" i="89"/>
  <c r="D33" i="89"/>
  <c r="D27" i="89"/>
  <c r="D37" i="89"/>
  <c r="D34" i="89"/>
  <c r="D28" i="89"/>
  <c r="D9" i="89"/>
  <c r="R77" i="89"/>
  <c r="R78" i="89" s="1"/>
  <c r="A10" i="89"/>
  <c r="AA10" i="88"/>
  <c r="AA21" i="88"/>
  <c r="AA11" i="88"/>
  <c r="AA12" i="88"/>
  <c r="AA13" i="88"/>
  <c r="AA14" i="88"/>
  <c r="AA15" i="88"/>
  <c r="AA16" i="88"/>
  <c r="AA6" i="88"/>
  <c r="AA7" i="88"/>
  <c r="AA17" i="88"/>
  <c r="AA18" i="88"/>
  <c r="AA6" i="87"/>
  <c r="AA7" i="87"/>
  <c r="AA8" i="87"/>
  <c r="AA9" i="87"/>
  <c r="AA10" i="87"/>
  <c r="AA11" i="87"/>
  <c r="AA12" i="87"/>
  <c r="AA13" i="87"/>
  <c r="AA14" i="87"/>
  <c r="AA15" i="87"/>
  <c r="AA16" i="87"/>
  <c r="AA17" i="87"/>
  <c r="AA18" i="87"/>
  <c r="AA19" i="87"/>
  <c r="AA20" i="87"/>
  <c r="AA21" i="87"/>
  <c r="AA22" i="87"/>
  <c r="AA23" i="87"/>
  <c r="AA24" i="87"/>
  <c r="AA6" i="86"/>
  <c r="AA7" i="86"/>
  <c r="AA8" i="86"/>
  <c r="AA9" i="86"/>
  <c r="AA10" i="86"/>
  <c r="AA9" i="85"/>
  <c r="AA12" i="85"/>
  <c r="AA77" i="85"/>
  <c r="AA24" i="85"/>
  <c r="AA25" i="85"/>
  <c r="AA92" i="85"/>
  <c r="AA93" i="85"/>
  <c r="AA26" i="85"/>
  <c r="AA27" i="85"/>
  <c r="AA28" i="85"/>
  <c r="AA29" i="85"/>
  <c r="AA94" i="85"/>
  <c r="AA30" i="85"/>
  <c r="AA31" i="85"/>
  <c r="AA13" i="85"/>
  <c r="AA32" i="85"/>
  <c r="AA33" i="85"/>
  <c r="AA14" i="85"/>
  <c r="AA15" i="85"/>
  <c r="AA16" i="85"/>
  <c r="AA85" i="85"/>
  <c r="AA86" i="85"/>
  <c r="AA34" i="85"/>
  <c r="AA35" i="85"/>
  <c r="AA36" i="85"/>
  <c r="AA37" i="85"/>
  <c r="AA38" i="85"/>
  <c r="AA39" i="85"/>
  <c r="AA40" i="85"/>
  <c r="AA17" i="85"/>
  <c r="AA78" i="85"/>
  <c r="AA87" i="85"/>
  <c r="AA41" i="85"/>
  <c r="AA18" i="85"/>
  <c r="AA19" i="85"/>
  <c r="AA42" i="85"/>
  <c r="AA43" i="85"/>
  <c r="AA65" i="85"/>
  <c r="AA44" i="85"/>
  <c r="AA45" i="85"/>
  <c r="AA46" i="85"/>
  <c r="AA47" i="85"/>
  <c r="AA48" i="85"/>
  <c r="AA49" i="85"/>
  <c r="AA50" i="85"/>
  <c r="AA51" i="85"/>
  <c r="AA20" i="85"/>
  <c r="AA79" i="85"/>
  <c r="AA52" i="85"/>
  <c r="AA66" i="85"/>
  <c r="AA21" i="85"/>
  <c r="AA88" i="85"/>
  <c r="AA80" i="85"/>
  <c r="AA53" i="85"/>
  <c r="AA54" i="85"/>
  <c r="AA67" i="85"/>
  <c r="AA6" i="85"/>
  <c r="AA55" i="85"/>
  <c r="AA81" i="85"/>
  <c r="AA89" i="85"/>
  <c r="AA56" i="85"/>
  <c r="AA74" i="85"/>
  <c r="AA57" i="85"/>
  <c r="AA58" i="85"/>
  <c r="AA71" i="85"/>
  <c r="AA59" i="85"/>
  <c r="AA60" i="85"/>
  <c r="AA61" i="85"/>
  <c r="AA82" i="85"/>
  <c r="AA62" i="85"/>
  <c r="AA68" i="85"/>
  <c r="AA102" i="84"/>
  <c r="AA52" i="84"/>
  <c r="AA55" i="84"/>
  <c r="AA77" i="84"/>
  <c r="AA78" i="84"/>
  <c r="AA79" i="84"/>
  <c r="AA80" i="84"/>
  <c r="AA108" i="84"/>
  <c r="AA81" i="84"/>
  <c r="AA82" i="84"/>
  <c r="AA109" i="84"/>
  <c r="AA83" i="84"/>
  <c r="AA56" i="84"/>
  <c r="AA85" i="84"/>
  <c r="AA86" i="84"/>
  <c r="AA61" i="84"/>
  <c r="AA62" i="84"/>
  <c r="AA63" i="84"/>
  <c r="AA87" i="84"/>
  <c r="AA34" i="84"/>
  <c r="AA19" i="84"/>
  <c r="AA20" i="84"/>
  <c r="AA21" i="84"/>
  <c r="AA22" i="84"/>
  <c r="AA69" i="84"/>
  <c r="AA9" i="84"/>
  <c r="AA23" i="84"/>
  <c r="AA24" i="84"/>
  <c r="AA25" i="84"/>
  <c r="AA26" i="84"/>
  <c r="AA27" i="84"/>
  <c r="AA124" i="84"/>
  <c r="AA28" i="84"/>
  <c r="AA96" i="84"/>
  <c r="AA6" i="84"/>
  <c r="AA97" i="84"/>
  <c r="AA29" i="84"/>
  <c r="AA30" i="84"/>
  <c r="AA119" i="84"/>
  <c r="AA31" i="84"/>
  <c r="AA32" i="84"/>
  <c r="AA33" i="84"/>
  <c r="AA98" i="84"/>
  <c r="AA99" i="84"/>
  <c r="AA35" i="84"/>
  <c r="AA36" i="84"/>
  <c r="AA37" i="84"/>
  <c r="AA125" i="84"/>
  <c r="AA100" i="84"/>
  <c r="AA38" i="84"/>
  <c r="AA39" i="84"/>
  <c r="AA40" i="84"/>
  <c r="AA41" i="84"/>
  <c r="AA42" i="84"/>
  <c r="AA10" i="84"/>
  <c r="AA43" i="84"/>
  <c r="AA44" i="84"/>
  <c r="AA11" i="84"/>
  <c r="AA12" i="84"/>
  <c r="AA72" i="84"/>
  <c r="AA45" i="84"/>
  <c r="AA46" i="84"/>
  <c r="AA47" i="84"/>
  <c r="AA101" i="84"/>
  <c r="AA103" i="84"/>
  <c r="AA13" i="84"/>
  <c r="AA48" i="84"/>
  <c r="AA49" i="84"/>
  <c r="AA50" i="84"/>
  <c r="AA51" i="84"/>
  <c r="AA73" i="84"/>
  <c r="AA104" i="84"/>
  <c r="AA105" i="84"/>
  <c r="AA106" i="84"/>
  <c r="AA126" i="84"/>
  <c r="AA120" i="84"/>
  <c r="AA53" i="84"/>
  <c r="AA14" i="84"/>
  <c r="AA74" i="84"/>
  <c r="AA75" i="84"/>
  <c r="AA76" i="84"/>
  <c r="AA107" i="84"/>
  <c r="AA127" i="84"/>
  <c r="AA54" i="84"/>
  <c r="AA110" i="84"/>
  <c r="AA111" i="84"/>
  <c r="AA112" i="84"/>
  <c r="AA15" i="84"/>
  <c r="AA16" i="84"/>
  <c r="AA57" i="84"/>
  <c r="AA58" i="84"/>
  <c r="AA59" i="84"/>
  <c r="AA60" i="84"/>
  <c r="AA84" i="84"/>
  <c r="AA113" i="84"/>
  <c r="AA114" i="84"/>
  <c r="AA88" i="84"/>
  <c r="AA89" i="84"/>
  <c r="AA116" i="84"/>
  <c r="AA64" i="84"/>
  <c r="AA65" i="84"/>
  <c r="AA66" i="84"/>
  <c r="AA121" i="84"/>
  <c r="AA115" i="84"/>
  <c r="AA90" i="84"/>
  <c r="AA91" i="84"/>
  <c r="AA92" i="84"/>
  <c r="AA93" i="84"/>
  <c r="AA16" i="83"/>
  <c r="AA17" i="83"/>
  <c r="AA22" i="83"/>
  <c r="AA23" i="83"/>
  <c r="AA24" i="83"/>
  <c r="AA25" i="83"/>
  <c r="AA29" i="83"/>
  <c r="AA30" i="83"/>
  <c r="AA31" i="83"/>
  <c r="AA32" i="83"/>
  <c r="AA34" i="83"/>
  <c r="AA37" i="83"/>
  <c r="AA41" i="83"/>
  <c r="AA42" i="83"/>
  <c r="AA14" i="83"/>
  <c r="AA11" i="83"/>
  <c r="AA12" i="83"/>
  <c r="AA13" i="83"/>
  <c r="AA15" i="83"/>
  <c r="AA18" i="83"/>
  <c r="AA20" i="83"/>
  <c r="AA21" i="83"/>
  <c r="AA26" i="83"/>
  <c r="AA28" i="83"/>
  <c r="AA33" i="83"/>
  <c r="AA35" i="83"/>
  <c r="AA36" i="83"/>
  <c r="AA38" i="83"/>
  <c r="AA39" i="83"/>
  <c r="AA40" i="83"/>
  <c r="AA43" i="83"/>
  <c r="AA44" i="83"/>
  <c r="AA45" i="83"/>
  <c r="AA102" i="83"/>
  <c r="AA46" i="83"/>
  <c r="AA47" i="83"/>
  <c r="AA8" i="83"/>
  <c r="AA50" i="83"/>
  <c r="AA51" i="83"/>
  <c r="AA52" i="83"/>
  <c r="AA53" i="83"/>
  <c r="AA54" i="83"/>
  <c r="AA7" i="83"/>
  <c r="AA55" i="83"/>
  <c r="AA56" i="83"/>
  <c r="AA57" i="83"/>
  <c r="AA93" i="83"/>
  <c r="AA58" i="83"/>
  <c r="AA59" i="83"/>
  <c r="AA60" i="83"/>
  <c r="AA9" i="83"/>
  <c r="AA97" i="83"/>
  <c r="AA61" i="83"/>
  <c r="AA62" i="83"/>
  <c r="AA63" i="83"/>
  <c r="AA64" i="83"/>
  <c r="AA100" i="83"/>
  <c r="AA65" i="83"/>
  <c r="AA66" i="83"/>
  <c r="AA10" i="83"/>
  <c r="AA67" i="83"/>
  <c r="AA68" i="83"/>
  <c r="AA94" i="83"/>
  <c r="AA69" i="83"/>
  <c r="AA19" i="83"/>
  <c r="AA70" i="83"/>
  <c r="AA71" i="83"/>
  <c r="AA72" i="83"/>
  <c r="AA101" i="83"/>
  <c r="AA73" i="83"/>
  <c r="AA74" i="83"/>
  <c r="AA75" i="83"/>
  <c r="AA76" i="83"/>
  <c r="AA77" i="83"/>
  <c r="AA78" i="83"/>
  <c r="AA27" i="83"/>
  <c r="AA79" i="83"/>
  <c r="AA80" i="83"/>
  <c r="AA81" i="83"/>
  <c r="AA82" i="83"/>
  <c r="AA83" i="83"/>
  <c r="AA84" i="83"/>
  <c r="AA85" i="83"/>
  <c r="AA86" i="83"/>
  <c r="AA87" i="83"/>
  <c r="AA88" i="83"/>
  <c r="AA89" i="83"/>
  <c r="AA90" i="83"/>
  <c r="AA6" i="83"/>
  <c r="E10" i="88"/>
  <c r="F10" i="88"/>
  <c r="G10" i="88"/>
  <c r="H10" i="88"/>
  <c r="I10" i="88"/>
  <c r="J10" i="88"/>
  <c r="K10" i="88"/>
  <c r="L10" i="88"/>
  <c r="M10" i="88"/>
  <c r="N10" i="88"/>
  <c r="O10" i="88"/>
  <c r="P10" i="88"/>
  <c r="Q10" i="88"/>
  <c r="R10" i="88"/>
  <c r="S10" i="88"/>
  <c r="T10" i="88"/>
  <c r="U10" i="88"/>
  <c r="V10" i="88"/>
  <c r="X10" i="88"/>
  <c r="Y10" i="88"/>
  <c r="Z10" i="88"/>
  <c r="E21" i="88"/>
  <c r="F21" i="88"/>
  <c r="G21" i="88"/>
  <c r="H21" i="88"/>
  <c r="I21" i="88"/>
  <c r="J21" i="88"/>
  <c r="K21" i="88"/>
  <c r="L21" i="88"/>
  <c r="M21" i="88"/>
  <c r="N21" i="88"/>
  <c r="O21" i="88"/>
  <c r="P21" i="88"/>
  <c r="Q21" i="88"/>
  <c r="R21" i="88"/>
  <c r="S21" i="88"/>
  <c r="T21" i="88"/>
  <c r="U21" i="88"/>
  <c r="V21" i="88"/>
  <c r="X21" i="88"/>
  <c r="Y21" i="88"/>
  <c r="Z21" i="88"/>
  <c r="E11" i="88"/>
  <c r="F11" i="88"/>
  <c r="G11" i="88"/>
  <c r="H11" i="88"/>
  <c r="I11" i="88"/>
  <c r="J11" i="88"/>
  <c r="K11" i="88"/>
  <c r="L11" i="88"/>
  <c r="M11" i="88"/>
  <c r="N11" i="88"/>
  <c r="O11" i="88"/>
  <c r="P11" i="88"/>
  <c r="Q11" i="88"/>
  <c r="R11" i="88"/>
  <c r="S11" i="88"/>
  <c r="T11" i="88"/>
  <c r="U11" i="88"/>
  <c r="V11" i="88"/>
  <c r="X11" i="88"/>
  <c r="Y11" i="88"/>
  <c r="Z11" i="88"/>
  <c r="E12" i="88"/>
  <c r="F12" i="88"/>
  <c r="G12" i="88"/>
  <c r="H12" i="88"/>
  <c r="I12" i="88"/>
  <c r="J12" i="88"/>
  <c r="K12" i="88"/>
  <c r="L12" i="88"/>
  <c r="M12" i="88"/>
  <c r="N12" i="88"/>
  <c r="O12" i="88"/>
  <c r="P12" i="88"/>
  <c r="Q12" i="88"/>
  <c r="R12" i="88"/>
  <c r="S12" i="88"/>
  <c r="T12" i="88"/>
  <c r="U12" i="88"/>
  <c r="V12" i="88"/>
  <c r="X12" i="88"/>
  <c r="Y12" i="88"/>
  <c r="Z12" i="88"/>
  <c r="E13" i="88"/>
  <c r="F13" i="88"/>
  <c r="G13" i="88"/>
  <c r="H13" i="88"/>
  <c r="I13" i="88"/>
  <c r="J13" i="88"/>
  <c r="K13" i="88"/>
  <c r="L13" i="88"/>
  <c r="M13" i="88"/>
  <c r="N13" i="88"/>
  <c r="O13" i="88"/>
  <c r="P13" i="88"/>
  <c r="Q13" i="88"/>
  <c r="R13" i="88"/>
  <c r="S13" i="88"/>
  <c r="T13" i="88"/>
  <c r="U13" i="88"/>
  <c r="V13" i="88"/>
  <c r="X13" i="88"/>
  <c r="Y13" i="88"/>
  <c r="Z13" i="88"/>
  <c r="E14" i="88"/>
  <c r="F14" i="88"/>
  <c r="G14" i="88"/>
  <c r="H14" i="88"/>
  <c r="I14" i="88"/>
  <c r="J14" i="88"/>
  <c r="K14" i="88"/>
  <c r="L14" i="88"/>
  <c r="M14" i="88"/>
  <c r="N14" i="88"/>
  <c r="O14" i="88"/>
  <c r="P14" i="88"/>
  <c r="Q14" i="88"/>
  <c r="R14" i="88"/>
  <c r="S14" i="88"/>
  <c r="T14" i="88"/>
  <c r="U14" i="88"/>
  <c r="V14" i="88"/>
  <c r="X14" i="88"/>
  <c r="Y14" i="88"/>
  <c r="Z14" i="88"/>
  <c r="E15" i="88"/>
  <c r="F15" i="88"/>
  <c r="G15" i="88"/>
  <c r="H15" i="88"/>
  <c r="I15" i="88"/>
  <c r="J15" i="88"/>
  <c r="K15" i="88"/>
  <c r="L15" i="88"/>
  <c r="M15" i="88"/>
  <c r="N15" i="88"/>
  <c r="O15" i="88"/>
  <c r="P15" i="88"/>
  <c r="Q15" i="88"/>
  <c r="R15" i="88"/>
  <c r="S15" i="88"/>
  <c r="T15" i="88"/>
  <c r="U15" i="88"/>
  <c r="V15" i="88"/>
  <c r="X15" i="88"/>
  <c r="Y15" i="88"/>
  <c r="Z15" i="88"/>
  <c r="E16" i="88"/>
  <c r="F16" i="88"/>
  <c r="G16" i="88"/>
  <c r="H16" i="88"/>
  <c r="I16" i="88"/>
  <c r="J16" i="88"/>
  <c r="K16" i="88"/>
  <c r="L16" i="88"/>
  <c r="M16" i="88"/>
  <c r="N16" i="88"/>
  <c r="O16" i="88"/>
  <c r="P16" i="88"/>
  <c r="Q16" i="88"/>
  <c r="R16" i="88"/>
  <c r="S16" i="88"/>
  <c r="T16" i="88"/>
  <c r="U16" i="88"/>
  <c r="V16" i="88"/>
  <c r="X16" i="88"/>
  <c r="Y16" i="88"/>
  <c r="Z16" i="88"/>
  <c r="E6" i="88"/>
  <c r="F6" i="88"/>
  <c r="G6" i="88"/>
  <c r="H6" i="88"/>
  <c r="I6" i="88"/>
  <c r="J6" i="88"/>
  <c r="K6" i="88"/>
  <c r="L6" i="88"/>
  <c r="M6" i="88"/>
  <c r="N6" i="88"/>
  <c r="O6" i="88"/>
  <c r="P6" i="88"/>
  <c r="Q6" i="88"/>
  <c r="R6" i="88"/>
  <c r="S6" i="88"/>
  <c r="T6" i="88"/>
  <c r="U6" i="88"/>
  <c r="V6" i="88"/>
  <c r="X6" i="88"/>
  <c r="Y6" i="88"/>
  <c r="Z6" i="88"/>
  <c r="E7" i="88"/>
  <c r="F7" i="88"/>
  <c r="G7" i="88"/>
  <c r="H7" i="88"/>
  <c r="I7" i="88"/>
  <c r="J7" i="88"/>
  <c r="K7" i="88"/>
  <c r="L7" i="88"/>
  <c r="M7" i="88"/>
  <c r="N7" i="88"/>
  <c r="O7" i="88"/>
  <c r="P7" i="88"/>
  <c r="Q7" i="88"/>
  <c r="R7" i="88"/>
  <c r="S7" i="88"/>
  <c r="T7" i="88"/>
  <c r="U7" i="88"/>
  <c r="V7" i="88"/>
  <c r="X7" i="88"/>
  <c r="Y7" i="88"/>
  <c r="Z7" i="88"/>
  <c r="E17" i="88"/>
  <c r="F17" i="88"/>
  <c r="G17" i="88"/>
  <c r="H17" i="88"/>
  <c r="I17" i="88"/>
  <c r="J17" i="88"/>
  <c r="K17" i="88"/>
  <c r="L17" i="88"/>
  <c r="M17" i="88"/>
  <c r="N17" i="88"/>
  <c r="O17" i="88"/>
  <c r="P17" i="88"/>
  <c r="Q17" i="88"/>
  <c r="R17" i="88"/>
  <c r="S17" i="88"/>
  <c r="T17" i="88"/>
  <c r="U17" i="88"/>
  <c r="V17" i="88"/>
  <c r="X17" i="88"/>
  <c r="Y17" i="88"/>
  <c r="Z17" i="88"/>
  <c r="E18" i="88"/>
  <c r="F18" i="88"/>
  <c r="G18" i="88"/>
  <c r="H18" i="88"/>
  <c r="I18" i="88"/>
  <c r="J18" i="88"/>
  <c r="K18" i="88"/>
  <c r="L18" i="88"/>
  <c r="M18" i="88"/>
  <c r="N18" i="88"/>
  <c r="O18" i="88"/>
  <c r="P18" i="88"/>
  <c r="Q18" i="88"/>
  <c r="R18" i="88"/>
  <c r="S18" i="88"/>
  <c r="T18" i="88"/>
  <c r="U18" i="88"/>
  <c r="V18" i="88"/>
  <c r="X18" i="88"/>
  <c r="Y18" i="88"/>
  <c r="Z18" i="88"/>
  <c r="D21" i="88"/>
  <c r="D11" i="88"/>
  <c r="D12" i="88"/>
  <c r="D13" i="88"/>
  <c r="D14" i="88"/>
  <c r="D15" i="88"/>
  <c r="D16" i="88"/>
  <c r="D6" i="88"/>
  <c r="D7" i="88"/>
  <c r="D17" i="88"/>
  <c r="D18" i="88"/>
  <c r="D10" i="88"/>
  <c r="AB24" i="88"/>
  <c r="T5" i="88"/>
  <c r="U5" i="88" s="1"/>
  <c r="E6" i="87"/>
  <c r="F6" i="87"/>
  <c r="G6" i="87"/>
  <c r="H6" i="87"/>
  <c r="I6" i="87"/>
  <c r="J6" i="87"/>
  <c r="K6" i="87"/>
  <c r="L6" i="87"/>
  <c r="M6" i="87"/>
  <c r="N6" i="87"/>
  <c r="N25" i="87" s="1"/>
  <c r="O6" i="87"/>
  <c r="P6" i="87"/>
  <c r="Q6" i="87"/>
  <c r="R6" i="87"/>
  <c r="S6" i="87"/>
  <c r="S25" i="87" s="1"/>
  <c r="T6" i="87"/>
  <c r="U6" i="87"/>
  <c r="V6" i="87"/>
  <c r="W6" i="87"/>
  <c r="X6" i="87"/>
  <c r="X25" i="87" s="1"/>
  <c r="Y6" i="87"/>
  <c r="Z6" i="87"/>
  <c r="E7" i="87"/>
  <c r="E25" i="87" s="1"/>
  <c r="F7" i="87"/>
  <c r="G7" i="87"/>
  <c r="H7" i="87"/>
  <c r="I7" i="87"/>
  <c r="J7" i="87"/>
  <c r="J25" i="87" s="1"/>
  <c r="K7" i="87"/>
  <c r="L7" i="87"/>
  <c r="M7" i="87"/>
  <c r="N7" i="87"/>
  <c r="O7" i="87"/>
  <c r="P7" i="87"/>
  <c r="Q7" i="87"/>
  <c r="R7" i="87"/>
  <c r="R25" i="87" s="1"/>
  <c r="S7" i="87"/>
  <c r="T7" i="87"/>
  <c r="U7" i="87"/>
  <c r="V7" i="87"/>
  <c r="V25" i="87" s="1"/>
  <c r="W7" i="87"/>
  <c r="X7" i="87"/>
  <c r="Y7" i="87"/>
  <c r="Z7" i="87"/>
  <c r="Z25" i="87" s="1"/>
  <c r="E8" i="87"/>
  <c r="F8" i="87"/>
  <c r="G8" i="87"/>
  <c r="H8" i="87"/>
  <c r="I8" i="87"/>
  <c r="J8" i="87"/>
  <c r="K8" i="87"/>
  <c r="L8" i="87"/>
  <c r="M8" i="87"/>
  <c r="N8" i="87"/>
  <c r="O8" i="87"/>
  <c r="P8" i="87"/>
  <c r="Q8" i="87"/>
  <c r="R8" i="87"/>
  <c r="S8" i="87"/>
  <c r="T8" i="87"/>
  <c r="U8" i="87"/>
  <c r="V8" i="87"/>
  <c r="W8" i="87"/>
  <c r="X8" i="87"/>
  <c r="Y8" i="87"/>
  <c r="Z8" i="87"/>
  <c r="E9" i="87"/>
  <c r="F9" i="87"/>
  <c r="G9" i="87"/>
  <c r="H9" i="87"/>
  <c r="I9" i="87"/>
  <c r="J9" i="87"/>
  <c r="K9" i="87"/>
  <c r="L9" i="87"/>
  <c r="M9" i="87"/>
  <c r="N9" i="87"/>
  <c r="O9" i="87"/>
  <c r="P9" i="87"/>
  <c r="Q9" i="87"/>
  <c r="R9" i="87"/>
  <c r="S9" i="87"/>
  <c r="T9" i="87"/>
  <c r="U9" i="87"/>
  <c r="V9" i="87"/>
  <c r="W9" i="87"/>
  <c r="X9" i="87"/>
  <c r="Y9" i="87"/>
  <c r="Z9" i="87"/>
  <c r="E10" i="87"/>
  <c r="F10" i="87"/>
  <c r="G10" i="87"/>
  <c r="H10" i="87"/>
  <c r="I10" i="87"/>
  <c r="J10" i="87"/>
  <c r="K10" i="87"/>
  <c r="L10" i="87"/>
  <c r="M10" i="87"/>
  <c r="N10" i="87"/>
  <c r="O10" i="87"/>
  <c r="P10" i="87"/>
  <c r="Q10" i="87"/>
  <c r="R10" i="87"/>
  <c r="S10" i="87"/>
  <c r="T10" i="87"/>
  <c r="U10" i="87"/>
  <c r="V10" i="87"/>
  <c r="W10" i="87"/>
  <c r="X10" i="87"/>
  <c r="Y10" i="87"/>
  <c r="Z10" i="87"/>
  <c r="E11" i="87"/>
  <c r="F11" i="87"/>
  <c r="G11" i="87"/>
  <c r="H11" i="87"/>
  <c r="I11" i="87"/>
  <c r="J11" i="87"/>
  <c r="K11" i="87"/>
  <c r="L11" i="87"/>
  <c r="M11" i="87"/>
  <c r="N11" i="87"/>
  <c r="O11" i="87"/>
  <c r="P11" i="87"/>
  <c r="Q11" i="87"/>
  <c r="R11" i="87"/>
  <c r="S11" i="87"/>
  <c r="T11" i="87"/>
  <c r="U11" i="87"/>
  <c r="V11" i="87"/>
  <c r="W11" i="87"/>
  <c r="X11" i="87"/>
  <c r="Y11" i="87"/>
  <c r="Z11" i="87"/>
  <c r="E12" i="87"/>
  <c r="F12" i="87"/>
  <c r="G12" i="87"/>
  <c r="H12" i="87"/>
  <c r="I12" i="87"/>
  <c r="J12" i="87"/>
  <c r="K12" i="87"/>
  <c r="L12" i="87"/>
  <c r="M12" i="87"/>
  <c r="N12" i="87"/>
  <c r="O12" i="87"/>
  <c r="P12" i="87"/>
  <c r="Q12" i="87"/>
  <c r="R12" i="87"/>
  <c r="S12" i="87"/>
  <c r="T12" i="87"/>
  <c r="U12" i="87"/>
  <c r="V12" i="87"/>
  <c r="W12" i="87"/>
  <c r="X12" i="87"/>
  <c r="Y12" i="87"/>
  <c r="Z12" i="87"/>
  <c r="E13" i="87"/>
  <c r="F13" i="87"/>
  <c r="G13" i="87"/>
  <c r="H13" i="87"/>
  <c r="I13" i="87"/>
  <c r="J13" i="87"/>
  <c r="K13" i="87"/>
  <c r="L13" i="87"/>
  <c r="M13" i="87"/>
  <c r="N13" i="87"/>
  <c r="O13" i="87"/>
  <c r="P13" i="87"/>
  <c r="Q13" i="87"/>
  <c r="R13" i="87"/>
  <c r="S13" i="87"/>
  <c r="T13" i="87"/>
  <c r="U13" i="87"/>
  <c r="V13" i="87"/>
  <c r="W13" i="87"/>
  <c r="X13" i="87"/>
  <c r="Y13" i="87"/>
  <c r="Z13" i="87"/>
  <c r="E14" i="87"/>
  <c r="F14" i="87"/>
  <c r="G14" i="87"/>
  <c r="H14" i="87"/>
  <c r="I14" i="87"/>
  <c r="J14" i="87"/>
  <c r="K14" i="87"/>
  <c r="L14" i="87"/>
  <c r="M14" i="87"/>
  <c r="N14" i="87"/>
  <c r="O14" i="87"/>
  <c r="P14" i="87"/>
  <c r="Q14" i="87"/>
  <c r="R14" i="87"/>
  <c r="S14" i="87"/>
  <c r="T14" i="87"/>
  <c r="U14" i="87"/>
  <c r="V14" i="87"/>
  <c r="W14" i="87"/>
  <c r="X14" i="87"/>
  <c r="Y14" i="87"/>
  <c r="Z14" i="87"/>
  <c r="E15" i="87"/>
  <c r="G15" i="87"/>
  <c r="H15" i="87"/>
  <c r="I15" i="87"/>
  <c r="J15" i="87"/>
  <c r="K15" i="87"/>
  <c r="L15" i="87"/>
  <c r="M15" i="87"/>
  <c r="N15" i="87"/>
  <c r="P15" i="87"/>
  <c r="Q15" i="87"/>
  <c r="R15" i="87"/>
  <c r="S15" i="87"/>
  <c r="T15" i="87"/>
  <c r="U15" i="87"/>
  <c r="V15" i="87"/>
  <c r="W15" i="87"/>
  <c r="X15" i="87"/>
  <c r="Y15" i="87"/>
  <c r="Z15" i="87"/>
  <c r="E16" i="87"/>
  <c r="F16" i="87"/>
  <c r="G16" i="87"/>
  <c r="H16" i="87"/>
  <c r="I16" i="87"/>
  <c r="J16" i="87"/>
  <c r="K16" i="87"/>
  <c r="L16" i="87"/>
  <c r="M16" i="87"/>
  <c r="N16" i="87"/>
  <c r="O16" i="87"/>
  <c r="P16" i="87"/>
  <c r="Q16" i="87"/>
  <c r="R16" i="87"/>
  <c r="S16" i="87"/>
  <c r="T16" i="87"/>
  <c r="U16" i="87"/>
  <c r="V16" i="87"/>
  <c r="W16" i="87"/>
  <c r="X16" i="87"/>
  <c r="Y16" i="87"/>
  <c r="Z16" i="87"/>
  <c r="E17" i="87"/>
  <c r="F17" i="87"/>
  <c r="G17" i="87"/>
  <c r="H17" i="87"/>
  <c r="I17" i="87"/>
  <c r="J17" i="87"/>
  <c r="K17" i="87"/>
  <c r="L17" i="87"/>
  <c r="M17" i="87"/>
  <c r="N17" i="87"/>
  <c r="O17" i="87"/>
  <c r="P17" i="87"/>
  <c r="Q17" i="87"/>
  <c r="R17" i="87"/>
  <c r="S17" i="87"/>
  <c r="T17" i="87"/>
  <c r="U17" i="87"/>
  <c r="V17" i="87"/>
  <c r="W17" i="87"/>
  <c r="X17" i="87"/>
  <c r="Y17" i="87"/>
  <c r="Z17" i="87"/>
  <c r="E18" i="87"/>
  <c r="F18" i="87"/>
  <c r="G18" i="87"/>
  <c r="H18" i="87"/>
  <c r="I18" i="87"/>
  <c r="J18" i="87"/>
  <c r="K18" i="87"/>
  <c r="L18" i="87"/>
  <c r="M18" i="87"/>
  <c r="N18" i="87"/>
  <c r="O18" i="87"/>
  <c r="P18" i="87"/>
  <c r="Q18" i="87"/>
  <c r="R18" i="87"/>
  <c r="S18" i="87"/>
  <c r="T18" i="87"/>
  <c r="U18" i="87"/>
  <c r="V18" i="87"/>
  <c r="W18" i="87"/>
  <c r="X18" i="87"/>
  <c r="Y18" i="87"/>
  <c r="Z18" i="87"/>
  <c r="E19" i="87"/>
  <c r="F19" i="87"/>
  <c r="G19" i="87"/>
  <c r="H19" i="87"/>
  <c r="I19" i="87"/>
  <c r="J19" i="87"/>
  <c r="K19" i="87"/>
  <c r="L19" i="87"/>
  <c r="M19" i="87"/>
  <c r="N19" i="87"/>
  <c r="O19" i="87"/>
  <c r="P19" i="87"/>
  <c r="Q19" i="87"/>
  <c r="R19" i="87"/>
  <c r="S19" i="87"/>
  <c r="T19" i="87"/>
  <c r="U19" i="87"/>
  <c r="V19" i="87"/>
  <c r="W19" i="87"/>
  <c r="X19" i="87"/>
  <c r="Y19" i="87"/>
  <c r="Z19" i="87"/>
  <c r="E20" i="87"/>
  <c r="F20" i="87"/>
  <c r="G20" i="87"/>
  <c r="H20" i="87"/>
  <c r="I20" i="87"/>
  <c r="J20" i="87"/>
  <c r="K20" i="87"/>
  <c r="L20" i="87"/>
  <c r="M20" i="87"/>
  <c r="N20" i="87"/>
  <c r="O20" i="87"/>
  <c r="P20" i="87"/>
  <c r="Q20" i="87"/>
  <c r="R20" i="87"/>
  <c r="S20" i="87"/>
  <c r="T20" i="87"/>
  <c r="U20" i="87"/>
  <c r="V20" i="87"/>
  <c r="W20" i="87"/>
  <c r="X20" i="87"/>
  <c r="Y20" i="87"/>
  <c r="Z20" i="87"/>
  <c r="E21" i="87"/>
  <c r="F21" i="87"/>
  <c r="G21" i="87"/>
  <c r="H21" i="87"/>
  <c r="I21" i="87"/>
  <c r="J21" i="87"/>
  <c r="K21" i="87"/>
  <c r="L21" i="87"/>
  <c r="M21" i="87"/>
  <c r="N21" i="87"/>
  <c r="O21" i="87"/>
  <c r="P21" i="87"/>
  <c r="Q21" i="87"/>
  <c r="R21" i="87"/>
  <c r="S21" i="87"/>
  <c r="T21" i="87"/>
  <c r="U21" i="87"/>
  <c r="V21" i="87"/>
  <c r="W21" i="87"/>
  <c r="X21" i="87"/>
  <c r="Y21" i="87"/>
  <c r="Z21" i="87"/>
  <c r="E22" i="87"/>
  <c r="F22" i="87"/>
  <c r="G22" i="87"/>
  <c r="H22" i="87"/>
  <c r="I22" i="87"/>
  <c r="J22" i="87"/>
  <c r="K22" i="87"/>
  <c r="L22" i="87"/>
  <c r="M22" i="87"/>
  <c r="N22" i="87"/>
  <c r="O22" i="87"/>
  <c r="P22" i="87"/>
  <c r="Q22" i="87"/>
  <c r="R22" i="87"/>
  <c r="S22" i="87"/>
  <c r="T22" i="87"/>
  <c r="U22" i="87"/>
  <c r="V22" i="87"/>
  <c r="W22" i="87"/>
  <c r="X22" i="87"/>
  <c r="Y22" i="87"/>
  <c r="Z22" i="87"/>
  <c r="E23" i="87"/>
  <c r="F23" i="87"/>
  <c r="G23" i="87"/>
  <c r="H23" i="87"/>
  <c r="I23" i="87"/>
  <c r="J23" i="87"/>
  <c r="K23" i="87"/>
  <c r="L23" i="87"/>
  <c r="M23" i="87"/>
  <c r="N23" i="87"/>
  <c r="O23" i="87"/>
  <c r="P23" i="87"/>
  <c r="Q23" i="87"/>
  <c r="R23" i="87"/>
  <c r="S23" i="87"/>
  <c r="T23" i="87"/>
  <c r="U23" i="87"/>
  <c r="V23" i="87"/>
  <c r="W23" i="87"/>
  <c r="X23" i="87"/>
  <c r="Y23" i="87"/>
  <c r="Z23" i="87"/>
  <c r="E24" i="87"/>
  <c r="F24" i="87"/>
  <c r="G24" i="87"/>
  <c r="H24" i="87"/>
  <c r="I24" i="87"/>
  <c r="J24" i="87"/>
  <c r="K24" i="87"/>
  <c r="L24" i="87"/>
  <c r="M24" i="87"/>
  <c r="N24" i="87"/>
  <c r="O24" i="87"/>
  <c r="P24" i="87"/>
  <c r="Q24" i="87"/>
  <c r="R24" i="87"/>
  <c r="S24" i="87"/>
  <c r="T24" i="87"/>
  <c r="U24" i="87"/>
  <c r="V24" i="87"/>
  <c r="W24" i="87"/>
  <c r="X24" i="87"/>
  <c r="Y24" i="87"/>
  <c r="Z24" i="87"/>
  <c r="D7" i="87"/>
  <c r="D8" i="87"/>
  <c r="D9" i="87"/>
  <c r="D10" i="87"/>
  <c r="D11" i="87"/>
  <c r="D12" i="87"/>
  <c r="D13" i="87"/>
  <c r="D14" i="87"/>
  <c r="D16" i="87"/>
  <c r="D17" i="87"/>
  <c r="D18" i="87"/>
  <c r="D19" i="87"/>
  <c r="D20" i="87"/>
  <c r="D21" i="87"/>
  <c r="D22" i="87"/>
  <c r="D23" i="87"/>
  <c r="D24" i="87"/>
  <c r="D6" i="87"/>
  <c r="Y25" i="87"/>
  <c r="Q25" i="87"/>
  <c r="I25" i="87"/>
  <c r="H25" i="87"/>
  <c r="A6" i="87"/>
  <c r="A7" i="87" s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E6" i="86"/>
  <c r="F6" i="86"/>
  <c r="G6" i="86"/>
  <c r="G11" i="86" s="1"/>
  <c r="H6" i="86"/>
  <c r="I6" i="86"/>
  <c r="J6" i="86"/>
  <c r="K6" i="86"/>
  <c r="L6" i="86"/>
  <c r="M6" i="86"/>
  <c r="N6" i="86"/>
  <c r="O6" i="86"/>
  <c r="P6" i="86"/>
  <c r="Q6" i="86"/>
  <c r="R6" i="86"/>
  <c r="S6" i="86"/>
  <c r="S11" i="86" s="1"/>
  <c r="T6" i="86"/>
  <c r="U6" i="86"/>
  <c r="V6" i="86"/>
  <c r="W6" i="86"/>
  <c r="X6" i="86"/>
  <c r="X11" i="86" s="1"/>
  <c r="Y6" i="86"/>
  <c r="Z6" i="86"/>
  <c r="E7" i="86"/>
  <c r="E11" i="86" s="1"/>
  <c r="F7" i="86"/>
  <c r="G7" i="86"/>
  <c r="H7" i="86"/>
  <c r="I7" i="86"/>
  <c r="J7" i="86"/>
  <c r="J11" i="86" s="1"/>
  <c r="K7" i="86"/>
  <c r="L7" i="86"/>
  <c r="M7" i="86"/>
  <c r="N7" i="86"/>
  <c r="N11" i="86" s="1"/>
  <c r="O7" i="86"/>
  <c r="P7" i="86"/>
  <c r="Q7" i="86"/>
  <c r="Q11" i="86" s="1"/>
  <c r="R7" i="86"/>
  <c r="S7" i="86"/>
  <c r="T7" i="86"/>
  <c r="U7" i="86"/>
  <c r="V7" i="86"/>
  <c r="V11" i="86" s="1"/>
  <c r="W7" i="86"/>
  <c r="X7" i="86"/>
  <c r="Y7" i="86"/>
  <c r="Y11" i="86" s="1"/>
  <c r="Z7" i="86"/>
  <c r="E8" i="86"/>
  <c r="F8" i="86"/>
  <c r="G8" i="86"/>
  <c r="H8" i="86"/>
  <c r="I8" i="86"/>
  <c r="J8" i="86"/>
  <c r="K8" i="86"/>
  <c r="L8" i="86"/>
  <c r="M8" i="86"/>
  <c r="N8" i="86"/>
  <c r="O8" i="86"/>
  <c r="P8" i="86"/>
  <c r="Q8" i="86"/>
  <c r="R8" i="86"/>
  <c r="S8" i="86"/>
  <c r="T8" i="86"/>
  <c r="U8" i="86"/>
  <c r="V8" i="86"/>
  <c r="W8" i="86"/>
  <c r="X8" i="86"/>
  <c r="Y8" i="86"/>
  <c r="Z8" i="86"/>
  <c r="E9" i="86"/>
  <c r="F9" i="86"/>
  <c r="G9" i="86"/>
  <c r="H9" i="86"/>
  <c r="I9" i="86"/>
  <c r="J9" i="86"/>
  <c r="K9" i="86"/>
  <c r="L9" i="86"/>
  <c r="M9" i="86"/>
  <c r="N9" i="86"/>
  <c r="O9" i="86"/>
  <c r="P9" i="86"/>
  <c r="Q9" i="86"/>
  <c r="R9" i="86"/>
  <c r="S9" i="86"/>
  <c r="T9" i="86"/>
  <c r="U9" i="86"/>
  <c r="V9" i="86"/>
  <c r="W9" i="86"/>
  <c r="X9" i="86"/>
  <c r="Y9" i="86"/>
  <c r="Z9" i="86"/>
  <c r="E10" i="86"/>
  <c r="F10" i="86"/>
  <c r="G10" i="86"/>
  <c r="H10" i="86"/>
  <c r="I10" i="86"/>
  <c r="J10" i="86"/>
  <c r="K10" i="86"/>
  <c r="L10" i="86"/>
  <c r="M10" i="86"/>
  <c r="N10" i="86"/>
  <c r="O10" i="86"/>
  <c r="P10" i="86"/>
  <c r="Q10" i="86"/>
  <c r="R10" i="86"/>
  <c r="S10" i="86"/>
  <c r="T10" i="86"/>
  <c r="U10" i="86"/>
  <c r="V10" i="86"/>
  <c r="W10" i="86"/>
  <c r="X10" i="86"/>
  <c r="Y10" i="86"/>
  <c r="Z10" i="86"/>
  <c r="D7" i="86"/>
  <c r="D8" i="86"/>
  <c r="D11" i="86" s="1"/>
  <c r="D9" i="86"/>
  <c r="D10" i="86"/>
  <c r="D6" i="86"/>
  <c r="Z11" i="86"/>
  <c r="R11" i="86"/>
  <c r="I11" i="86"/>
  <c r="H11" i="86"/>
  <c r="A8" i="86"/>
  <c r="A9" i="86" s="1"/>
  <c r="A10" i="86" s="1"/>
  <c r="A11" i="86" s="1"/>
  <c r="A7" i="86"/>
  <c r="E9" i="85"/>
  <c r="E10" i="85" s="1"/>
  <c r="F9" i="85"/>
  <c r="F10" i="85" s="1"/>
  <c r="G9" i="85"/>
  <c r="G10" i="85" s="1"/>
  <c r="H9" i="85"/>
  <c r="H10" i="85" s="1"/>
  <c r="I9" i="85"/>
  <c r="I10" i="85" s="1"/>
  <c r="J9" i="85"/>
  <c r="J10" i="85" s="1"/>
  <c r="K9" i="85"/>
  <c r="K10" i="85" s="1"/>
  <c r="L9" i="85"/>
  <c r="L10" i="85" s="1"/>
  <c r="M9" i="85"/>
  <c r="M10" i="85" s="1"/>
  <c r="N9" i="85"/>
  <c r="N10" i="85" s="1"/>
  <c r="O9" i="85"/>
  <c r="O10" i="85" s="1"/>
  <c r="P9" i="85"/>
  <c r="P10" i="85" s="1"/>
  <c r="Q9" i="85"/>
  <c r="Q10" i="85" s="1"/>
  <c r="R9" i="85"/>
  <c r="R10" i="85" s="1"/>
  <c r="S9" i="85"/>
  <c r="S10" i="85" s="1"/>
  <c r="T9" i="85"/>
  <c r="T10" i="85" s="1"/>
  <c r="U9" i="85"/>
  <c r="U10" i="85" s="1"/>
  <c r="V9" i="85"/>
  <c r="V10" i="85" s="1"/>
  <c r="W9" i="85"/>
  <c r="W10" i="85" s="1"/>
  <c r="X9" i="85"/>
  <c r="X10" i="85" s="1"/>
  <c r="Y9" i="85"/>
  <c r="Y10" i="85" s="1"/>
  <c r="Z9" i="85"/>
  <c r="Z10" i="85" s="1"/>
  <c r="E12" i="85"/>
  <c r="F12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T12" i="85"/>
  <c r="U12" i="85"/>
  <c r="V12" i="85"/>
  <c r="X12" i="85"/>
  <c r="Y12" i="85"/>
  <c r="Z12" i="85"/>
  <c r="E77" i="85"/>
  <c r="F77" i="85"/>
  <c r="G77" i="85"/>
  <c r="H77" i="85"/>
  <c r="I77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V77" i="85"/>
  <c r="W77" i="85"/>
  <c r="X77" i="85"/>
  <c r="Y77" i="85"/>
  <c r="Z77" i="85"/>
  <c r="E24" i="85"/>
  <c r="F24" i="85"/>
  <c r="G24" i="85"/>
  <c r="H24" i="85"/>
  <c r="I24" i="85"/>
  <c r="J24" i="85"/>
  <c r="K24" i="85"/>
  <c r="L24" i="85"/>
  <c r="M24" i="85"/>
  <c r="N24" i="85"/>
  <c r="O24" i="85"/>
  <c r="P24" i="85"/>
  <c r="Q24" i="85"/>
  <c r="R24" i="85"/>
  <c r="S24" i="85"/>
  <c r="T24" i="85"/>
  <c r="U24" i="85"/>
  <c r="V24" i="85"/>
  <c r="W24" i="85"/>
  <c r="X24" i="85"/>
  <c r="Y24" i="85"/>
  <c r="Z24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R25" i="85"/>
  <c r="S25" i="85"/>
  <c r="T25" i="85"/>
  <c r="U25" i="85"/>
  <c r="V25" i="85"/>
  <c r="W25" i="85"/>
  <c r="X25" i="85"/>
  <c r="Y25" i="85"/>
  <c r="Z25" i="85"/>
  <c r="E92" i="85"/>
  <c r="F92" i="85"/>
  <c r="G92" i="85"/>
  <c r="H92" i="85"/>
  <c r="I92" i="85"/>
  <c r="J92" i="85"/>
  <c r="K92" i="85"/>
  <c r="L92" i="85"/>
  <c r="M92" i="85"/>
  <c r="N92" i="85"/>
  <c r="O92" i="85"/>
  <c r="P92" i="85"/>
  <c r="Q92" i="85"/>
  <c r="R92" i="85"/>
  <c r="S92" i="85"/>
  <c r="T92" i="85"/>
  <c r="U92" i="85"/>
  <c r="V92" i="85"/>
  <c r="W92" i="85"/>
  <c r="X92" i="85"/>
  <c r="Y92" i="85"/>
  <c r="Z92" i="85"/>
  <c r="E93" i="85"/>
  <c r="F93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T93" i="85"/>
  <c r="U93" i="85"/>
  <c r="V93" i="85"/>
  <c r="W93" i="85"/>
  <c r="X93" i="85"/>
  <c r="Y93" i="85"/>
  <c r="Z93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V26" i="85"/>
  <c r="W26" i="85"/>
  <c r="X26" i="85"/>
  <c r="Y26" i="85"/>
  <c r="Z26" i="85"/>
  <c r="E27" i="85"/>
  <c r="F27" i="85"/>
  <c r="G27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V27" i="85"/>
  <c r="W27" i="85"/>
  <c r="X27" i="85"/>
  <c r="Y27" i="85"/>
  <c r="Z27" i="85"/>
  <c r="E28" i="85"/>
  <c r="F28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T28" i="85"/>
  <c r="U28" i="85"/>
  <c r="V28" i="85"/>
  <c r="W28" i="85"/>
  <c r="X28" i="85"/>
  <c r="Y28" i="85"/>
  <c r="Z28" i="85"/>
  <c r="E29" i="85"/>
  <c r="F29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T29" i="85"/>
  <c r="U29" i="85"/>
  <c r="V29" i="85"/>
  <c r="W29" i="85"/>
  <c r="X29" i="85"/>
  <c r="Y29" i="85"/>
  <c r="Z29" i="85"/>
  <c r="E94" i="85"/>
  <c r="F94" i="85"/>
  <c r="G94" i="85"/>
  <c r="H94" i="85"/>
  <c r="I94" i="85"/>
  <c r="J94" i="85"/>
  <c r="K94" i="85"/>
  <c r="L94" i="85"/>
  <c r="M94" i="85"/>
  <c r="N94" i="85"/>
  <c r="O94" i="85"/>
  <c r="P94" i="85"/>
  <c r="Q94" i="85"/>
  <c r="R94" i="85"/>
  <c r="S94" i="85"/>
  <c r="T94" i="85"/>
  <c r="U94" i="85"/>
  <c r="V94" i="85"/>
  <c r="W94" i="85"/>
  <c r="X94" i="85"/>
  <c r="Y94" i="85"/>
  <c r="Z94" i="85"/>
  <c r="E30" i="85"/>
  <c r="F30" i="85"/>
  <c r="G30" i="85"/>
  <c r="H30" i="85"/>
  <c r="I30" i="85"/>
  <c r="J30" i="85"/>
  <c r="K30" i="85"/>
  <c r="L30" i="85"/>
  <c r="M30" i="85"/>
  <c r="N30" i="85"/>
  <c r="O30" i="85"/>
  <c r="P30" i="85"/>
  <c r="Q30" i="85"/>
  <c r="R30" i="85"/>
  <c r="S30" i="85"/>
  <c r="T30" i="85"/>
  <c r="U30" i="85"/>
  <c r="V30" i="85"/>
  <c r="W30" i="85"/>
  <c r="X30" i="85"/>
  <c r="Y30" i="85"/>
  <c r="Z30" i="85"/>
  <c r="E31" i="85"/>
  <c r="F31" i="85"/>
  <c r="G31" i="85"/>
  <c r="H31" i="85"/>
  <c r="I31" i="85"/>
  <c r="J31" i="85"/>
  <c r="K31" i="85"/>
  <c r="L31" i="85"/>
  <c r="M31" i="85"/>
  <c r="N31" i="85"/>
  <c r="O31" i="85"/>
  <c r="P31" i="85"/>
  <c r="Q31" i="85"/>
  <c r="R31" i="85"/>
  <c r="S31" i="85"/>
  <c r="T31" i="85"/>
  <c r="U31" i="85"/>
  <c r="V31" i="85"/>
  <c r="W31" i="85"/>
  <c r="X31" i="85"/>
  <c r="Y31" i="85"/>
  <c r="Z31" i="85"/>
  <c r="E13" i="85"/>
  <c r="F13" i="85"/>
  <c r="G13" i="85"/>
  <c r="H13" i="85"/>
  <c r="I13" i="85"/>
  <c r="J13" i="85"/>
  <c r="K13" i="85"/>
  <c r="L13" i="85"/>
  <c r="M13" i="85"/>
  <c r="N13" i="85"/>
  <c r="O13" i="85"/>
  <c r="P13" i="85"/>
  <c r="Q13" i="85"/>
  <c r="R13" i="85"/>
  <c r="S13" i="85"/>
  <c r="T13" i="85"/>
  <c r="U13" i="85"/>
  <c r="V13" i="85"/>
  <c r="W13" i="85"/>
  <c r="X13" i="85"/>
  <c r="Y13" i="85"/>
  <c r="Z13" i="85"/>
  <c r="E32" i="85"/>
  <c r="F32" i="85"/>
  <c r="G32" i="85"/>
  <c r="H32" i="85"/>
  <c r="I32" i="85"/>
  <c r="J32" i="85"/>
  <c r="K32" i="85"/>
  <c r="L32" i="85"/>
  <c r="M32" i="85"/>
  <c r="N32" i="85"/>
  <c r="O32" i="85"/>
  <c r="P32" i="85"/>
  <c r="Q32" i="85"/>
  <c r="R32" i="85"/>
  <c r="S32" i="85"/>
  <c r="T32" i="85"/>
  <c r="U32" i="85"/>
  <c r="V32" i="85"/>
  <c r="W32" i="85"/>
  <c r="X32" i="85"/>
  <c r="Y32" i="85"/>
  <c r="Z32" i="85"/>
  <c r="E33" i="85"/>
  <c r="F33" i="85"/>
  <c r="G33" i="85"/>
  <c r="H33" i="85"/>
  <c r="I33" i="85"/>
  <c r="J33" i="85"/>
  <c r="K33" i="85"/>
  <c r="L33" i="85"/>
  <c r="M33" i="85"/>
  <c r="N33" i="85"/>
  <c r="O33" i="85"/>
  <c r="P33" i="85"/>
  <c r="Q33" i="85"/>
  <c r="R33" i="85"/>
  <c r="S33" i="85"/>
  <c r="T33" i="85"/>
  <c r="U33" i="85"/>
  <c r="V33" i="85"/>
  <c r="W33" i="85"/>
  <c r="X33" i="85"/>
  <c r="Y33" i="85"/>
  <c r="Z33" i="85"/>
  <c r="E14" i="85"/>
  <c r="F14" i="85"/>
  <c r="G14" i="85"/>
  <c r="H14" i="85"/>
  <c r="I14" i="85"/>
  <c r="J14" i="85"/>
  <c r="K14" i="85"/>
  <c r="L14" i="85"/>
  <c r="M14" i="85"/>
  <c r="N14" i="85"/>
  <c r="O14" i="85"/>
  <c r="P14" i="85"/>
  <c r="Q14" i="85"/>
  <c r="R14" i="85"/>
  <c r="S14" i="85"/>
  <c r="T14" i="85"/>
  <c r="U14" i="85"/>
  <c r="V14" i="85"/>
  <c r="W14" i="85"/>
  <c r="X14" i="85"/>
  <c r="Y14" i="85"/>
  <c r="Z14" i="85"/>
  <c r="E15" i="85"/>
  <c r="F15" i="85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V15" i="85"/>
  <c r="W15" i="85"/>
  <c r="X15" i="85"/>
  <c r="Y15" i="85"/>
  <c r="Z15" i="85"/>
  <c r="E16" i="85"/>
  <c r="F16" i="85"/>
  <c r="G16" i="85"/>
  <c r="H16" i="85"/>
  <c r="I16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V16" i="85"/>
  <c r="W16" i="85"/>
  <c r="X16" i="85"/>
  <c r="Y16" i="85"/>
  <c r="Z16" i="85"/>
  <c r="E85" i="85"/>
  <c r="E90" i="85" s="1"/>
  <c r="F85" i="85"/>
  <c r="F90" i="85" s="1"/>
  <c r="G85" i="85"/>
  <c r="H85" i="85"/>
  <c r="I85" i="85"/>
  <c r="I90" i="85" s="1"/>
  <c r="J85" i="85"/>
  <c r="J90" i="85" s="1"/>
  <c r="K85" i="85"/>
  <c r="L85" i="85"/>
  <c r="M85" i="85"/>
  <c r="M90" i="85" s="1"/>
  <c r="N85" i="85"/>
  <c r="N90" i="85" s="1"/>
  <c r="O85" i="85"/>
  <c r="P85" i="85"/>
  <c r="Q85" i="85"/>
  <c r="Q90" i="85" s="1"/>
  <c r="R85" i="85"/>
  <c r="R90" i="85" s="1"/>
  <c r="S85" i="85"/>
  <c r="T85" i="85"/>
  <c r="U85" i="85"/>
  <c r="U90" i="85" s="1"/>
  <c r="V85" i="85"/>
  <c r="W85" i="85"/>
  <c r="X85" i="85"/>
  <c r="Y85" i="85"/>
  <c r="Z85" i="85"/>
  <c r="E86" i="85"/>
  <c r="F86" i="85"/>
  <c r="G86" i="85"/>
  <c r="H86" i="85"/>
  <c r="I86" i="85"/>
  <c r="J86" i="85"/>
  <c r="K86" i="85"/>
  <c r="L86" i="85"/>
  <c r="M86" i="85"/>
  <c r="N86" i="85"/>
  <c r="O86" i="85"/>
  <c r="P86" i="85"/>
  <c r="Q86" i="85"/>
  <c r="R86" i="85"/>
  <c r="S86" i="85"/>
  <c r="T86" i="85"/>
  <c r="U86" i="85"/>
  <c r="V86" i="85"/>
  <c r="W86" i="85"/>
  <c r="X86" i="85"/>
  <c r="Y86" i="85"/>
  <c r="Z86" i="85"/>
  <c r="E34" i="85"/>
  <c r="F34" i="85"/>
  <c r="G34" i="85"/>
  <c r="H34" i="85"/>
  <c r="I34" i="85"/>
  <c r="J34" i="85"/>
  <c r="K34" i="85"/>
  <c r="L34" i="85"/>
  <c r="M34" i="85"/>
  <c r="N34" i="85"/>
  <c r="O34" i="85"/>
  <c r="P34" i="85"/>
  <c r="Q34" i="85"/>
  <c r="R34" i="85"/>
  <c r="S34" i="85"/>
  <c r="T34" i="85"/>
  <c r="U34" i="85"/>
  <c r="V34" i="85"/>
  <c r="W34" i="85"/>
  <c r="X34" i="85"/>
  <c r="Y34" i="85"/>
  <c r="Z34" i="85"/>
  <c r="E35" i="85"/>
  <c r="F35" i="85"/>
  <c r="G35" i="85"/>
  <c r="H35" i="85"/>
  <c r="I35" i="85"/>
  <c r="J35" i="85"/>
  <c r="K35" i="85"/>
  <c r="L35" i="85"/>
  <c r="M35" i="85"/>
  <c r="N35" i="85"/>
  <c r="O35" i="85"/>
  <c r="P35" i="85"/>
  <c r="Q35" i="85"/>
  <c r="R35" i="85"/>
  <c r="S35" i="85"/>
  <c r="T35" i="85"/>
  <c r="U35" i="85"/>
  <c r="V35" i="85"/>
  <c r="W35" i="85"/>
  <c r="X35" i="85"/>
  <c r="Y35" i="85"/>
  <c r="Z35" i="85"/>
  <c r="E36" i="85"/>
  <c r="F36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V36" i="85"/>
  <c r="W36" i="85"/>
  <c r="X36" i="85"/>
  <c r="Y36" i="85"/>
  <c r="Z36" i="85"/>
  <c r="E37" i="85"/>
  <c r="F37" i="85"/>
  <c r="G37" i="85"/>
  <c r="H37" i="85"/>
  <c r="I37" i="85"/>
  <c r="J37" i="85"/>
  <c r="K37" i="85"/>
  <c r="L37" i="85"/>
  <c r="M37" i="85"/>
  <c r="N37" i="85"/>
  <c r="O37" i="85"/>
  <c r="P37" i="85"/>
  <c r="Q37" i="85"/>
  <c r="R37" i="85"/>
  <c r="S37" i="85"/>
  <c r="T37" i="85"/>
  <c r="U37" i="85"/>
  <c r="V37" i="85"/>
  <c r="W37" i="85"/>
  <c r="X37" i="85"/>
  <c r="Y37" i="85"/>
  <c r="Z37" i="85"/>
  <c r="E38" i="85"/>
  <c r="F38" i="85"/>
  <c r="G38" i="85"/>
  <c r="H38" i="85"/>
  <c r="I38" i="85"/>
  <c r="J38" i="85"/>
  <c r="K38" i="85"/>
  <c r="L38" i="85"/>
  <c r="M38" i="85"/>
  <c r="N38" i="85"/>
  <c r="O38" i="85"/>
  <c r="P38" i="85"/>
  <c r="Q38" i="85"/>
  <c r="R38" i="85"/>
  <c r="S38" i="85"/>
  <c r="T38" i="85"/>
  <c r="U38" i="85"/>
  <c r="V38" i="85"/>
  <c r="W38" i="85"/>
  <c r="X38" i="85"/>
  <c r="Y38" i="85"/>
  <c r="Z38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E40" i="85"/>
  <c r="F40" i="85"/>
  <c r="G40" i="85"/>
  <c r="H40" i="85"/>
  <c r="I40" i="85"/>
  <c r="J40" i="85"/>
  <c r="K40" i="85"/>
  <c r="L40" i="85"/>
  <c r="M40" i="85"/>
  <c r="N40" i="85"/>
  <c r="O40" i="85"/>
  <c r="P40" i="85"/>
  <c r="Q40" i="85"/>
  <c r="R40" i="85"/>
  <c r="S40" i="85"/>
  <c r="T40" i="85"/>
  <c r="U40" i="85"/>
  <c r="V40" i="85"/>
  <c r="W40" i="85"/>
  <c r="X40" i="85"/>
  <c r="Y40" i="85"/>
  <c r="Z40" i="85"/>
  <c r="E17" i="85"/>
  <c r="F17" i="85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V17" i="85"/>
  <c r="W17" i="85"/>
  <c r="X17" i="85"/>
  <c r="Y17" i="85"/>
  <c r="Z17" i="85"/>
  <c r="E78" i="85"/>
  <c r="F78" i="85"/>
  <c r="G78" i="85"/>
  <c r="H78" i="85"/>
  <c r="I78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V78" i="85"/>
  <c r="W78" i="85"/>
  <c r="X78" i="85"/>
  <c r="Y78" i="85"/>
  <c r="Z78" i="85"/>
  <c r="E87" i="85"/>
  <c r="F87" i="85"/>
  <c r="G87" i="85"/>
  <c r="H87" i="85"/>
  <c r="I87" i="85"/>
  <c r="J87" i="85"/>
  <c r="K87" i="85"/>
  <c r="L87" i="85"/>
  <c r="M87" i="85"/>
  <c r="N87" i="85"/>
  <c r="O87" i="85"/>
  <c r="P87" i="85"/>
  <c r="Q87" i="85"/>
  <c r="R87" i="85"/>
  <c r="S87" i="85"/>
  <c r="T87" i="85"/>
  <c r="U87" i="85"/>
  <c r="V87" i="85"/>
  <c r="W87" i="85"/>
  <c r="X87" i="85"/>
  <c r="Y87" i="85"/>
  <c r="Z87" i="85"/>
  <c r="E41" i="85"/>
  <c r="F41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V41" i="85"/>
  <c r="W41" i="85"/>
  <c r="X41" i="85"/>
  <c r="Y41" i="85"/>
  <c r="Z41" i="85"/>
  <c r="E18" i="85"/>
  <c r="F18" i="85"/>
  <c r="G18" i="85"/>
  <c r="H18" i="85"/>
  <c r="I18" i="85"/>
  <c r="J18" i="85"/>
  <c r="K18" i="85"/>
  <c r="L18" i="85"/>
  <c r="M18" i="85"/>
  <c r="N18" i="85"/>
  <c r="O18" i="85"/>
  <c r="P18" i="85"/>
  <c r="Q18" i="85"/>
  <c r="R18" i="85"/>
  <c r="S18" i="85"/>
  <c r="T18" i="85"/>
  <c r="U18" i="85"/>
  <c r="V18" i="85"/>
  <c r="W18" i="85"/>
  <c r="X18" i="85"/>
  <c r="Y18" i="85"/>
  <c r="Z18" i="85"/>
  <c r="E19" i="85"/>
  <c r="F19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T19" i="85"/>
  <c r="U19" i="85"/>
  <c r="V19" i="85"/>
  <c r="W19" i="85"/>
  <c r="X19" i="85"/>
  <c r="Y19" i="85"/>
  <c r="Z19" i="85"/>
  <c r="E42" i="85"/>
  <c r="F42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V42" i="85"/>
  <c r="W42" i="85"/>
  <c r="X42" i="85"/>
  <c r="Y42" i="85"/>
  <c r="Z42" i="85"/>
  <c r="E43" i="85"/>
  <c r="F43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T43" i="85"/>
  <c r="U43" i="85"/>
  <c r="V43" i="85"/>
  <c r="W43" i="85"/>
  <c r="X43" i="85"/>
  <c r="Y43" i="85"/>
  <c r="Z43" i="85"/>
  <c r="E65" i="85"/>
  <c r="F65" i="85"/>
  <c r="G65" i="85"/>
  <c r="H65" i="85"/>
  <c r="I65" i="85"/>
  <c r="J65" i="85"/>
  <c r="K65" i="85"/>
  <c r="L65" i="85"/>
  <c r="M65" i="85"/>
  <c r="N65" i="85"/>
  <c r="O65" i="85"/>
  <c r="P65" i="85"/>
  <c r="Q65" i="85"/>
  <c r="R65" i="85"/>
  <c r="S65" i="85"/>
  <c r="T65" i="85"/>
  <c r="U65" i="85"/>
  <c r="V65" i="85"/>
  <c r="W65" i="85"/>
  <c r="X65" i="85"/>
  <c r="Y65" i="85"/>
  <c r="Z65" i="85"/>
  <c r="E44" i="85"/>
  <c r="F44" i="85"/>
  <c r="G44" i="85"/>
  <c r="H44" i="85"/>
  <c r="I44" i="85"/>
  <c r="J44" i="85"/>
  <c r="K44" i="85"/>
  <c r="L44" i="85"/>
  <c r="M44" i="85"/>
  <c r="N44" i="85"/>
  <c r="O44" i="85"/>
  <c r="P44" i="85"/>
  <c r="Q44" i="85"/>
  <c r="R44" i="85"/>
  <c r="S44" i="85"/>
  <c r="T44" i="85"/>
  <c r="U44" i="85"/>
  <c r="V44" i="85"/>
  <c r="W44" i="85"/>
  <c r="X44" i="85"/>
  <c r="Y44" i="85"/>
  <c r="Z44" i="85"/>
  <c r="E45" i="85"/>
  <c r="F45" i="85"/>
  <c r="G45" i="85"/>
  <c r="H45" i="85"/>
  <c r="I45" i="85"/>
  <c r="J45" i="85"/>
  <c r="K45" i="85"/>
  <c r="L45" i="85"/>
  <c r="M45" i="85"/>
  <c r="N45" i="85"/>
  <c r="O45" i="85"/>
  <c r="P45" i="85"/>
  <c r="Q45" i="85"/>
  <c r="R45" i="85"/>
  <c r="S45" i="85"/>
  <c r="T45" i="85"/>
  <c r="U45" i="85"/>
  <c r="V45" i="85"/>
  <c r="W45" i="85"/>
  <c r="X45" i="85"/>
  <c r="Y45" i="85"/>
  <c r="Z45" i="85"/>
  <c r="E46" i="85"/>
  <c r="F46" i="85"/>
  <c r="G46" i="85"/>
  <c r="H46" i="85"/>
  <c r="I46" i="85"/>
  <c r="J46" i="85"/>
  <c r="K46" i="85"/>
  <c r="L46" i="85"/>
  <c r="M46" i="85"/>
  <c r="N46" i="85"/>
  <c r="O46" i="85"/>
  <c r="P46" i="85"/>
  <c r="Q46" i="85"/>
  <c r="R46" i="85"/>
  <c r="S46" i="85"/>
  <c r="T46" i="85"/>
  <c r="U46" i="85"/>
  <c r="V46" i="85"/>
  <c r="W46" i="85"/>
  <c r="X46" i="85"/>
  <c r="Y46" i="85"/>
  <c r="Z46" i="85"/>
  <c r="E47" i="85"/>
  <c r="F47" i="85"/>
  <c r="G47" i="85"/>
  <c r="H47" i="85"/>
  <c r="I47" i="85"/>
  <c r="J47" i="85"/>
  <c r="K47" i="85"/>
  <c r="L47" i="85"/>
  <c r="M47" i="85"/>
  <c r="N47" i="85"/>
  <c r="O47" i="85"/>
  <c r="P47" i="85"/>
  <c r="Q47" i="85"/>
  <c r="R47" i="85"/>
  <c r="S47" i="85"/>
  <c r="T47" i="85"/>
  <c r="U47" i="85"/>
  <c r="V47" i="85"/>
  <c r="W47" i="85"/>
  <c r="X47" i="85"/>
  <c r="Y47" i="85"/>
  <c r="Z47" i="85"/>
  <c r="E48" i="85"/>
  <c r="F48" i="85"/>
  <c r="G48" i="85"/>
  <c r="H48" i="85"/>
  <c r="I48" i="85"/>
  <c r="J48" i="85"/>
  <c r="K48" i="85"/>
  <c r="L48" i="85"/>
  <c r="M48" i="85"/>
  <c r="N48" i="85"/>
  <c r="O48" i="85"/>
  <c r="P48" i="85"/>
  <c r="Q48" i="85"/>
  <c r="R48" i="85"/>
  <c r="S48" i="85"/>
  <c r="T48" i="85"/>
  <c r="U48" i="85"/>
  <c r="V48" i="85"/>
  <c r="W48" i="85"/>
  <c r="X48" i="85"/>
  <c r="Y48" i="85"/>
  <c r="Z48" i="85"/>
  <c r="E49" i="85"/>
  <c r="F49" i="85"/>
  <c r="G49" i="85"/>
  <c r="H49" i="85"/>
  <c r="I49" i="85"/>
  <c r="J49" i="85"/>
  <c r="K49" i="85"/>
  <c r="L49" i="85"/>
  <c r="M49" i="85"/>
  <c r="N49" i="85"/>
  <c r="O49" i="85"/>
  <c r="P49" i="85"/>
  <c r="Q49" i="85"/>
  <c r="R49" i="85"/>
  <c r="S49" i="85"/>
  <c r="T49" i="85"/>
  <c r="U49" i="85"/>
  <c r="V49" i="85"/>
  <c r="W49" i="85"/>
  <c r="X49" i="85"/>
  <c r="Y49" i="85"/>
  <c r="Z49" i="85"/>
  <c r="E50" i="85"/>
  <c r="F50" i="85"/>
  <c r="G50" i="85"/>
  <c r="H50" i="85"/>
  <c r="I50" i="85"/>
  <c r="J50" i="85"/>
  <c r="K50" i="85"/>
  <c r="L50" i="85"/>
  <c r="M50" i="85"/>
  <c r="N50" i="85"/>
  <c r="O50" i="85"/>
  <c r="P50" i="85"/>
  <c r="Q50" i="85"/>
  <c r="R50" i="85"/>
  <c r="S50" i="85"/>
  <c r="T50" i="85"/>
  <c r="U50" i="85"/>
  <c r="V50" i="85"/>
  <c r="W50" i="85"/>
  <c r="X50" i="85"/>
  <c r="Y50" i="85"/>
  <c r="Z50" i="85"/>
  <c r="E51" i="85"/>
  <c r="F51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T51" i="85"/>
  <c r="U51" i="85"/>
  <c r="V51" i="85"/>
  <c r="W51" i="85"/>
  <c r="X51" i="85"/>
  <c r="Y51" i="85"/>
  <c r="Z51" i="85"/>
  <c r="E20" i="85"/>
  <c r="F20" i="85"/>
  <c r="G20" i="85"/>
  <c r="H20" i="85"/>
  <c r="I20" i="85"/>
  <c r="J20" i="85"/>
  <c r="K20" i="85"/>
  <c r="L20" i="85"/>
  <c r="M20" i="85"/>
  <c r="N20" i="85"/>
  <c r="O20" i="85"/>
  <c r="P20" i="85"/>
  <c r="Q20" i="85"/>
  <c r="R20" i="85"/>
  <c r="S20" i="85"/>
  <c r="T20" i="85"/>
  <c r="U20" i="85"/>
  <c r="V20" i="85"/>
  <c r="W20" i="85"/>
  <c r="AB20" i="85" s="1"/>
  <c r="AB97" i="85" s="1"/>
  <c r="X20" i="85"/>
  <c r="Y20" i="85"/>
  <c r="Z20" i="85"/>
  <c r="E79" i="85"/>
  <c r="F79" i="85"/>
  <c r="G79" i="85"/>
  <c r="H79" i="85"/>
  <c r="I79" i="85"/>
  <c r="J79" i="85"/>
  <c r="K79" i="85"/>
  <c r="L79" i="85"/>
  <c r="M79" i="85"/>
  <c r="N79" i="85"/>
  <c r="O79" i="85"/>
  <c r="P79" i="85"/>
  <c r="Q79" i="85"/>
  <c r="R79" i="85"/>
  <c r="S79" i="85"/>
  <c r="T79" i="85"/>
  <c r="U79" i="85"/>
  <c r="V79" i="85"/>
  <c r="W79" i="85"/>
  <c r="X79" i="85"/>
  <c r="Y79" i="85"/>
  <c r="Z79" i="85"/>
  <c r="E52" i="85"/>
  <c r="F52" i="85"/>
  <c r="G52" i="85"/>
  <c r="H52" i="85"/>
  <c r="I52" i="85"/>
  <c r="J52" i="85"/>
  <c r="K52" i="85"/>
  <c r="L52" i="85"/>
  <c r="M52" i="85"/>
  <c r="N52" i="85"/>
  <c r="O52" i="85"/>
  <c r="P52" i="85"/>
  <c r="Q52" i="85"/>
  <c r="R52" i="85"/>
  <c r="S52" i="85"/>
  <c r="T52" i="85"/>
  <c r="U52" i="85"/>
  <c r="V52" i="85"/>
  <c r="W52" i="85"/>
  <c r="X52" i="85"/>
  <c r="Y52" i="85"/>
  <c r="Z52" i="85"/>
  <c r="E66" i="85"/>
  <c r="F66" i="85"/>
  <c r="G66" i="85"/>
  <c r="H66" i="85"/>
  <c r="I66" i="85"/>
  <c r="J66" i="85"/>
  <c r="K66" i="85"/>
  <c r="L66" i="85"/>
  <c r="M66" i="85"/>
  <c r="N66" i="85"/>
  <c r="O66" i="85"/>
  <c r="P66" i="85"/>
  <c r="Q66" i="85"/>
  <c r="R66" i="85"/>
  <c r="S66" i="85"/>
  <c r="T66" i="85"/>
  <c r="U66" i="85"/>
  <c r="V66" i="85"/>
  <c r="W66" i="85"/>
  <c r="X66" i="85"/>
  <c r="Y66" i="85"/>
  <c r="Z66" i="85"/>
  <c r="E21" i="85"/>
  <c r="F21" i="85"/>
  <c r="G21" i="85"/>
  <c r="H21" i="85"/>
  <c r="I21" i="85"/>
  <c r="J21" i="85"/>
  <c r="K21" i="85"/>
  <c r="L21" i="85"/>
  <c r="M21" i="85"/>
  <c r="N21" i="85"/>
  <c r="O21" i="85"/>
  <c r="P21" i="85"/>
  <c r="Q21" i="85"/>
  <c r="R21" i="85"/>
  <c r="S21" i="85"/>
  <c r="T21" i="85"/>
  <c r="U21" i="85"/>
  <c r="V21" i="85"/>
  <c r="W21" i="85"/>
  <c r="X21" i="85"/>
  <c r="Y21" i="85"/>
  <c r="Z21" i="85"/>
  <c r="E88" i="85"/>
  <c r="F88" i="85"/>
  <c r="G88" i="85"/>
  <c r="H88" i="85"/>
  <c r="I88" i="85"/>
  <c r="J88" i="85"/>
  <c r="K88" i="85"/>
  <c r="L88" i="85"/>
  <c r="M88" i="85"/>
  <c r="N88" i="85"/>
  <c r="O88" i="85"/>
  <c r="P88" i="85"/>
  <c r="Q88" i="85"/>
  <c r="R88" i="85"/>
  <c r="S88" i="85"/>
  <c r="T88" i="85"/>
  <c r="U88" i="85"/>
  <c r="V88" i="85"/>
  <c r="W88" i="85"/>
  <c r="X88" i="85"/>
  <c r="Y88" i="85"/>
  <c r="Z88" i="85"/>
  <c r="E80" i="85"/>
  <c r="F80" i="85"/>
  <c r="G80" i="85"/>
  <c r="H80" i="85"/>
  <c r="I80" i="85"/>
  <c r="J80" i="85"/>
  <c r="K80" i="85"/>
  <c r="L80" i="85"/>
  <c r="M80" i="85"/>
  <c r="N80" i="85"/>
  <c r="O80" i="85"/>
  <c r="P80" i="85"/>
  <c r="Q80" i="85"/>
  <c r="R80" i="85"/>
  <c r="S80" i="85"/>
  <c r="T80" i="85"/>
  <c r="U80" i="85"/>
  <c r="V80" i="85"/>
  <c r="W80" i="85"/>
  <c r="X80" i="85"/>
  <c r="Y80" i="85"/>
  <c r="Z80" i="85"/>
  <c r="E53" i="85"/>
  <c r="F53" i="85"/>
  <c r="G53" i="85"/>
  <c r="H53" i="85"/>
  <c r="I53" i="85"/>
  <c r="J53" i="85"/>
  <c r="K53" i="85"/>
  <c r="L53" i="85"/>
  <c r="M53" i="85"/>
  <c r="N53" i="85"/>
  <c r="O53" i="85"/>
  <c r="P53" i="85"/>
  <c r="Q53" i="85"/>
  <c r="R53" i="85"/>
  <c r="S53" i="85"/>
  <c r="T53" i="85"/>
  <c r="U53" i="85"/>
  <c r="V53" i="85"/>
  <c r="W53" i="85"/>
  <c r="X53" i="85"/>
  <c r="Y53" i="85"/>
  <c r="Z53" i="85"/>
  <c r="E54" i="85"/>
  <c r="F54" i="85"/>
  <c r="G54" i="85"/>
  <c r="H54" i="85"/>
  <c r="I54" i="85"/>
  <c r="J54" i="85"/>
  <c r="K54" i="85"/>
  <c r="L54" i="85"/>
  <c r="M54" i="85"/>
  <c r="N54" i="85"/>
  <c r="O54" i="85"/>
  <c r="P54" i="85"/>
  <c r="Q54" i="85"/>
  <c r="R54" i="85"/>
  <c r="S54" i="85"/>
  <c r="T54" i="85"/>
  <c r="U54" i="85"/>
  <c r="V54" i="85"/>
  <c r="W54" i="85"/>
  <c r="X54" i="85"/>
  <c r="Y54" i="85"/>
  <c r="Z54" i="85"/>
  <c r="E67" i="85"/>
  <c r="F67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T67" i="85"/>
  <c r="U67" i="85"/>
  <c r="V67" i="85"/>
  <c r="X67" i="85"/>
  <c r="Y67" i="85"/>
  <c r="Z67" i="85"/>
  <c r="E6" i="85"/>
  <c r="E7" i="85" s="1"/>
  <c r="F6" i="85"/>
  <c r="F7" i="85" s="1"/>
  <c r="G6" i="85"/>
  <c r="G7" i="85" s="1"/>
  <c r="H6" i="85"/>
  <c r="H7" i="85" s="1"/>
  <c r="I6" i="85"/>
  <c r="I7" i="85" s="1"/>
  <c r="J6" i="85"/>
  <c r="J7" i="85" s="1"/>
  <c r="K6" i="85"/>
  <c r="K7" i="85" s="1"/>
  <c r="L6" i="85"/>
  <c r="L7" i="85" s="1"/>
  <c r="M6" i="85"/>
  <c r="M7" i="85" s="1"/>
  <c r="N6" i="85"/>
  <c r="N7" i="85" s="1"/>
  <c r="O6" i="85"/>
  <c r="O7" i="85" s="1"/>
  <c r="P6" i="85"/>
  <c r="P7" i="85" s="1"/>
  <c r="Q6" i="85"/>
  <c r="Q7" i="85" s="1"/>
  <c r="R6" i="85"/>
  <c r="R7" i="85" s="1"/>
  <c r="S6" i="85"/>
  <c r="S7" i="85" s="1"/>
  <c r="T6" i="85"/>
  <c r="T7" i="85" s="1"/>
  <c r="U6" i="85"/>
  <c r="U7" i="85" s="1"/>
  <c r="V6" i="85"/>
  <c r="V7" i="85" s="1"/>
  <c r="W6" i="85"/>
  <c r="W7" i="85" s="1"/>
  <c r="X6" i="85"/>
  <c r="X7" i="85" s="1"/>
  <c r="Y6" i="85"/>
  <c r="Y7" i="85" s="1"/>
  <c r="Z6" i="85"/>
  <c r="Z7" i="85" s="1"/>
  <c r="E55" i="85"/>
  <c r="F55" i="85"/>
  <c r="G55" i="85"/>
  <c r="H55" i="85"/>
  <c r="I55" i="85"/>
  <c r="J55" i="85"/>
  <c r="K55" i="85"/>
  <c r="L55" i="85"/>
  <c r="M55" i="85"/>
  <c r="N55" i="85"/>
  <c r="O55" i="85"/>
  <c r="P55" i="85"/>
  <c r="Q55" i="85"/>
  <c r="R55" i="85"/>
  <c r="S55" i="85"/>
  <c r="T55" i="85"/>
  <c r="U55" i="85"/>
  <c r="V55" i="85"/>
  <c r="W55" i="85"/>
  <c r="X55" i="85"/>
  <c r="Y55" i="85"/>
  <c r="Z55" i="85"/>
  <c r="E81" i="85"/>
  <c r="F81" i="85"/>
  <c r="G81" i="85"/>
  <c r="H81" i="85"/>
  <c r="I81" i="85"/>
  <c r="J81" i="85"/>
  <c r="K81" i="85"/>
  <c r="L81" i="85"/>
  <c r="M81" i="85"/>
  <c r="N81" i="85"/>
  <c r="O81" i="85"/>
  <c r="P81" i="85"/>
  <c r="Q81" i="85"/>
  <c r="R81" i="85"/>
  <c r="S81" i="85"/>
  <c r="T81" i="85"/>
  <c r="U81" i="85"/>
  <c r="V81" i="85"/>
  <c r="W81" i="85"/>
  <c r="X81" i="85"/>
  <c r="Y81" i="85"/>
  <c r="Z81" i="85"/>
  <c r="E89" i="85"/>
  <c r="F89" i="85"/>
  <c r="G89" i="85"/>
  <c r="H89" i="85"/>
  <c r="I89" i="85"/>
  <c r="J89" i="85"/>
  <c r="K89" i="85"/>
  <c r="L89" i="85"/>
  <c r="M89" i="85"/>
  <c r="N89" i="85"/>
  <c r="O89" i="85"/>
  <c r="P89" i="85"/>
  <c r="Q89" i="85"/>
  <c r="R89" i="85"/>
  <c r="S89" i="85"/>
  <c r="T89" i="85"/>
  <c r="U89" i="85"/>
  <c r="V89" i="85"/>
  <c r="X89" i="85"/>
  <c r="Y89" i="85"/>
  <c r="Z89" i="85"/>
  <c r="E56" i="85"/>
  <c r="F56" i="85"/>
  <c r="G56" i="85"/>
  <c r="H56" i="85"/>
  <c r="I56" i="85"/>
  <c r="J56" i="85"/>
  <c r="K56" i="85"/>
  <c r="L56" i="85"/>
  <c r="M56" i="85"/>
  <c r="N56" i="85"/>
  <c r="O56" i="85"/>
  <c r="P56" i="85"/>
  <c r="Q56" i="85"/>
  <c r="R56" i="85"/>
  <c r="S56" i="85"/>
  <c r="T56" i="85"/>
  <c r="U56" i="85"/>
  <c r="V56" i="85"/>
  <c r="X56" i="85"/>
  <c r="Y56" i="85"/>
  <c r="Z56" i="85"/>
  <c r="E74" i="85"/>
  <c r="F74" i="85"/>
  <c r="G74" i="85"/>
  <c r="H74" i="85"/>
  <c r="I74" i="85"/>
  <c r="J74" i="85"/>
  <c r="K74" i="85"/>
  <c r="L74" i="85"/>
  <c r="M74" i="85"/>
  <c r="N74" i="85"/>
  <c r="O74" i="85"/>
  <c r="P74" i="85"/>
  <c r="Q74" i="85"/>
  <c r="R74" i="85"/>
  <c r="S74" i="85"/>
  <c r="T74" i="85"/>
  <c r="U74" i="85"/>
  <c r="V74" i="85"/>
  <c r="V75" i="85" s="1"/>
  <c r="T13" i="97" s="1"/>
  <c r="X74" i="85"/>
  <c r="Y74" i="85"/>
  <c r="Z74" i="85"/>
  <c r="E57" i="85"/>
  <c r="F57" i="85"/>
  <c r="G57" i="85"/>
  <c r="H57" i="85"/>
  <c r="I57" i="85"/>
  <c r="J57" i="85"/>
  <c r="K57" i="85"/>
  <c r="L57" i="85"/>
  <c r="M57" i="85"/>
  <c r="N57" i="85"/>
  <c r="O57" i="85"/>
  <c r="P57" i="85"/>
  <c r="Q57" i="85"/>
  <c r="R57" i="85"/>
  <c r="S57" i="85"/>
  <c r="T57" i="85"/>
  <c r="U57" i="85"/>
  <c r="V57" i="85"/>
  <c r="X57" i="85"/>
  <c r="Y57" i="85"/>
  <c r="Z57" i="85"/>
  <c r="E58" i="85"/>
  <c r="F58" i="85"/>
  <c r="G58" i="85"/>
  <c r="H58" i="85"/>
  <c r="I58" i="85"/>
  <c r="J58" i="85"/>
  <c r="K58" i="85"/>
  <c r="L58" i="85"/>
  <c r="M58" i="85"/>
  <c r="N58" i="85"/>
  <c r="O58" i="85"/>
  <c r="P58" i="85"/>
  <c r="Q58" i="85"/>
  <c r="R58" i="85"/>
  <c r="S58" i="85"/>
  <c r="T58" i="85"/>
  <c r="U58" i="85"/>
  <c r="V58" i="85"/>
  <c r="X58" i="85"/>
  <c r="Y58" i="85"/>
  <c r="Z58" i="85"/>
  <c r="E71" i="85"/>
  <c r="F71" i="85"/>
  <c r="G71" i="85"/>
  <c r="H71" i="85"/>
  <c r="I71" i="85"/>
  <c r="J71" i="85"/>
  <c r="K71" i="85"/>
  <c r="L71" i="85"/>
  <c r="M71" i="85"/>
  <c r="N71" i="85"/>
  <c r="O71" i="85"/>
  <c r="P71" i="85"/>
  <c r="Q71" i="85"/>
  <c r="R71" i="85"/>
  <c r="S71" i="85"/>
  <c r="T71" i="85"/>
  <c r="U71" i="85"/>
  <c r="V71" i="85"/>
  <c r="W71" i="85"/>
  <c r="X71" i="85"/>
  <c r="Y71" i="85"/>
  <c r="Z71" i="85"/>
  <c r="E59" i="85"/>
  <c r="F59" i="85"/>
  <c r="G59" i="85"/>
  <c r="H59" i="85"/>
  <c r="I59" i="85"/>
  <c r="J59" i="85"/>
  <c r="K59" i="85"/>
  <c r="L59" i="85"/>
  <c r="M59" i="85"/>
  <c r="N59" i="85"/>
  <c r="O59" i="85"/>
  <c r="P59" i="85"/>
  <c r="Q59" i="85"/>
  <c r="R59" i="85"/>
  <c r="S59" i="85"/>
  <c r="T59" i="85"/>
  <c r="U59" i="85"/>
  <c r="V59" i="85"/>
  <c r="W59" i="85"/>
  <c r="X59" i="85"/>
  <c r="Y59" i="85"/>
  <c r="Z59" i="85"/>
  <c r="E60" i="85"/>
  <c r="F60" i="85"/>
  <c r="G60" i="85"/>
  <c r="H60" i="85"/>
  <c r="I60" i="85"/>
  <c r="J60" i="85"/>
  <c r="K60" i="85"/>
  <c r="L60" i="85"/>
  <c r="M60" i="85"/>
  <c r="N60" i="85"/>
  <c r="O60" i="85"/>
  <c r="P60" i="85"/>
  <c r="Q60" i="85"/>
  <c r="R60" i="85"/>
  <c r="S60" i="85"/>
  <c r="T60" i="85"/>
  <c r="U60" i="85"/>
  <c r="V60" i="85"/>
  <c r="X60" i="85"/>
  <c r="Y60" i="85"/>
  <c r="Z60" i="85"/>
  <c r="E61" i="85"/>
  <c r="F61" i="85"/>
  <c r="G61" i="85"/>
  <c r="H61" i="85"/>
  <c r="I61" i="85"/>
  <c r="J61" i="85"/>
  <c r="K61" i="85"/>
  <c r="L61" i="85"/>
  <c r="M61" i="85"/>
  <c r="N61" i="85"/>
  <c r="O61" i="85"/>
  <c r="P61" i="85"/>
  <c r="Q61" i="85"/>
  <c r="R61" i="85"/>
  <c r="S61" i="85"/>
  <c r="T61" i="85"/>
  <c r="U61" i="85"/>
  <c r="V61" i="85"/>
  <c r="X61" i="85"/>
  <c r="Y61" i="85"/>
  <c r="Z61" i="85"/>
  <c r="E82" i="85"/>
  <c r="F82" i="85"/>
  <c r="G82" i="85"/>
  <c r="H82" i="85"/>
  <c r="I82" i="85"/>
  <c r="J82" i="85"/>
  <c r="K82" i="85"/>
  <c r="L82" i="85"/>
  <c r="M82" i="85"/>
  <c r="N82" i="85"/>
  <c r="O82" i="85"/>
  <c r="P82" i="85"/>
  <c r="Q82" i="85"/>
  <c r="R82" i="85"/>
  <c r="S82" i="85"/>
  <c r="T82" i="85"/>
  <c r="U82" i="85"/>
  <c r="V82" i="85"/>
  <c r="X82" i="85"/>
  <c r="Y82" i="85"/>
  <c r="Z82" i="85"/>
  <c r="E62" i="85"/>
  <c r="F62" i="85"/>
  <c r="G62" i="85"/>
  <c r="H62" i="85"/>
  <c r="I62" i="85"/>
  <c r="J62" i="85"/>
  <c r="K62" i="85"/>
  <c r="L62" i="85"/>
  <c r="M62" i="85"/>
  <c r="N62" i="85"/>
  <c r="O62" i="85"/>
  <c r="P62" i="85"/>
  <c r="Q62" i="85"/>
  <c r="R62" i="85"/>
  <c r="S62" i="85"/>
  <c r="T62" i="85"/>
  <c r="U62" i="85"/>
  <c r="V62" i="85"/>
  <c r="W62" i="85"/>
  <c r="X62" i="85"/>
  <c r="Y62" i="85"/>
  <c r="Z62" i="85"/>
  <c r="E68" i="85"/>
  <c r="F68" i="85"/>
  <c r="G68" i="85"/>
  <c r="H68" i="85"/>
  <c r="I68" i="85"/>
  <c r="J68" i="85"/>
  <c r="K68" i="85"/>
  <c r="L68" i="85"/>
  <c r="M68" i="85"/>
  <c r="N68" i="85"/>
  <c r="O68" i="85"/>
  <c r="P68" i="85"/>
  <c r="Q68" i="85"/>
  <c r="R68" i="85"/>
  <c r="S68" i="85"/>
  <c r="T68" i="85"/>
  <c r="U68" i="85"/>
  <c r="V68" i="85"/>
  <c r="X68" i="85"/>
  <c r="Y68" i="85"/>
  <c r="Z68" i="85"/>
  <c r="D12" i="85"/>
  <c r="D77" i="85"/>
  <c r="D24" i="85"/>
  <c r="D25" i="85"/>
  <c r="D92" i="85"/>
  <c r="D95" i="85" s="1"/>
  <c r="D93" i="85"/>
  <c r="D26" i="85"/>
  <c r="D27" i="85"/>
  <c r="D28" i="85"/>
  <c r="D29" i="85"/>
  <c r="D94" i="85"/>
  <c r="D30" i="85"/>
  <c r="D31" i="85"/>
  <c r="D13" i="85"/>
  <c r="D32" i="85"/>
  <c r="D33" i="85"/>
  <c r="D14" i="85"/>
  <c r="D15" i="85"/>
  <c r="D16" i="85"/>
  <c r="D85" i="85"/>
  <c r="D86" i="85"/>
  <c r="D34" i="85"/>
  <c r="D35" i="85"/>
  <c r="D36" i="85"/>
  <c r="D37" i="85"/>
  <c r="D38" i="85"/>
  <c r="D39" i="85"/>
  <c r="D40" i="85"/>
  <c r="D17" i="85"/>
  <c r="D78" i="85"/>
  <c r="D87" i="85"/>
  <c r="D41" i="85"/>
  <c r="D18" i="85"/>
  <c r="D19" i="85"/>
  <c r="D42" i="85"/>
  <c r="D43" i="85"/>
  <c r="D65" i="85"/>
  <c r="D44" i="85"/>
  <c r="D45" i="85"/>
  <c r="D46" i="85"/>
  <c r="D47" i="85"/>
  <c r="D48" i="85"/>
  <c r="D49" i="85"/>
  <c r="D50" i="85"/>
  <c r="D51" i="85"/>
  <c r="D20" i="85"/>
  <c r="D79" i="85"/>
  <c r="D52" i="85"/>
  <c r="D66" i="85"/>
  <c r="D21" i="85"/>
  <c r="D88" i="85"/>
  <c r="D80" i="85"/>
  <c r="D53" i="85"/>
  <c r="D54" i="85"/>
  <c r="D67" i="85"/>
  <c r="D6" i="85"/>
  <c r="D7" i="85" s="1"/>
  <c r="D55" i="85"/>
  <c r="D81" i="85"/>
  <c r="D89" i="85"/>
  <c r="D56" i="85"/>
  <c r="D74" i="85"/>
  <c r="D57" i="85"/>
  <c r="D58" i="85"/>
  <c r="D71" i="85"/>
  <c r="D59" i="85"/>
  <c r="D60" i="85"/>
  <c r="D61" i="85"/>
  <c r="D82" i="85"/>
  <c r="D62" i="85"/>
  <c r="D68" i="85"/>
  <c r="D9" i="85"/>
  <c r="D10" i="85" s="1"/>
  <c r="E34" i="84"/>
  <c r="F34" i="84"/>
  <c r="G34" i="84"/>
  <c r="H34" i="84"/>
  <c r="I34" i="84"/>
  <c r="J34" i="84"/>
  <c r="K34" i="84"/>
  <c r="L34" i="84"/>
  <c r="M34" i="84"/>
  <c r="N34" i="84"/>
  <c r="O34" i="84"/>
  <c r="P34" i="84"/>
  <c r="Q34" i="84"/>
  <c r="R34" i="84"/>
  <c r="S34" i="84"/>
  <c r="T34" i="84"/>
  <c r="U34" i="84"/>
  <c r="V34" i="84"/>
  <c r="W34" i="84"/>
  <c r="X34" i="84"/>
  <c r="Y34" i="84"/>
  <c r="Z34" i="84"/>
  <c r="E102" i="84"/>
  <c r="F102" i="84"/>
  <c r="G102" i="84"/>
  <c r="H102" i="84"/>
  <c r="I102" i="84"/>
  <c r="J102" i="84"/>
  <c r="K102" i="84"/>
  <c r="L102" i="84"/>
  <c r="M102" i="84"/>
  <c r="N102" i="84"/>
  <c r="O102" i="84"/>
  <c r="P102" i="84"/>
  <c r="Q102" i="84"/>
  <c r="R102" i="84"/>
  <c r="S102" i="84"/>
  <c r="T102" i="84"/>
  <c r="U102" i="84"/>
  <c r="V102" i="84"/>
  <c r="W102" i="84"/>
  <c r="X102" i="84"/>
  <c r="Y102" i="84"/>
  <c r="Z102" i="84"/>
  <c r="E52" i="84"/>
  <c r="F52" i="84"/>
  <c r="G52" i="84"/>
  <c r="H52" i="84"/>
  <c r="I52" i="84"/>
  <c r="J52" i="84"/>
  <c r="K52" i="84"/>
  <c r="L52" i="84"/>
  <c r="M52" i="84"/>
  <c r="N52" i="84"/>
  <c r="O52" i="84"/>
  <c r="P52" i="84"/>
  <c r="Q52" i="84"/>
  <c r="R52" i="84"/>
  <c r="S52" i="84"/>
  <c r="T52" i="84"/>
  <c r="U52" i="84"/>
  <c r="V52" i="84"/>
  <c r="W52" i="84"/>
  <c r="X52" i="84"/>
  <c r="Y52" i="84"/>
  <c r="Z52" i="84"/>
  <c r="E55" i="84"/>
  <c r="F55" i="84"/>
  <c r="G55" i="84"/>
  <c r="H55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X55" i="84"/>
  <c r="Y55" i="84"/>
  <c r="Z55" i="84"/>
  <c r="E77" i="84"/>
  <c r="F77" i="84"/>
  <c r="G77" i="84"/>
  <c r="H77" i="84"/>
  <c r="I77" i="84"/>
  <c r="J77" i="84"/>
  <c r="K77" i="84"/>
  <c r="L77" i="84"/>
  <c r="M77" i="84"/>
  <c r="N77" i="84"/>
  <c r="O77" i="84"/>
  <c r="P77" i="84"/>
  <c r="Q77" i="84"/>
  <c r="R77" i="84"/>
  <c r="S77" i="84"/>
  <c r="T77" i="84"/>
  <c r="U77" i="84"/>
  <c r="V77" i="84"/>
  <c r="W77" i="84"/>
  <c r="X77" i="84"/>
  <c r="Y77" i="84"/>
  <c r="Z77" i="84"/>
  <c r="E78" i="84"/>
  <c r="F78" i="84"/>
  <c r="G78" i="84"/>
  <c r="H78" i="84"/>
  <c r="I78" i="84"/>
  <c r="J78" i="84"/>
  <c r="K78" i="84"/>
  <c r="L78" i="84"/>
  <c r="M78" i="84"/>
  <c r="N78" i="84"/>
  <c r="O78" i="84"/>
  <c r="P78" i="84"/>
  <c r="Q78" i="84"/>
  <c r="R78" i="84"/>
  <c r="S78" i="84"/>
  <c r="T78" i="84"/>
  <c r="U78" i="84"/>
  <c r="V78" i="84"/>
  <c r="W78" i="84"/>
  <c r="X78" i="84"/>
  <c r="Y78" i="84"/>
  <c r="Z78" i="84"/>
  <c r="E79" i="84"/>
  <c r="F79" i="84"/>
  <c r="G79" i="84"/>
  <c r="H79" i="84"/>
  <c r="I79" i="84"/>
  <c r="J79" i="84"/>
  <c r="K79" i="84"/>
  <c r="L79" i="84"/>
  <c r="M79" i="84"/>
  <c r="N79" i="84"/>
  <c r="O79" i="84"/>
  <c r="P79" i="84"/>
  <c r="Q79" i="84"/>
  <c r="R79" i="84"/>
  <c r="S79" i="84"/>
  <c r="T79" i="84"/>
  <c r="U79" i="84"/>
  <c r="V79" i="84"/>
  <c r="W79" i="84"/>
  <c r="X79" i="84"/>
  <c r="Y79" i="84"/>
  <c r="Z79" i="84"/>
  <c r="E80" i="84"/>
  <c r="F80" i="84"/>
  <c r="G80" i="84"/>
  <c r="H80" i="84"/>
  <c r="I80" i="84"/>
  <c r="J80" i="84"/>
  <c r="K80" i="84"/>
  <c r="L80" i="84"/>
  <c r="M80" i="84"/>
  <c r="N80" i="84"/>
  <c r="O80" i="84"/>
  <c r="P80" i="84"/>
  <c r="Q80" i="84"/>
  <c r="R80" i="84"/>
  <c r="S80" i="84"/>
  <c r="T80" i="84"/>
  <c r="U80" i="84"/>
  <c r="V80" i="84"/>
  <c r="W80" i="84"/>
  <c r="X80" i="84"/>
  <c r="Y80" i="84"/>
  <c r="Z80" i="84"/>
  <c r="E108" i="84"/>
  <c r="F108" i="84"/>
  <c r="G108" i="84"/>
  <c r="H108" i="84"/>
  <c r="I108" i="84"/>
  <c r="J108" i="84"/>
  <c r="K108" i="84"/>
  <c r="L108" i="84"/>
  <c r="M108" i="84"/>
  <c r="N108" i="84"/>
  <c r="O108" i="84"/>
  <c r="P108" i="84"/>
  <c r="Q108" i="84"/>
  <c r="R108" i="84"/>
  <c r="S108" i="84"/>
  <c r="T108" i="84"/>
  <c r="U108" i="84"/>
  <c r="V108" i="84"/>
  <c r="W108" i="84"/>
  <c r="X108" i="84"/>
  <c r="Y108" i="84"/>
  <c r="Z108" i="84"/>
  <c r="E81" i="84"/>
  <c r="F81" i="84"/>
  <c r="G81" i="84"/>
  <c r="H81" i="84"/>
  <c r="I81" i="84"/>
  <c r="J81" i="84"/>
  <c r="K81" i="84"/>
  <c r="L81" i="84"/>
  <c r="M81" i="84"/>
  <c r="N81" i="84"/>
  <c r="O81" i="84"/>
  <c r="P81" i="84"/>
  <c r="Q81" i="84"/>
  <c r="R81" i="84"/>
  <c r="S81" i="84"/>
  <c r="T81" i="84"/>
  <c r="U81" i="84"/>
  <c r="V81" i="84"/>
  <c r="W81" i="84"/>
  <c r="X81" i="84"/>
  <c r="Y81" i="84"/>
  <c r="Z81" i="84"/>
  <c r="E82" i="84"/>
  <c r="F82" i="84"/>
  <c r="G82" i="84"/>
  <c r="H82" i="84"/>
  <c r="I82" i="84"/>
  <c r="J82" i="84"/>
  <c r="K82" i="84"/>
  <c r="L82" i="84"/>
  <c r="M82" i="84"/>
  <c r="N82" i="84"/>
  <c r="O82" i="84"/>
  <c r="P82" i="84"/>
  <c r="Q82" i="84"/>
  <c r="R82" i="84"/>
  <c r="S82" i="84"/>
  <c r="T82" i="84"/>
  <c r="U82" i="84"/>
  <c r="V82" i="84"/>
  <c r="W82" i="84"/>
  <c r="X82" i="84"/>
  <c r="Y82" i="84"/>
  <c r="Z82" i="84"/>
  <c r="E109" i="84"/>
  <c r="F109" i="84"/>
  <c r="G109" i="84"/>
  <c r="H109" i="84"/>
  <c r="I109" i="84"/>
  <c r="J109" i="84"/>
  <c r="K109" i="84"/>
  <c r="L109" i="84"/>
  <c r="M109" i="84"/>
  <c r="N109" i="84"/>
  <c r="O109" i="84"/>
  <c r="P109" i="84"/>
  <c r="Q109" i="84"/>
  <c r="R109" i="84"/>
  <c r="S109" i="84"/>
  <c r="T109" i="84"/>
  <c r="U109" i="84"/>
  <c r="V109" i="84"/>
  <c r="W109" i="84"/>
  <c r="X109" i="84"/>
  <c r="Y109" i="84"/>
  <c r="Z109" i="84"/>
  <c r="E83" i="84"/>
  <c r="F83" i="84"/>
  <c r="G83" i="84"/>
  <c r="H83" i="84"/>
  <c r="I83" i="84"/>
  <c r="J83" i="84"/>
  <c r="K83" i="84"/>
  <c r="L83" i="84"/>
  <c r="M83" i="84"/>
  <c r="N83" i="84"/>
  <c r="O83" i="84"/>
  <c r="P83" i="84"/>
  <c r="Q83" i="84"/>
  <c r="R83" i="84"/>
  <c r="S83" i="84"/>
  <c r="T83" i="84"/>
  <c r="U83" i="84"/>
  <c r="V83" i="84"/>
  <c r="W83" i="84"/>
  <c r="X83" i="84"/>
  <c r="Y83" i="84"/>
  <c r="Z83" i="84"/>
  <c r="E56" i="84"/>
  <c r="F56" i="84"/>
  <c r="G56" i="84"/>
  <c r="H56" i="84"/>
  <c r="I56" i="84"/>
  <c r="J56" i="84"/>
  <c r="K56" i="84"/>
  <c r="L56" i="84"/>
  <c r="M56" i="84"/>
  <c r="N56" i="84"/>
  <c r="O56" i="84"/>
  <c r="P56" i="84"/>
  <c r="Q56" i="84"/>
  <c r="R56" i="84"/>
  <c r="S56" i="84"/>
  <c r="T56" i="84"/>
  <c r="U56" i="84"/>
  <c r="V56" i="84"/>
  <c r="W56" i="84"/>
  <c r="X56" i="84"/>
  <c r="Y56" i="84"/>
  <c r="Z56" i="84"/>
  <c r="E85" i="84"/>
  <c r="F85" i="84"/>
  <c r="G85" i="84"/>
  <c r="H85" i="84"/>
  <c r="I85" i="84"/>
  <c r="J85" i="84"/>
  <c r="K85" i="84"/>
  <c r="L85" i="84"/>
  <c r="M85" i="84"/>
  <c r="N85" i="84"/>
  <c r="O85" i="84"/>
  <c r="P85" i="84"/>
  <c r="Q85" i="84"/>
  <c r="R85" i="84"/>
  <c r="S85" i="84"/>
  <c r="T85" i="84"/>
  <c r="U85" i="84"/>
  <c r="V85" i="84"/>
  <c r="W85" i="84"/>
  <c r="X85" i="84"/>
  <c r="Y85" i="84"/>
  <c r="Z85" i="84"/>
  <c r="E86" i="84"/>
  <c r="F86" i="84"/>
  <c r="G86" i="84"/>
  <c r="H86" i="84"/>
  <c r="I86" i="84"/>
  <c r="J86" i="84"/>
  <c r="K86" i="84"/>
  <c r="L86" i="84"/>
  <c r="M86" i="84"/>
  <c r="N86" i="84"/>
  <c r="O86" i="84"/>
  <c r="P86" i="84"/>
  <c r="Q86" i="84"/>
  <c r="R86" i="84"/>
  <c r="S86" i="84"/>
  <c r="T86" i="84"/>
  <c r="U86" i="84"/>
  <c r="V86" i="84"/>
  <c r="W86" i="84"/>
  <c r="X86" i="84"/>
  <c r="Y86" i="84"/>
  <c r="Z86" i="84"/>
  <c r="E61" i="84"/>
  <c r="F61" i="84"/>
  <c r="G61" i="84"/>
  <c r="H61" i="84"/>
  <c r="I61" i="84"/>
  <c r="J61" i="84"/>
  <c r="K61" i="84"/>
  <c r="L61" i="84"/>
  <c r="M61" i="84"/>
  <c r="N61" i="84"/>
  <c r="O61" i="84"/>
  <c r="P61" i="84"/>
  <c r="Q61" i="84"/>
  <c r="R61" i="84"/>
  <c r="S61" i="84"/>
  <c r="T61" i="84"/>
  <c r="U61" i="84"/>
  <c r="V61" i="84"/>
  <c r="W61" i="84"/>
  <c r="X61" i="84"/>
  <c r="Y61" i="84"/>
  <c r="Z61" i="84"/>
  <c r="E62" i="84"/>
  <c r="F62" i="84"/>
  <c r="G62" i="84"/>
  <c r="H62" i="84"/>
  <c r="I62" i="84"/>
  <c r="J62" i="84"/>
  <c r="K62" i="84"/>
  <c r="L62" i="84"/>
  <c r="M62" i="84"/>
  <c r="N62" i="84"/>
  <c r="O62" i="84"/>
  <c r="P62" i="84"/>
  <c r="Q62" i="84"/>
  <c r="R62" i="84"/>
  <c r="S62" i="84"/>
  <c r="T62" i="84"/>
  <c r="U62" i="84"/>
  <c r="V62" i="84"/>
  <c r="W62" i="84"/>
  <c r="X62" i="84"/>
  <c r="Y62" i="84"/>
  <c r="Z62" i="84"/>
  <c r="E63" i="84"/>
  <c r="F63" i="84"/>
  <c r="G63" i="84"/>
  <c r="H63" i="84"/>
  <c r="I63" i="84"/>
  <c r="J63" i="84"/>
  <c r="K63" i="84"/>
  <c r="L63" i="84"/>
  <c r="M63" i="84"/>
  <c r="N63" i="84"/>
  <c r="O63" i="84"/>
  <c r="P63" i="84"/>
  <c r="Q63" i="84"/>
  <c r="R63" i="84"/>
  <c r="S63" i="84"/>
  <c r="T63" i="84"/>
  <c r="U63" i="84"/>
  <c r="V63" i="84"/>
  <c r="W63" i="84"/>
  <c r="X63" i="84"/>
  <c r="Y63" i="84"/>
  <c r="Z63" i="84"/>
  <c r="E87" i="84"/>
  <c r="F87" i="84"/>
  <c r="G87" i="84"/>
  <c r="H87" i="84"/>
  <c r="I87" i="84"/>
  <c r="J87" i="84"/>
  <c r="K87" i="84"/>
  <c r="L87" i="84"/>
  <c r="M87" i="84"/>
  <c r="N87" i="84"/>
  <c r="O87" i="84"/>
  <c r="P87" i="84"/>
  <c r="Q87" i="84"/>
  <c r="R87" i="84"/>
  <c r="S87" i="84"/>
  <c r="T87" i="84"/>
  <c r="U87" i="84"/>
  <c r="V87" i="84"/>
  <c r="W87" i="84"/>
  <c r="X87" i="84"/>
  <c r="Y87" i="84"/>
  <c r="Z87" i="84"/>
  <c r="D102" i="84"/>
  <c r="D52" i="84"/>
  <c r="D55" i="84"/>
  <c r="D77" i="84"/>
  <c r="D78" i="84"/>
  <c r="D79" i="84"/>
  <c r="D80" i="84"/>
  <c r="D108" i="84"/>
  <c r="D81" i="84"/>
  <c r="D82" i="84"/>
  <c r="D109" i="84"/>
  <c r="D83" i="84"/>
  <c r="D56" i="84"/>
  <c r="D85" i="84"/>
  <c r="D86" i="84"/>
  <c r="D61" i="84"/>
  <c r="D62" i="84"/>
  <c r="D63" i="84"/>
  <c r="D87" i="84"/>
  <c r="D34" i="84"/>
  <c r="E19" i="84"/>
  <c r="F19" i="84"/>
  <c r="G19" i="84"/>
  <c r="H19" i="84"/>
  <c r="I19" i="84"/>
  <c r="J19" i="84"/>
  <c r="K19" i="84"/>
  <c r="L19" i="84"/>
  <c r="M19" i="84"/>
  <c r="N19" i="84"/>
  <c r="O19" i="84"/>
  <c r="P19" i="84"/>
  <c r="Q19" i="84"/>
  <c r="R19" i="84"/>
  <c r="S19" i="84"/>
  <c r="T19" i="84"/>
  <c r="U19" i="84"/>
  <c r="V19" i="84"/>
  <c r="W19" i="84"/>
  <c r="X19" i="84"/>
  <c r="Y19" i="84"/>
  <c r="Z19" i="84"/>
  <c r="E20" i="84"/>
  <c r="F20" i="84"/>
  <c r="G20" i="84"/>
  <c r="H20" i="84"/>
  <c r="I20" i="84"/>
  <c r="J20" i="84"/>
  <c r="K20" i="84"/>
  <c r="L20" i="84"/>
  <c r="M20" i="84"/>
  <c r="N20" i="84"/>
  <c r="O20" i="84"/>
  <c r="P20" i="84"/>
  <c r="Q20" i="84"/>
  <c r="R20" i="84"/>
  <c r="S20" i="84"/>
  <c r="T20" i="84"/>
  <c r="U20" i="84"/>
  <c r="V20" i="84"/>
  <c r="W20" i="84"/>
  <c r="X20" i="84"/>
  <c r="Y20" i="84"/>
  <c r="Z20" i="84"/>
  <c r="E21" i="84"/>
  <c r="F21" i="84"/>
  <c r="G21" i="84"/>
  <c r="H21" i="84"/>
  <c r="I21" i="84"/>
  <c r="J21" i="84"/>
  <c r="K21" i="84"/>
  <c r="L21" i="84"/>
  <c r="M21" i="84"/>
  <c r="N21" i="84"/>
  <c r="O21" i="84"/>
  <c r="P21" i="84"/>
  <c r="Q21" i="84"/>
  <c r="R21" i="84"/>
  <c r="S21" i="84"/>
  <c r="T21" i="84"/>
  <c r="U21" i="84"/>
  <c r="V21" i="84"/>
  <c r="W21" i="84"/>
  <c r="X21" i="84"/>
  <c r="Y21" i="84"/>
  <c r="Z21" i="84"/>
  <c r="E22" i="84"/>
  <c r="F22" i="84"/>
  <c r="G22" i="84"/>
  <c r="H22" i="84"/>
  <c r="I22" i="84"/>
  <c r="J22" i="84"/>
  <c r="K22" i="84"/>
  <c r="L22" i="84"/>
  <c r="M22" i="84"/>
  <c r="N22" i="84"/>
  <c r="O22" i="84"/>
  <c r="P22" i="84"/>
  <c r="Q22" i="84"/>
  <c r="R22" i="84"/>
  <c r="S22" i="84"/>
  <c r="T22" i="84"/>
  <c r="U22" i="84"/>
  <c r="V22" i="84"/>
  <c r="W22" i="84"/>
  <c r="X22" i="84"/>
  <c r="Y22" i="84"/>
  <c r="Z22" i="84"/>
  <c r="E69" i="84"/>
  <c r="E70" i="84" s="1"/>
  <c r="F69" i="84"/>
  <c r="F70" i="84" s="1"/>
  <c r="G69" i="84"/>
  <c r="G70" i="84" s="1"/>
  <c r="H69" i="84"/>
  <c r="H70" i="84" s="1"/>
  <c r="I69" i="84"/>
  <c r="I70" i="84" s="1"/>
  <c r="J69" i="84"/>
  <c r="J70" i="84" s="1"/>
  <c r="K69" i="84"/>
  <c r="K70" i="84" s="1"/>
  <c r="L69" i="84"/>
  <c r="L70" i="84" s="1"/>
  <c r="M69" i="84"/>
  <c r="M70" i="84" s="1"/>
  <c r="N69" i="84"/>
  <c r="N70" i="84" s="1"/>
  <c r="O69" i="84"/>
  <c r="O70" i="84" s="1"/>
  <c r="P69" i="84"/>
  <c r="P70" i="84" s="1"/>
  <c r="Q69" i="84"/>
  <c r="Q70" i="84" s="1"/>
  <c r="R69" i="84"/>
  <c r="R70" i="84" s="1"/>
  <c r="S69" i="84"/>
  <c r="S70" i="84" s="1"/>
  <c r="T69" i="84"/>
  <c r="T70" i="84" s="1"/>
  <c r="U69" i="84"/>
  <c r="U70" i="84" s="1"/>
  <c r="V69" i="84"/>
  <c r="V70" i="84" s="1"/>
  <c r="W69" i="84"/>
  <c r="W70" i="84" s="1"/>
  <c r="X69" i="84"/>
  <c r="X70" i="84" s="1"/>
  <c r="Y69" i="84"/>
  <c r="Y70" i="84" s="1"/>
  <c r="Z69" i="84"/>
  <c r="Z70" i="84" s="1"/>
  <c r="E9" i="84"/>
  <c r="F9" i="84"/>
  <c r="G9" i="84"/>
  <c r="H9" i="84"/>
  <c r="I9" i="84"/>
  <c r="J9" i="84"/>
  <c r="K9" i="84"/>
  <c r="L9" i="84"/>
  <c r="M9" i="84"/>
  <c r="N9" i="84"/>
  <c r="O9" i="84"/>
  <c r="P9" i="84"/>
  <c r="Q9" i="84"/>
  <c r="R9" i="84"/>
  <c r="S9" i="84"/>
  <c r="T9" i="84"/>
  <c r="U9" i="84"/>
  <c r="V9" i="84"/>
  <c r="W9" i="84"/>
  <c r="X9" i="84"/>
  <c r="Y9" i="84"/>
  <c r="Z9" i="84"/>
  <c r="E23" i="84"/>
  <c r="F23" i="84"/>
  <c r="G23" i="84"/>
  <c r="H23" i="84"/>
  <c r="I23" i="84"/>
  <c r="J23" i="84"/>
  <c r="K23" i="84"/>
  <c r="L23" i="84"/>
  <c r="M23" i="84"/>
  <c r="N23" i="84"/>
  <c r="O23" i="84"/>
  <c r="P23" i="84"/>
  <c r="Q23" i="84"/>
  <c r="R23" i="84"/>
  <c r="S23" i="84"/>
  <c r="T23" i="84"/>
  <c r="U23" i="84"/>
  <c r="V23" i="84"/>
  <c r="W23" i="84"/>
  <c r="X23" i="84"/>
  <c r="Y23" i="84"/>
  <c r="Z23" i="84"/>
  <c r="E24" i="84"/>
  <c r="F24" i="84"/>
  <c r="G24" i="84"/>
  <c r="H24" i="84"/>
  <c r="I24" i="84"/>
  <c r="J24" i="84"/>
  <c r="K24" i="84"/>
  <c r="L24" i="84"/>
  <c r="M24" i="84"/>
  <c r="N24" i="84"/>
  <c r="O24" i="84"/>
  <c r="P24" i="84"/>
  <c r="Q24" i="84"/>
  <c r="R24" i="84"/>
  <c r="S24" i="84"/>
  <c r="T24" i="84"/>
  <c r="U24" i="84"/>
  <c r="V24" i="84"/>
  <c r="W24" i="84"/>
  <c r="X24" i="84"/>
  <c r="Y24" i="84"/>
  <c r="Z24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R25" i="84"/>
  <c r="S25" i="84"/>
  <c r="T25" i="84"/>
  <c r="U25" i="84"/>
  <c r="V25" i="84"/>
  <c r="W25" i="84"/>
  <c r="X25" i="84"/>
  <c r="Y25" i="84"/>
  <c r="Z25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R26" i="84"/>
  <c r="S26" i="84"/>
  <c r="T26" i="84"/>
  <c r="U26" i="84"/>
  <c r="V26" i="84"/>
  <c r="W26" i="84"/>
  <c r="X26" i="84"/>
  <c r="Y26" i="84"/>
  <c r="Z26" i="84"/>
  <c r="E27" i="84"/>
  <c r="F27" i="84"/>
  <c r="G27" i="84"/>
  <c r="H27" i="84"/>
  <c r="I27" i="84"/>
  <c r="J27" i="84"/>
  <c r="K27" i="84"/>
  <c r="L27" i="84"/>
  <c r="M27" i="84"/>
  <c r="N27" i="84"/>
  <c r="O27" i="84"/>
  <c r="P27" i="84"/>
  <c r="Q27" i="84"/>
  <c r="R27" i="84"/>
  <c r="S27" i="84"/>
  <c r="T27" i="84"/>
  <c r="U27" i="84"/>
  <c r="V27" i="84"/>
  <c r="W27" i="84"/>
  <c r="X27" i="84"/>
  <c r="Y27" i="84"/>
  <c r="Z27" i="84"/>
  <c r="E124" i="84"/>
  <c r="F124" i="84"/>
  <c r="G124" i="84"/>
  <c r="H124" i="84"/>
  <c r="I124" i="84"/>
  <c r="J124" i="84"/>
  <c r="K124" i="84"/>
  <c r="L124" i="84"/>
  <c r="M124" i="84"/>
  <c r="N124" i="84"/>
  <c r="O124" i="84"/>
  <c r="P124" i="84"/>
  <c r="Q124" i="84"/>
  <c r="R124" i="84"/>
  <c r="S124" i="84"/>
  <c r="T124" i="84"/>
  <c r="U124" i="84"/>
  <c r="V124" i="84"/>
  <c r="W124" i="84"/>
  <c r="X124" i="84"/>
  <c r="Y124" i="84"/>
  <c r="Z124" i="84"/>
  <c r="E28" i="84"/>
  <c r="F28" i="84"/>
  <c r="G28" i="84"/>
  <c r="H28" i="84"/>
  <c r="I28" i="84"/>
  <c r="J28" i="84"/>
  <c r="K28" i="84"/>
  <c r="L28" i="84"/>
  <c r="M28" i="84"/>
  <c r="N28" i="84"/>
  <c r="O28" i="84"/>
  <c r="P28" i="84"/>
  <c r="Q28" i="84"/>
  <c r="R28" i="84"/>
  <c r="S28" i="84"/>
  <c r="T28" i="84"/>
  <c r="U28" i="84"/>
  <c r="V28" i="84"/>
  <c r="W28" i="84"/>
  <c r="X28" i="84"/>
  <c r="Y28" i="84"/>
  <c r="Z28" i="84"/>
  <c r="E96" i="84"/>
  <c r="F96" i="84"/>
  <c r="G96" i="84"/>
  <c r="H96" i="84"/>
  <c r="I96" i="84"/>
  <c r="J96" i="84"/>
  <c r="K96" i="84"/>
  <c r="L96" i="84"/>
  <c r="M96" i="84"/>
  <c r="N96" i="84"/>
  <c r="O96" i="84"/>
  <c r="P96" i="84"/>
  <c r="Q96" i="84"/>
  <c r="R96" i="84"/>
  <c r="S96" i="84"/>
  <c r="T96" i="84"/>
  <c r="U96" i="84"/>
  <c r="V96" i="84"/>
  <c r="W96" i="84"/>
  <c r="X96" i="84"/>
  <c r="Y96" i="84"/>
  <c r="Z96" i="84"/>
  <c r="E6" i="84"/>
  <c r="E7" i="84" s="1"/>
  <c r="F6" i="84"/>
  <c r="F7" i="84" s="1"/>
  <c r="G6" i="84"/>
  <c r="G7" i="84" s="1"/>
  <c r="H6" i="84"/>
  <c r="H7" i="84" s="1"/>
  <c r="I6" i="84"/>
  <c r="I7" i="84" s="1"/>
  <c r="J6" i="84"/>
  <c r="J7" i="84" s="1"/>
  <c r="K6" i="84"/>
  <c r="K7" i="84" s="1"/>
  <c r="L6" i="84"/>
  <c r="L7" i="84" s="1"/>
  <c r="M6" i="84"/>
  <c r="M7" i="84" s="1"/>
  <c r="N6" i="84"/>
  <c r="N7" i="84" s="1"/>
  <c r="O6" i="84"/>
  <c r="O7" i="84" s="1"/>
  <c r="P6" i="84"/>
  <c r="P7" i="84" s="1"/>
  <c r="Q6" i="84"/>
  <c r="Q7" i="84" s="1"/>
  <c r="R6" i="84"/>
  <c r="R7" i="84" s="1"/>
  <c r="S6" i="84"/>
  <c r="S7" i="84" s="1"/>
  <c r="T6" i="84"/>
  <c r="T7" i="84" s="1"/>
  <c r="U6" i="84"/>
  <c r="U7" i="84" s="1"/>
  <c r="V6" i="84"/>
  <c r="V7" i="84" s="1"/>
  <c r="W6" i="84"/>
  <c r="W7" i="84" s="1"/>
  <c r="X6" i="84"/>
  <c r="X7" i="84" s="1"/>
  <c r="Y6" i="84"/>
  <c r="Y7" i="84" s="1"/>
  <c r="Z6" i="84"/>
  <c r="Z7" i="84" s="1"/>
  <c r="E97" i="84"/>
  <c r="F97" i="84"/>
  <c r="G97" i="84"/>
  <c r="H97" i="84"/>
  <c r="I97" i="84"/>
  <c r="J97" i="84"/>
  <c r="K97" i="84"/>
  <c r="L97" i="84"/>
  <c r="M97" i="84"/>
  <c r="N97" i="84"/>
  <c r="O97" i="84"/>
  <c r="P97" i="84"/>
  <c r="Q97" i="84"/>
  <c r="R97" i="84"/>
  <c r="S97" i="84"/>
  <c r="T97" i="84"/>
  <c r="U97" i="84"/>
  <c r="V97" i="84"/>
  <c r="W97" i="84"/>
  <c r="X97" i="84"/>
  <c r="Y97" i="84"/>
  <c r="Z97" i="84"/>
  <c r="E29" i="84"/>
  <c r="F29" i="84"/>
  <c r="G29" i="84"/>
  <c r="H29" i="84"/>
  <c r="I29" i="84"/>
  <c r="J29" i="84"/>
  <c r="K29" i="84"/>
  <c r="L29" i="84"/>
  <c r="M29" i="84"/>
  <c r="N29" i="84"/>
  <c r="O29" i="84"/>
  <c r="P29" i="84"/>
  <c r="Q29" i="84"/>
  <c r="R29" i="84"/>
  <c r="S29" i="84"/>
  <c r="T29" i="84"/>
  <c r="U29" i="84"/>
  <c r="V29" i="84"/>
  <c r="W29" i="84"/>
  <c r="X29" i="84"/>
  <c r="Y29" i="84"/>
  <c r="Z29" i="84"/>
  <c r="E30" i="84"/>
  <c r="F30" i="84"/>
  <c r="G30" i="84"/>
  <c r="H30" i="84"/>
  <c r="I30" i="84"/>
  <c r="J30" i="84"/>
  <c r="K30" i="84"/>
  <c r="L30" i="84"/>
  <c r="M30" i="84"/>
  <c r="N30" i="84"/>
  <c r="O30" i="84"/>
  <c r="P30" i="84"/>
  <c r="Q30" i="84"/>
  <c r="R30" i="84"/>
  <c r="S30" i="84"/>
  <c r="T30" i="84"/>
  <c r="U30" i="84"/>
  <c r="V30" i="84"/>
  <c r="W30" i="84"/>
  <c r="X30" i="84"/>
  <c r="Y30" i="84"/>
  <c r="Z30" i="84"/>
  <c r="E119" i="84"/>
  <c r="F119" i="84"/>
  <c r="G119" i="84"/>
  <c r="H119" i="84"/>
  <c r="I119" i="84"/>
  <c r="J119" i="84"/>
  <c r="K119" i="84"/>
  <c r="L119" i="84"/>
  <c r="M119" i="84"/>
  <c r="N119" i="84"/>
  <c r="O119" i="84"/>
  <c r="P119" i="84"/>
  <c r="Q119" i="84"/>
  <c r="R119" i="84"/>
  <c r="S119" i="84"/>
  <c r="T119" i="84"/>
  <c r="U119" i="84"/>
  <c r="V119" i="84"/>
  <c r="W119" i="84"/>
  <c r="X119" i="84"/>
  <c r="Y119" i="84"/>
  <c r="Z119" i="84"/>
  <c r="E31" i="84"/>
  <c r="F31" i="84"/>
  <c r="G31" i="84"/>
  <c r="H31" i="84"/>
  <c r="I31" i="84"/>
  <c r="J31" i="84"/>
  <c r="K31" i="84"/>
  <c r="L31" i="84"/>
  <c r="M31" i="84"/>
  <c r="N31" i="84"/>
  <c r="O31" i="84"/>
  <c r="P31" i="84"/>
  <c r="Q31" i="84"/>
  <c r="R31" i="84"/>
  <c r="S31" i="84"/>
  <c r="T31" i="84"/>
  <c r="U31" i="84"/>
  <c r="V31" i="84"/>
  <c r="W31" i="84"/>
  <c r="X31" i="84"/>
  <c r="Y31" i="84"/>
  <c r="Z31" i="84"/>
  <c r="E32" i="84"/>
  <c r="F32" i="84"/>
  <c r="G32" i="84"/>
  <c r="H32" i="84"/>
  <c r="I32" i="84"/>
  <c r="J32" i="84"/>
  <c r="K32" i="84"/>
  <c r="L32" i="84"/>
  <c r="M32" i="84"/>
  <c r="N32" i="84"/>
  <c r="O32" i="84"/>
  <c r="P32" i="84"/>
  <c r="Q32" i="84"/>
  <c r="R32" i="84"/>
  <c r="S32" i="84"/>
  <c r="T32" i="84"/>
  <c r="U32" i="84"/>
  <c r="V32" i="84"/>
  <c r="W32" i="84"/>
  <c r="X32" i="84"/>
  <c r="Y32" i="84"/>
  <c r="Z32" i="84"/>
  <c r="E33" i="84"/>
  <c r="F33" i="84"/>
  <c r="G33" i="84"/>
  <c r="H33" i="84"/>
  <c r="I33" i="84"/>
  <c r="J33" i="84"/>
  <c r="K33" i="84"/>
  <c r="L33" i="84"/>
  <c r="M33" i="84"/>
  <c r="N33" i="84"/>
  <c r="O33" i="84"/>
  <c r="P33" i="84"/>
  <c r="Q33" i="84"/>
  <c r="R33" i="84"/>
  <c r="S33" i="84"/>
  <c r="T33" i="84"/>
  <c r="U33" i="84"/>
  <c r="V33" i="84"/>
  <c r="W33" i="84"/>
  <c r="X33" i="84"/>
  <c r="Y33" i="84"/>
  <c r="Z33" i="84"/>
  <c r="E98" i="84"/>
  <c r="F98" i="84"/>
  <c r="G98" i="84"/>
  <c r="H98" i="84"/>
  <c r="I98" i="84"/>
  <c r="J98" i="84"/>
  <c r="K98" i="84"/>
  <c r="L98" i="84"/>
  <c r="M98" i="84"/>
  <c r="N98" i="84"/>
  <c r="O98" i="84"/>
  <c r="P98" i="84"/>
  <c r="Q98" i="84"/>
  <c r="R98" i="84"/>
  <c r="S98" i="84"/>
  <c r="T98" i="84"/>
  <c r="U98" i="84"/>
  <c r="V98" i="84"/>
  <c r="W98" i="84"/>
  <c r="X98" i="84"/>
  <c r="Y98" i="84"/>
  <c r="Z98" i="84"/>
  <c r="E99" i="84"/>
  <c r="F99" i="84"/>
  <c r="G99" i="84"/>
  <c r="H99" i="84"/>
  <c r="I99" i="84"/>
  <c r="J99" i="84"/>
  <c r="K99" i="84"/>
  <c r="L99" i="84"/>
  <c r="M99" i="84"/>
  <c r="N99" i="84"/>
  <c r="O99" i="84"/>
  <c r="P99" i="84"/>
  <c r="Q99" i="84"/>
  <c r="R99" i="84"/>
  <c r="S99" i="84"/>
  <c r="T99" i="84"/>
  <c r="U99" i="84"/>
  <c r="V99" i="84"/>
  <c r="W99" i="84"/>
  <c r="X99" i="84"/>
  <c r="Y99" i="84"/>
  <c r="Z99" i="84"/>
  <c r="E35" i="84"/>
  <c r="F35" i="84"/>
  <c r="G35" i="84"/>
  <c r="H35" i="84"/>
  <c r="I35" i="84"/>
  <c r="J35" i="84"/>
  <c r="K35" i="84"/>
  <c r="L35" i="84"/>
  <c r="M35" i="84"/>
  <c r="N35" i="84"/>
  <c r="O35" i="84"/>
  <c r="P35" i="84"/>
  <c r="Q35" i="84"/>
  <c r="R35" i="84"/>
  <c r="S35" i="84"/>
  <c r="T35" i="84"/>
  <c r="U35" i="84"/>
  <c r="V35" i="84"/>
  <c r="W35" i="84"/>
  <c r="X35" i="84"/>
  <c r="Y35" i="84"/>
  <c r="Z35" i="84"/>
  <c r="E36" i="84"/>
  <c r="F36" i="84"/>
  <c r="G36" i="84"/>
  <c r="H36" i="84"/>
  <c r="I36" i="84"/>
  <c r="J36" i="84"/>
  <c r="K36" i="84"/>
  <c r="L36" i="84"/>
  <c r="M36" i="84"/>
  <c r="N36" i="84"/>
  <c r="O36" i="84"/>
  <c r="P36" i="84"/>
  <c r="Q36" i="84"/>
  <c r="R36" i="84"/>
  <c r="S36" i="84"/>
  <c r="T36" i="84"/>
  <c r="U36" i="84"/>
  <c r="V36" i="84"/>
  <c r="W36" i="84"/>
  <c r="X36" i="84"/>
  <c r="Y36" i="84"/>
  <c r="Z36" i="84"/>
  <c r="E37" i="84"/>
  <c r="F37" i="84"/>
  <c r="G37" i="84"/>
  <c r="H37" i="84"/>
  <c r="I37" i="84"/>
  <c r="J37" i="84"/>
  <c r="K37" i="84"/>
  <c r="L37" i="84"/>
  <c r="M37" i="84"/>
  <c r="N37" i="84"/>
  <c r="O37" i="84"/>
  <c r="P37" i="84"/>
  <c r="Q37" i="84"/>
  <c r="R37" i="84"/>
  <c r="S37" i="84"/>
  <c r="T37" i="84"/>
  <c r="U37" i="84"/>
  <c r="V37" i="84"/>
  <c r="W37" i="84"/>
  <c r="X37" i="84"/>
  <c r="Y37" i="84"/>
  <c r="Z37" i="84"/>
  <c r="E125" i="84"/>
  <c r="F125" i="84"/>
  <c r="G125" i="84"/>
  <c r="H125" i="84"/>
  <c r="I125" i="84"/>
  <c r="J125" i="84"/>
  <c r="K125" i="84"/>
  <c r="L125" i="84"/>
  <c r="M125" i="84"/>
  <c r="N125" i="84"/>
  <c r="O125" i="84"/>
  <c r="P125" i="84"/>
  <c r="Q125" i="84"/>
  <c r="R125" i="84"/>
  <c r="S125" i="84"/>
  <c r="T125" i="84"/>
  <c r="U125" i="84"/>
  <c r="V125" i="84"/>
  <c r="W125" i="84"/>
  <c r="X125" i="84"/>
  <c r="Y125" i="84"/>
  <c r="Z125" i="84"/>
  <c r="E100" i="84"/>
  <c r="F100" i="84"/>
  <c r="G100" i="84"/>
  <c r="H100" i="84"/>
  <c r="I100" i="84"/>
  <c r="J100" i="84"/>
  <c r="K100" i="84"/>
  <c r="L100" i="84"/>
  <c r="M100" i="84"/>
  <c r="N100" i="84"/>
  <c r="O100" i="84"/>
  <c r="P100" i="84"/>
  <c r="Q100" i="84"/>
  <c r="R100" i="84"/>
  <c r="S100" i="84"/>
  <c r="T100" i="84"/>
  <c r="U100" i="84"/>
  <c r="V100" i="84"/>
  <c r="W100" i="84"/>
  <c r="X100" i="84"/>
  <c r="Y100" i="84"/>
  <c r="Z100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E39" i="84"/>
  <c r="F39" i="84"/>
  <c r="G39" i="84"/>
  <c r="H39" i="84"/>
  <c r="I39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Y39" i="84"/>
  <c r="Z39" i="84"/>
  <c r="E40" i="84"/>
  <c r="F40" i="84"/>
  <c r="G40" i="84"/>
  <c r="H40" i="84"/>
  <c r="I40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Y40" i="84"/>
  <c r="Z40" i="84"/>
  <c r="E41" i="84"/>
  <c r="F41" i="84"/>
  <c r="G41" i="84"/>
  <c r="H41" i="84"/>
  <c r="I41" i="84"/>
  <c r="J41" i="84"/>
  <c r="K41" i="84"/>
  <c r="L41" i="84"/>
  <c r="M41" i="84"/>
  <c r="N41" i="84"/>
  <c r="O41" i="84"/>
  <c r="P41" i="84"/>
  <c r="Q41" i="84"/>
  <c r="R41" i="84"/>
  <c r="S41" i="84"/>
  <c r="T41" i="84"/>
  <c r="U41" i="84"/>
  <c r="V41" i="84"/>
  <c r="W41" i="84"/>
  <c r="X41" i="84"/>
  <c r="Y41" i="84"/>
  <c r="Z41" i="84"/>
  <c r="E42" i="84"/>
  <c r="F42" i="84"/>
  <c r="G42" i="84"/>
  <c r="H42" i="84"/>
  <c r="I42" i="84"/>
  <c r="J42" i="84"/>
  <c r="K42" i="84"/>
  <c r="L42" i="84"/>
  <c r="M42" i="84"/>
  <c r="N42" i="84"/>
  <c r="O42" i="84"/>
  <c r="P42" i="84"/>
  <c r="Q42" i="84"/>
  <c r="R42" i="84"/>
  <c r="S42" i="84"/>
  <c r="T42" i="84"/>
  <c r="U42" i="84"/>
  <c r="V42" i="84"/>
  <c r="W42" i="84"/>
  <c r="X42" i="84"/>
  <c r="Y42" i="84"/>
  <c r="Z42" i="84"/>
  <c r="E10" i="84"/>
  <c r="F10" i="84"/>
  <c r="G10" i="84"/>
  <c r="H10" i="84"/>
  <c r="I10" i="84"/>
  <c r="J10" i="84"/>
  <c r="K10" i="84"/>
  <c r="L10" i="84"/>
  <c r="M10" i="84"/>
  <c r="N10" i="84"/>
  <c r="O10" i="84"/>
  <c r="P10" i="84"/>
  <c r="Q10" i="84"/>
  <c r="R10" i="84"/>
  <c r="S10" i="84"/>
  <c r="T10" i="84"/>
  <c r="U10" i="84"/>
  <c r="V10" i="84"/>
  <c r="W10" i="84"/>
  <c r="X10" i="84"/>
  <c r="Y10" i="84"/>
  <c r="Z10" i="84"/>
  <c r="E43" i="84"/>
  <c r="F43" i="84"/>
  <c r="G43" i="84"/>
  <c r="H43" i="84"/>
  <c r="I43" i="84"/>
  <c r="J43" i="84"/>
  <c r="K43" i="84"/>
  <c r="L43" i="84"/>
  <c r="M43" i="84"/>
  <c r="N43" i="84"/>
  <c r="O43" i="84"/>
  <c r="P43" i="84"/>
  <c r="Q43" i="84"/>
  <c r="R43" i="84"/>
  <c r="S43" i="84"/>
  <c r="T43" i="84"/>
  <c r="U43" i="84"/>
  <c r="V43" i="84"/>
  <c r="W43" i="84"/>
  <c r="X43" i="84"/>
  <c r="Y43" i="84"/>
  <c r="Z43" i="84"/>
  <c r="E44" i="84"/>
  <c r="F44" i="84"/>
  <c r="G44" i="84"/>
  <c r="H44" i="84"/>
  <c r="I44" i="84"/>
  <c r="J44" i="84"/>
  <c r="K44" i="84"/>
  <c r="L44" i="84"/>
  <c r="M44" i="84"/>
  <c r="N44" i="84"/>
  <c r="O44" i="84"/>
  <c r="P44" i="84"/>
  <c r="Q44" i="84"/>
  <c r="R44" i="84"/>
  <c r="S44" i="84"/>
  <c r="T44" i="84"/>
  <c r="U44" i="84"/>
  <c r="V44" i="84"/>
  <c r="W44" i="84"/>
  <c r="X44" i="84"/>
  <c r="Y44" i="84"/>
  <c r="Z44" i="84"/>
  <c r="E11" i="84"/>
  <c r="F11" i="84"/>
  <c r="G11" i="84"/>
  <c r="H11" i="84"/>
  <c r="I11" i="84"/>
  <c r="J11" i="84"/>
  <c r="K11" i="84"/>
  <c r="L11" i="84"/>
  <c r="M11" i="84"/>
  <c r="N11" i="84"/>
  <c r="O11" i="84"/>
  <c r="P11" i="84"/>
  <c r="Q11" i="84"/>
  <c r="R11" i="84"/>
  <c r="S11" i="84"/>
  <c r="T11" i="84"/>
  <c r="U11" i="84"/>
  <c r="V11" i="84"/>
  <c r="W11" i="84"/>
  <c r="X11" i="84"/>
  <c r="Y11" i="84"/>
  <c r="Z11" i="84"/>
  <c r="E12" i="84"/>
  <c r="F12" i="84"/>
  <c r="G12" i="84"/>
  <c r="H12" i="84"/>
  <c r="I12" i="84"/>
  <c r="J12" i="84"/>
  <c r="K12" i="84"/>
  <c r="L12" i="84"/>
  <c r="M12" i="84"/>
  <c r="N12" i="84"/>
  <c r="O12" i="84"/>
  <c r="P12" i="84"/>
  <c r="Q12" i="84"/>
  <c r="R12" i="84"/>
  <c r="S12" i="84"/>
  <c r="T12" i="84"/>
  <c r="U12" i="84"/>
  <c r="V12" i="84"/>
  <c r="W12" i="84"/>
  <c r="X12" i="84"/>
  <c r="Y12" i="84"/>
  <c r="Z12" i="84"/>
  <c r="E72" i="84"/>
  <c r="F72" i="84"/>
  <c r="G72" i="84"/>
  <c r="H72" i="84"/>
  <c r="I72" i="84"/>
  <c r="J72" i="84"/>
  <c r="K72" i="84"/>
  <c r="L72" i="84"/>
  <c r="M72" i="84"/>
  <c r="N72" i="84"/>
  <c r="O72" i="84"/>
  <c r="P72" i="84"/>
  <c r="Q72" i="84"/>
  <c r="R72" i="84"/>
  <c r="S72" i="84"/>
  <c r="T72" i="84"/>
  <c r="U72" i="84"/>
  <c r="V72" i="84"/>
  <c r="W72" i="84"/>
  <c r="X72" i="84"/>
  <c r="Y72" i="84"/>
  <c r="Z72" i="84"/>
  <c r="E45" i="84"/>
  <c r="F45" i="84"/>
  <c r="G45" i="84"/>
  <c r="H45" i="84"/>
  <c r="I45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Y45" i="84"/>
  <c r="Z45" i="84"/>
  <c r="E46" i="84"/>
  <c r="F46" i="84"/>
  <c r="G46" i="84"/>
  <c r="H46" i="84"/>
  <c r="I46" i="84"/>
  <c r="J46" i="84"/>
  <c r="K46" i="84"/>
  <c r="L46" i="84"/>
  <c r="M46" i="84"/>
  <c r="N46" i="84"/>
  <c r="O46" i="84"/>
  <c r="P46" i="84"/>
  <c r="Q46" i="84"/>
  <c r="R46" i="84"/>
  <c r="S46" i="84"/>
  <c r="T46" i="84"/>
  <c r="U46" i="84"/>
  <c r="V46" i="84"/>
  <c r="W46" i="84"/>
  <c r="X46" i="84"/>
  <c r="Y46" i="84"/>
  <c r="Z46" i="84"/>
  <c r="E47" i="84"/>
  <c r="F47" i="84"/>
  <c r="G47" i="84"/>
  <c r="H47" i="84"/>
  <c r="I47" i="84"/>
  <c r="J47" i="84"/>
  <c r="K47" i="84"/>
  <c r="L47" i="84"/>
  <c r="M47" i="84"/>
  <c r="N47" i="84"/>
  <c r="O47" i="84"/>
  <c r="P47" i="84"/>
  <c r="Q47" i="84"/>
  <c r="R47" i="84"/>
  <c r="S47" i="84"/>
  <c r="T47" i="84"/>
  <c r="U47" i="84"/>
  <c r="V47" i="84"/>
  <c r="W47" i="84"/>
  <c r="X47" i="84"/>
  <c r="Y47" i="84"/>
  <c r="Z47" i="84"/>
  <c r="E101" i="84"/>
  <c r="F101" i="84"/>
  <c r="G101" i="84"/>
  <c r="H101" i="84"/>
  <c r="I101" i="84"/>
  <c r="J101" i="84"/>
  <c r="K101" i="84"/>
  <c r="L101" i="84"/>
  <c r="M101" i="84"/>
  <c r="N101" i="84"/>
  <c r="O101" i="84"/>
  <c r="P101" i="84"/>
  <c r="Q101" i="84"/>
  <c r="R101" i="84"/>
  <c r="S101" i="84"/>
  <c r="T101" i="84"/>
  <c r="U101" i="84"/>
  <c r="V101" i="84"/>
  <c r="W101" i="84"/>
  <c r="X101" i="84"/>
  <c r="Y101" i="84"/>
  <c r="Z101" i="84"/>
  <c r="E103" i="84"/>
  <c r="F103" i="84"/>
  <c r="G103" i="84"/>
  <c r="H103" i="84"/>
  <c r="I103" i="84"/>
  <c r="J103" i="84"/>
  <c r="K103" i="84"/>
  <c r="L103" i="84"/>
  <c r="M103" i="84"/>
  <c r="N103" i="84"/>
  <c r="O103" i="84"/>
  <c r="P103" i="84"/>
  <c r="Q103" i="84"/>
  <c r="R103" i="84"/>
  <c r="S103" i="84"/>
  <c r="T103" i="84"/>
  <c r="U103" i="84"/>
  <c r="V103" i="84"/>
  <c r="W103" i="84"/>
  <c r="X103" i="84"/>
  <c r="Y103" i="84"/>
  <c r="Z103" i="84"/>
  <c r="E13" i="84"/>
  <c r="F13" i="84"/>
  <c r="G13" i="84"/>
  <c r="H13" i="84"/>
  <c r="I13" i="84"/>
  <c r="J13" i="84"/>
  <c r="K13" i="84"/>
  <c r="L13" i="84"/>
  <c r="M13" i="84"/>
  <c r="N13" i="84"/>
  <c r="O13" i="84"/>
  <c r="P13" i="84"/>
  <c r="Q13" i="84"/>
  <c r="R13" i="84"/>
  <c r="S13" i="84"/>
  <c r="T13" i="84"/>
  <c r="U13" i="84"/>
  <c r="V13" i="84"/>
  <c r="W13" i="84"/>
  <c r="X13" i="84"/>
  <c r="Y13" i="84"/>
  <c r="Z13" i="84"/>
  <c r="E48" i="84"/>
  <c r="F48" i="84"/>
  <c r="G48" i="84"/>
  <c r="H48" i="84"/>
  <c r="I48" i="84"/>
  <c r="J48" i="84"/>
  <c r="K48" i="84"/>
  <c r="L48" i="84"/>
  <c r="M48" i="84"/>
  <c r="N48" i="84"/>
  <c r="O48" i="84"/>
  <c r="P48" i="84"/>
  <c r="Q48" i="84"/>
  <c r="R48" i="84"/>
  <c r="S48" i="84"/>
  <c r="T48" i="84"/>
  <c r="U48" i="84"/>
  <c r="V48" i="84"/>
  <c r="W48" i="84"/>
  <c r="X48" i="84"/>
  <c r="Y48" i="84"/>
  <c r="Z48" i="84"/>
  <c r="E49" i="84"/>
  <c r="F49" i="84"/>
  <c r="G49" i="84"/>
  <c r="H49" i="84"/>
  <c r="I49" i="84"/>
  <c r="J49" i="84"/>
  <c r="K49" i="84"/>
  <c r="L49" i="84"/>
  <c r="M49" i="84"/>
  <c r="N49" i="84"/>
  <c r="O49" i="84"/>
  <c r="P49" i="84"/>
  <c r="Q49" i="84"/>
  <c r="R49" i="84"/>
  <c r="S49" i="84"/>
  <c r="T49" i="84"/>
  <c r="U49" i="84"/>
  <c r="V49" i="84"/>
  <c r="W49" i="84"/>
  <c r="X49" i="84"/>
  <c r="Y49" i="84"/>
  <c r="Z49" i="84"/>
  <c r="E50" i="84"/>
  <c r="F50" i="84"/>
  <c r="G50" i="84"/>
  <c r="H50" i="84"/>
  <c r="I50" i="84"/>
  <c r="J50" i="84"/>
  <c r="K50" i="84"/>
  <c r="L50" i="84"/>
  <c r="M50" i="84"/>
  <c r="N50" i="84"/>
  <c r="O50" i="84"/>
  <c r="P50" i="84"/>
  <c r="Q50" i="84"/>
  <c r="R50" i="84"/>
  <c r="S50" i="84"/>
  <c r="T50" i="84"/>
  <c r="U50" i="84"/>
  <c r="V50" i="84"/>
  <c r="W50" i="84"/>
  <c r="X50" i="84"/>
  <c r="Y50" i="84"/>
  <c r="Z50" i="84"/>
  <c r="E51" i="84"/>
  <c r="F51" i="84"/>
  <c r="G51" i="84"/>
  <c r="H51" i="84"/>
  <c r="I51" i="84"/>
  <c r="J51" i="84"/>
  <c r="K51" i="84"/>
  <c r="L51" i="84"/>
  <c r="M51" i="84"/>
  <c r="N51" i="84"/>
  <c r="O51" i="84"/>
  <c r="P51" i="84"/>
  <c r="Q51" i="84"/>
  <c r="R51" i="84"/>
  <c r="S51" i="84"/>
  <c r="T51" i="84"/>
  <c r="U51" i="84"/>
  <c r="V51" i="84"/>
  <c r="W51" i="84"/>
  <c r="X51" i="84"/>
  <c r="Y51" i="84"/>
  <c r="Z51" i="84"/>
  <c r="E73" i="84"/>
  <c r="F73" i="84"/>
  <c r="G73" i="84"/>
  <c r="H73" i="84"/>
  <c r="I73" i="84"/>
  <c r="J73" i="84"/>
  <c r="K73" i="84"/>
  <c r="L73" i="84"/>
  <c r="M73" i="84"/>
  <c r="N73" i="84"/>
  <c r="O73" i="84"/>
  <c r="P73" i="84"/>
  <c r="Q73" i="84"/>
  <c r="R73" i="84"/>
  <c r="S73" i="84"/>
  <c r="T73" i="84"/>
  <c r="U73" i="84"/>
  <c r="V73" i="84"/>
  <c r="W73" i="84"/>
  <c r="X73" i="84"/>
  <c r="Y73" i="84"/>
  <c r="Z73" i="84"/>
  <c r="E104" i="84"/>
  <c r="F104" i="84"/>
  <c r="G104" i="84"/>
  <c r="H104" i="84"/>
  <c r="I104" i="84"/>
  <c r="J104" i="84"/>
  <c r="K104" i="84"/>
  <c r="L104" i="84"/>
  <c r="M104" i="84"/>
  <c r="N104" i="84"/>
  <c r="O104" i="84"/>
  <c r="P104" i="84"/>
  <c r="Q104" i="84"/>
  <c r="R104" i="84"/>
  <c r="S104" i="84"/>
  <c r="T104" i="84"/>
  <c r="U104" i="84"/>
  <c r="V104" i="84"/>
  <c r="W104" i="84"/>
  <c r="X104" i="84"/>
  <c r="Y104" i="84"/>
  <c r="Z104" i="84"/>
  <c r="E105" i="84"/>
  <c r="F105" i="84"/>
  <c r="G105" i="84"/>
  <c r="H105" i="84"/>
  <c r="I105" i="84"/>
  <c r="J105" i="84"/>
  <c r="K105" i="84"/>
  <c r="L105" i="84"/>
  <c r="M105" i="84"/>
  <c r="N105" i="84"/>
  <c r="O105" i="84"/>
  <c r="P105" i="84"/>
  <c r="Q105" i="84"/>
  <c r="R105" i="84"/>
  <c r="S105" i="84"/>
  <c r="T105" i="84"/>
  <c r="U105" i="84"/>
  <c r="V105" i="84"/>
  <c r="W105" i="84"/>
  <c r="X105" i="84"/>
  <c r="Y105" i="84"/>
  <c r="Z105" i="84"/>
  <c r="E106" i="84"/>
  <c r="F106" i="84"/>
  <c r="G106" i="84"/>
  <c r="H106" i="84"/>
  <c r="I106" i="84"/>
  <c r="J106" i="84"/>
  <c r="K106" i="84"/>
  <c r="L106" i="84"/>
  <c r="M106" i="84"/>
  <c r="N106" i="84"/>
  <c r="O106" i="84"/>
  <c r="P106" i="84"/>
  <c r="Q106" i="84"/>
  <c r="R106" i="84"/>
  <c r="S106" i="84"/>
  <c r="T106" i="84"/>
  <c r="U106" i="84"/>
  <c r="V106" i="84"/>
  <c r="W106" i="84"/>
  <c r="X106" i="84"/>
  <c r="Y106" i="84"/>
  <c r="Z106" i="84"/>
  <c r="E126" i="84"/>
  <c r="F126" i="84"/>
  <c r="G126" i="84"/>
  <c r="H126" i="84"/>
  <c r="I126" i="84"/>
  <c r="J126" i="84"/>
  <c r="K126" i="84"/>
  <c r="L126" i="84"/>
  <c r="M126" i="84"/>
  <c r="N126" i="84"/>
  <c r="O126" i="84"/>
  <c r="P126" i="84"/>
  <c r="Q126" i="84"/>
  <c r="R126" i="84"/>
  <c r="S126" i="84"/>
  <c r="T126" i="84"/>
  <c r="U126" i="84"/>
  <c r="V126" i="84"/>
  <c r="W126" i="84"/>
  <c r="X126" i="84"/>
  <c r="Y126" i="84"/>
  <c r="Z126" i="84"/>
  <c r="E120" i="84"/>
  <c r="F120" i="84"/>
  <c r="G120" i="84"/>
  <c r="H120" i="84"/>
  <c r="I120" i="84"/>
  <c r="J120" i="84"/>
  <c r="K120" i="84"/>
  <c r="L120" i="84"/>
  <c r="M120" i="84"/>
  <c r="N120" i="84"/>
  <c r="O120" i="84"/>
  <c r="P120" i="84"/>
  <c r="Q120" i="84"/>
  <c r="R120" i="84"/>
  <c r="S120" i="84"/>
  <c r="T120" i="84"/>
  <c r="U120" i="84"/>
  <c r="V120" i="84"/>
  <c r="W120" i="84"/>
  <c r="X120" i="84"/>
  <c r="Y120" i="84"/>
  <c r="Z120" i="84"/>
  <c r="E53" i="84"/>
  <c r="F53" i="84"/>
  <c r="G53" i="84"/>
  <c r="H53" i="84"/>
  <c r="I53" i="84"/>
  <c r="J53" i="84"/>
  <c r="K53" i="84"/>
  <c r="L53" i="84"/>
  <c r="M53" i="84"/>
  <c r="N53" i="84"/>
  <c r="O53" i="84"/>
  <c r="P53" i="84"/>
  <c r="Q53" i="84"/>
  <c r="R53" i="84"/>
  <c r="S53" i="84"/>
  <c r="T53" i="84"/>
  <c r="U53" i="84"/>
  <c r="V53" i="84"/>
  <c r="W53" i="84"/>
  <c r="X53" i="84"/>
  <c r="Y53" i="84"/>
  <c r="Z53" i="84"/>
  <c r="E14" i="84"/>
  <c r="F14" i="84"/>
  <c r="G14" i="84"/>
  <c r="H14" i="84"/>
  <c r="I14" i="84"/>
  <c r="J14" i="84"/>
  <c r="K14" i="84"/>
  <c r="L14" i="84"/>
  <c r="M14" i="84"/>
  <c r="N14" i="84"/>
  <c r="O14" i="84"/>
  <c r="P14" i="84"/>
  <c r="Q14" i="84"/>
  <c r="R14" i="84"/>
  <c r="S14" i="84"/>
  <c r="T14" i="84"/>
  <c r="U14" i="84"/>
  <c r="V14" i="84"/>
  <c r="W14" i="84"/>
  <c r="X14" i="84"/>
  <c r="Y14" i="84"/>
  <c r="Z14" i="84"/>
  <c r="E74" i="84"/>
  <c r="F74" i="84"/>
  <c r="G74" i="84"/>
  <c r="H74" i="84"/>
  <c r="I74" i="84"/>
  <c r="J74" i="84"/>
  <c r="K74" i="84"/>
  <c r="L74" i="84"/>
  <c r="M74" i="84"/>
  <c r="N74" i="84"/>
  <c r="O74" i="84"/>
  <c r="P74" i="84"/>
  <c r="Q74" i="84"/>
  <c r="R74" i="84"/>
  <c r="S74" i="84"/>
  <c r="T74" i="84"/>
  <c r="U74" i="84"/>
  <c r="V74" i="84"/>
  <c r="W74" i="84"/>
  <c r="X74" i="84"/>
  <c r="Y74" i="84"/>
  <c r="Z74" i="84"/>
  <c r="E75" i="84"/>
  <c r="F75" i="84"/>
  <c r="G75" i="84"/>
  <c r="H75" i="84"/>
  <c r="I75" i="84"/>
  <c r="J75" i="84"/>
  <c r="K75" i="84"/>
  <c r="L75" i="84"/>
  <c r="M75" i="84"/>
  <c r="N75" i="84"/>
  <c r="O75" i="84"/>
  <c r="P75" i="84"/>
  <c r="Q75" i="84"/>
  <c r="R75" i="84"/>
  <c r="S75" i="84"/>
  <c r="T75" i="84"/>
  <c r="U75" i="84"/>
  <c r="V75" i="84"/>
  <c r="W75" i="84"/>
  <c r="X75" i="84"/>
  <c r="Y75" i="84"/>
  <c r="Z75" i="84"/>
  <c r="E76" i="84"/>
  <c r="F76" i="84"/>
  <c r="G76" i="84"/>
  <c r="H76" i="84"/>
  <c r="I76" i="84"/>
  <c r="J76" i="84"/>
  <c r="K76" i="84"/>
  <c r="L76" i="84"/>
  <c r="M76" i="84"/>
  <c r="N76" i="84"/>
  <c r="O76" i="84"/>
  <c r="P76" i="84"/>
  <c r="Q76" i="84"/>
  <c r="R76" i="84"/>
  <c r="S76" i="84"/>
  <c r="T76" i="84"/>
  <c r="U76" i="84"/>
  <c r="V76" i="84"/>
  <c r="W76" i="84"/>
  <c r="X76" i="84"/>
  <c r="Y76" i="84"/>
  <c r="Z76" i="84"/>
  <c r="E107" i="84"/>
  <c r="F107" i="84"/>
  <c r="G107" i="84"/>
  <c r="H107" i="84"/>
  <c r="I107" i="84"/>
  <c r="J107" i="84"/>
  <c r="K107" i="84"/>
  <c r="L107" i="84"/>
  <c r="M107" i="84"/>
  <c r="N107" i="84"/>
  <c r="O107" i="84"/>
  <c r="P107" i="84"/>
  <c r="Q107" i="84"/>
  <c r="R107" i="84"/>
  <c r="S107" i="84"/>
  <c r="T107" i="84"/>
  <c r="U107" i="84"/>
  <c r="V107" i="84"/>
  <c r="W107" i="84"/>
  <c r="X107" i="84"/>
  <c r="Y107" i="84"/>
  <c r="Z107" i="84"/>
  <c r="E127" i="84"/>
  <c r="F127" i="84"/>
  <c r="G127" i="84"/>
  <c r="H127" i="84"/>
  <c r="I127" i="84"/>
  <c r="J127" i="84"/>
  <c r="K127" i="84"/>
  <c r="L127" i="84"/>
  <c r="M127" i="84"/>
  <c r="N127" i="84"/>
  <c r="O127" i="84"/>
  <c r="P127" i="84"/>
  <c r="Q127" i="84"/>
  <c r="R127" i="84"/>
  <c r="S127" i="84"/>
  <c r="T127" i="84"/>
  <c r="U127" i="84"/>
  <c r="V127" i="84"/>
  <c r="W127" i="84"/>
  <c r="X127" i="84"/>
  <c r="Y127" i="84"/>
  <c r="Z127" i="84"/>
  <c r="E54" i="84"/>
  <c r="F54" i="84"/>
  <c r="G54" i="84"/>
  <c r="H54" i="84"/>
  <c r="I54" i="84"/>
  <c r="J54" i="84"/>
  <c r="K54" i="84"/>
  <c r="L54" i="84"/>
  <c r="M54" i="84"/>
  <c r="N54" i="84"/>
  <c r="O54" i="84"/>
  <c r="P54" i="84"/>
  <c r="Q54" i="84"/>
  <c r="R54" i="84"/>
  <c r="S54" i="84"/>
  <c r="T54" i="84"/>
  <c r="U54" i="84"/>
  <c r="V54" i="84"/>
  <c r="W54" i="84"/>
  <c r="X54" i="84"/>
  <c r="Y54" i="84"/>
  <c r="Z54" i="84"/>
  <c r="E110" i="84"/>
  <c r="F110" i="84"/>
  <c r="G110" i="84"/>
  <c r="H110" i="84"/>
  <c r="I110" i="84"/>
  <c r="J110" i="84"/>
  <c r="K110" i="84"/>
  <c r="L110" i="84"/>
  <c r="M110" i="84"/>
  <c r="N110" i="84"/>
  <c r="O110" i="84"/>
  <c r="P110" i="84"/>
  <c r="Q110" i="84"/>
  <c r="R110" i="84"/>
  <c r="S110" i="84"/>
  <c r="T110" i="84"/>
  <c r="U110" i="84"/>
  <c r="V110" i="84"/>
  <c r="W110" i="84"/>
  <c r="X110" i="84"/>
  <c r="Y110" i="84"/>
  <c r="Z110" i="84"/>
  <c r="E111" i="84"/>
  <c r="F111" i="84"/>
  <c r="G111" i="84"/>
  <c r="H111" i="84"/>
  <c r="I111" i="84"/>
  <c r="J111" i="84"/>
  <c r="K111" i="84"/>
  <c r="L111" i="84"/>
  <c r="M111" i="84"/>
  <c r="N111" i="84"/>
  <c r="O111" i="84"/>
  <c r="P111" i="84"/>
  <c r="Q111" i="84"/>
  <c r="R111" i="84"/>
  <c r="S111" i="84"/>
  <c r="T111" i="84"/>
  <c r="U111" i="84"/>
  <c r="V111" i="84"/>
  <c r="W111" i="84"/>
  <c r="X111" i="84"/>
  <c r="Y111" i="84"/>
  <c r="Z111" i="84"/>
  <c r="E112" i="84"/>
  <c r="F112" i="84"/>
  <c r="G112" i="84"/>
  <c r="H112" i="84"/>
  <c r="I112" i="84"/>
  <c r="J112" i="84"/>
  <c r="K112" i="84"/>
  <c r="L112" i="84"/>
  <c r="M112" i="84"/>
  <c r="N112" i="84"/>
  <c r="O112" i="84"/>
  <c r="P112" i="84"/>
  <c r="Q112" i="84"/>
  <c r="R112" i="84"/>
  <c r="S112" i="84"/>
  <c r="T112" i="84"/>
  <c r="U112" i="84"/>
  <c r="V112" i="84"/>
  <c r="W112" i="84"/>
  <c r="X112" i="84"/>
  <c r="Y112" i="84"/>
  <c r="Z112" i="84"/>
  <c r="E15" i="84"/>
  <c r="F15" i="84"/>
  <c r="G15" i="84"/>
  <c r="H15" i="84"/>
  <c r="I15" i="84"/>
  <c r="J15" i="84"/>
  <c r="K15" i="84"/>
  <c r="L15" i="84"/>
  <c r="M15" i="84"/>
  <c r="N15" i="84"/>
  <c r="O15" i="84"/>
  <c r="P15" i="84"/>
  <c r="Q15" i="84"/>
  <c r="R15" i="84"/>
  <c r="S15" i="84"/>
  <c r="T15" i="84"/>
  <c r="U15" i="84"/>
  <c r="V15" i="84"/>
  <c r="W15" i="84"/>
  <c r="X15" i="84"/>
  <c r="Y15" i="84"/>
  <c r="Z15" i="84"/>
  <c r="E16" i="84"/>
  <c r="F16" i="84"/>
  <c r="G16" i="84"/>
  <c r="H16" i="84"/>
  <c r="I16" i="84"/>
  <c r="J16" i="84"/>
  <c r="K16" i="84"/>
  <c r="L16" i="84"/>
  <c r="M16" i="84"/>
  <c r="N16" i="84"/>
  <c r="O16" i="84"/>
  <c r="P16" i="84"/>
  <c r="Q16" i="84"/>
  <c r="R16" i="84"/>
  <c r="S16" i="84"/>
  <c r="T16" i="84"/>
  <c r="U16" i="84"/>
  <c r="V16" i="84"/>
  <c r="W16" i="84"/>
  <c r="X16" i="84"/>
  <c r="Y16" i="84"/>
  <c r="Z16" i="84"/>
  <c r="E57" i="84"/>
  <c r="F57" i="84"/>
  <c r="G57" i="84"/>
  <c r="H57" i="84"/>
  <c r="I57" i="84"/>
  <c r="J57" i="84"/>
  <c r="K57" i="84"/>
  <c r="L57" i="84"/>
  <c r="M57" i="84"/>
  <c r="N57" i="84"/>
  <c r="O57" i="84"/>
  <c r="P57" i="84"/>
  <c r="Q57" i="84"/>
  <c r="R57" i="84"/>
  <c r="S57" i="84"/>
  <c r="T57" i="84"/>
  <c r="U57" i="84"/>
  <c r="V57" i="84"/>
  <c r="W57" i="84"/>
  <c r="X57" i="84"/>
  <c r="Y57" i="84"/>
  <c r="Z57" i="84"/>
  <c r="E58" i="84"/>
  <c r="F58" i="84"/>
  <c r="G58" i="84"/>
  <c r="H58" i="84"/>
  <c r="I58" i="84"/>
  <c r="J58" i="84"/>
  <c r="K58" i="84"/>
  <c r="L58" i="84"/>
  <c r="M58" i="84"/>
  <c r="N58" i="84"/>
  <c r="O58" i="84"/>
  <c r="P58" i="84"/>
  <c r="Q58" i="84"/>
  <c r="R58" i="84"/>
  <c r="S58" i="84"/>
  <c r="T58" i="84"/>
  <c r="U58" i="84"/>
  <c r="V58" i="84"/>
  <c r="W58" i="84"/>
  <c r="X58" i="84"/>
  <c r="Y58" i="84"/>
  <c r="Z58" i="84"/>
  <c r="E59" i="84"/>
  <c r="F59" i="84"/>
  <c r="G59" i="84"/>
  <c r="H59" i="84"/>
  <c r="I59" i="84"/>
  <c r="J59" i="84"/>
  <c r="K59" i="84"/>
  <c r="L59" i="84"/>
  <c r="M59" i="84"/>
  <c r="N59" i="84"/>
  <c r="O59" i="84"/>
  <c r="P59" i="84"/>
  <c r="Q59" i="84"/>
  <c r="R59" i="84"/>
  <c r="S59" i="84"/>
  <c r="T59" i="84"/>
  <c r="U59" i="84"/>
  <c r="V59" i="84"/>
  <c r="W59" i="84"/>
  <c r="X59" i="84"/>
  <c r="Y59" i="84"/>
  <c r="Z59" i="84"/>
  <c r="E60" i="84"/>
  <c r="F60" i="84"/>
  <c r="G60" i="84"/>
  <c r="H60" i="84"/>
  <c r="I60" i="84"/>
  <c r="J60" i="84"/>
  <c r="K60" i="84"/>
  <c r="L60" i="84"/>
  <c r="M60" i="84"/>
  <c r="N60" i="84"/>
  <c r="O60" i="84"/>
  <c r="P60" i="84"/>
  <c r="Q60" i="84"/>
  <c r="R60" i="84"/>
  <c r="S60" i="84"/>
  <c r="T60" i="84"/>
  <c r="U60" i="84"/>
  <c r="V60" i="84"/>
  <c r="W60" i="84"/>
  <c r="X60" i="84"/>
  <c r="Y60" i="84"/>
  <c r="Z60" i="84"/>
  <c r="E84" i="84"/>
  <c r="F84" i="84"/>
  <c r="G84" i="84"/>
  <c r="H84" i="84"/>
  <c r="I84" i="84"/>
  <c r="J84" i="84"/>
  <c r="K84" i="84"/>
  <c r="L84" i="84"/>
  <c r="M84" i="84"/>
  <c r="N84" i="84"/>
  <c r="O84" i="84"/>
  <c r="P84" i="84"/>
  <c r="Q84" i="84"/>
  <c r="R84" i="84"/>
  <c r="S84" i="84"/>
  <c r="T84" i="84"/>
  <c r="U84" i="84"/>
  <c r="V84" i="84"/>
  <c r="W84" i="84"/>
  <c r="X84" i="84"/>
  <c r="Y84" i="84"/>
  <c r="Z84" i="84"/>
  <c r="E113" i="84"/>
  <c r="F113" i="84"/>
  <c r="G113" i="84"/>
  <c r="H113" i="84"/>
  <c r="I113" i="84"/>
  <c r="J113" i="84"/>
  <c r="K113" i="84"/>
  <c r="L113" i="84"/>
  <c r="M113" i="84"/>
  <c r="N113" i="84"/>
  <c r="O113" i="84"/>
  <c r="P113" i="84"/>
  <c r="Q113" i="84"/>
  <c r="R113" i="84"/>
  <c r="S113" i="84"/>
  <c r="T113" i="84"/>
  <c r="U113" i="84"/>
  <c r="V113" i="84"/>
  <c r="W113" i="84"/>
  <c r="X113" i="84"/>
  <c r="Y113" i="84"/>
  <c r="Z113" i="84"/>
  <c r="E114" i="84"/>
  <c r="F114" i="84"/>
  <c r="G114" i="84"/>
  <c r="H114" i="84"/>
  <c r="I114" i="84"/>
  <c r="J114" i="84"/>
  <c r="K114" i="84"/>
  <c r="L114" i="84"/>
  <c r="M114" i="84"/>
  <c r="N114" i="84"/>
  <c r="O114" i="84"/>
  <c r="P114" i="84"/>
  <c r="Q114" i="84"/>
  <c r="R114" i="84"/>
  <c r="S114" i="84"/>
  <c r="T114" i="84"/>
  <c r="U114" i="84"/>
  <c r="V114" i="84"/>
  <c r="W114" i="84"/>
  <c r="X114" i="84"/>
  <c r="Y114" i="84"/>
  <c r="Z114" i="84"/>
  <c r="E88" i="84"/>
  <c r="F88" i="84"/>
  <c r="G88" i="84"/>
  <c r="H88" i="84"/>
  <c r="I88" i="84"/>
  <c r="J88" i="84"/>
  <c r="K88" i="84"/>
  <c r="L88" i="84"/>
  <c r="M88" i="84"/>
  <c r="N88" i="84"/>
  <c r="O88" i="84"/>
  <c r="P88" i="84"/>
  <c r="Q88" i="84"/>
  <c r="R88" i="84"/>
  <c r="S88" i="84"/>
  <c r="T88" i="84"/>
  <c r="U88" i="84"/>
  <c r="V88" i="84"/>
  <c r="W88" i="84"/>
  <c r="X88" i="84"/>
  <c r="Y88" i="84"/>
  <c r="Z88" i="84"/>
  <c r="E89" i="84"/>
  <c r="F89" i="84"/>
  <c r="G89" i="84"/>
  <c r="H89" i="84"/>
  <c r="I89" i="84"/>
  <c r="J89" i="84"/>
  <c r="K89" i="84"/>
  <c r="L89" i="84"/>
  <c r="M89" i="84"/>
  <c r="N89" i="84"/>
  <c r="O89" i="84"/>
  <c r="P89" i="84"/>
  <c r="Q89" i="84"/>
  <c r="R89" i="84"/>
  <c r="S89" i="84"/>
  <c r="T89" i="84"/>
  <c r="U89" i="84"/>
  <c r="V89" i="84"/>
  <c r="W89" i="84"/>
  <c r="X89" i="84"/>
  <c r="Y89" i="84"/>
  <c r="Z89" i="84"/>
  <c r="E116" i="84"/>
  <c r="F116" i="84"/>
  <c r="G116" i="84"/>
  <c r="H116" i="84"/>
  <c r="I116" i="84"/>
  <c r="J116" i="84"/>
  <c r="K116" i="84"/>
  <c r="L116" i="84"/>
  <c r="M116" i="84"/>
  <c r="N116" i="84"/>
  <c r="O116" i="84"/>
  <c r="P116" i="84"/>
  <c r="Q116" i="84"/>
  <c r="R116" i="84"/>
  <c r="S116" i="84"/>
  <c r="T116" i="84"/>
  <c r="U116" i="84"/>
  <c r="V116" i="84"/>
  <c r="W116" i="84"/>
  <c r="X116" i="84"/>
  <c r="Y116" i="84"/>
  <c r="Z116" i="84"/>
  <c r="E64" i="84"/>
  <c r="F64" i="84"/>
  <c r="G64" i="84"/>
  <c r="H64" i="84"/>
  <c r="I64" i="84"/>
  <c r="J64" i="84"/>
  <c r="K64" i="84"/>
  <c r="L64" i="84"/>
  <c r="M64" i="84"/>
  <c r="N64" i="84"/>
  <c r="O64" i="84"/>
  <c r="P64" i="84"/>
  <c r="Q64" i="84"/>
  <c r="R64" i="84"/>
  <c r="S64" i="84"/>
  <c r="T64" i="84"/>
  <c r="U64" i="84"/>
  <c r="V64" i="84"/>
  <c r="W64" i="84"/>
  <c r="X64" i="84"/>
  <c r="Y64" i="84"/>
  <c r="Z64" i="84"/>
  <c r="E65" i="84"/>
  <c r="F65" i="84"/>
  <c r="G65" i="84"/>
  <c r="H65" i="84"/>
  <c r="I65" i="84"/>
  <c r="J65" i="84"/>
  <c r="K65" i="84"/>
  <c r="L65" i="84"/>
  <c r="M65" i="84"/>
  <c r="N65" i="84"/>
  <c r="O65" i="84"/>
  <c r="P65" i="84"/>
  <c r="Q65" i="84"/>
  <c r="R65" i="84"/>
  <c r="S65" i="84"/>
  <c r="T65" i="84"/>
  <c r="U65" i="84"/>
  <c r="V65" i="84"/>
  <c r="W65" i="84"/>
  <c r="X65" i="84"/>
  <c r="Y65" i="84"/>
  <c r="Z65" i="84"/>
  <c r="E66" i="84"/>
  <c r="F66" i="84"/>
  <c r="G66" i="84"/>
  <c r="H66" i="84"/>
  <c r="I66" i="84"/>
  <c r="J66" i="84"/>
  <c r="K66" i="84"/>
  <c r="L66" i="84"/>
  <c r="M66" i="84"/>
  <c r="N66" i="84"/>
  <c r="O66" i="84"/>
  <c r="P66" i="84"/>
  <c r="Q66" i="84"/>
  <c r="R66" i="84"/>
  <c r="S66" i="84"/>
  <c r="T66" i="84"/>
  <c r="U66" i="84"/>
  <c r="V66" i="84"/>
  <c r="W66" i="84"/>
  <c r="X66" i="84"/>
  <c r="Y66" i="84"/>
  <c r="Z66" i="84"/>
  <c r="E121" i="84"/>
  <c r="F121" i="84"/>
  <c r="G121" i="84"/>
  <c r="H121" i="84"/>
  <c r="I121" i="84"/>
  <c r="J121" i="84"/>
  <c r="K121" i="84"/>
  <c r="L121" i="84"/>
  <c r="M121" i="84"/>
  <c r="N121" i="84"/>
  <c r="O121" i="84"/>
  <c r="P121" i="84"/>
  <c r="Q121" i="84"/>
  <c r="R121" i="84"/>
  <c r="S121" i="84"/>
  <c r="T121" i="84"/>
  <c r="U121" i="84"/>
  <c r="V121" i="84"/>
  <c r="W121" i="84"/>
  <c r="X121" i="84"/>
  <c r="Y121" i="84"/>
  <c r="Z121" i="84"/>
  <c r="E115" i="84"/>
  <c r="F115" i="84"/>
  <c r="G115" i="84"/>
  <c r="H115" i="84"/>
  <c r="I115" i="84"/>
  <c r="J115" i="84"/>
  <c r="K115" i="84"/>
  <c r="L115" i="84"/>
  <c r="M115" i="84"/>
  <c r="N115" i="84"/>
  <c r="O115" i="84"/>
  <c r="P115" i="84"/>
  <c r="Q115" i="84"/>
  <c r="R115" i="84"/>
  <c r="S115" i="84"/>
  <c r="T115" i="84"/>
  <c r="U115" i="84"/>
  <c r="V115" i="84"/>
  <c r="W115" i="84"/>
  <c r="X115" i="84"/>
  <c r="Y115" i="84"/>
  <c r="Z115" i="84"/>
  <c r="E90" i="84"/>
  <c r="F90" i="84"/>
  <c r="G90" i="84"/>
  <c r="H90" i="84"/>
  <c r="I90" i="84"/>
  <c r="J90" i="84"/>
  <c r="K90" i="84"/>
  <c r="L90" i="84"/>
  <c r="M90" i="84"/>
  <c r="N90" i="84"/>
  <c r="O90" i="84"/>
  <c r="P90" i="84"/>
  <c r="Q90" i="84"/>
  <c r="R90" i="84"/>
  <c r="S90" i="84"/>
  <c r="T90" i="84"/>
  <c r="U90" i="84"/>
  <c r="V90" i="84"/>
  <c r="W90" i="84"/>
  <c r="X90" i="84"/>
  <c r="Y90" i="84"/>
  <c r="Z90" i="84"/>
  <c r="E91" i="84"/>
  <c r="F91" i="84"/>
  <c r="G91" i="84"/>
  <c r="H91" i="84"/>
  <c r="I91" i="84"/>
  <c r="J91" i="84"/>
  <c r="K91" i="84"/>
  <c r="L91" i="84"/>
  <c r="M91" i="84"/>
  <c r="N91" i="84"/>
  <c r="O91" i="84"/>
  <c r="P91" i="84"/>
  <c r="Q91" i="84"/>
  <c r="R91" i="84"/>
  <c r="S91" i="84"/>
  <c r="T91" i="84"/>
  <c r="U91" i="84"/>
  <c r="V91" i="84"/>
  <c r="W91" i="84"/>
  <c r="X91" i="84"/>
  <c r="Y91" i="84"/>
  <c r="Z91" i="84"/>
  <c r="E92" i="84"/>
  <c r="F92" i="84"/>
  <c r="G92" i="84"/>
  <c r="H92" i="84"/>
  <c r="I92" i="84"/>
  <c r="J92" i="84"/>
  <c r="K92" i="84"/>
  <c r="L92" i="84"/>
  <c r="M92" i="84"/>
  <c r="N92" i="84"/>
  <c r="O92" i="84"/>
  <c r="P92" i="84"/>
  <c r="Q92" i="84"/>
  <c r="R92" i="84"/>
  <c r="S92" i="84"/>
  <c r="T92" i="84"/>
  <c r="U92" i="84"/>
  <c r="V92" i="84"/>
  <c r="W92" i="84"/>
  <c r="X92" i="84"/>
  <c r="Y92" i="84"/>
  <c r="Z92" i="84"/>
  <c r="E93" i="84"/>
  <c r="F93" i="84"/>
  <c r="G93" i="84"/>
  <c r="H93" i="84"/>
  <c r="I93" i="84"/>
  <c r="J93" i="84"/>
  <c r="K93" i="84"/>
  <c r="L93" i="84"/>
  <c r="M93" i="84"/>
  <c r="N93" i="84"/>
  <c r="O93" i="84"/>
  <c r="P93" i="84"/>
  <c r="Q93" i="84"/>
  <c r="R93" i="84"/>
  <c r="S93" i="84"/>
  <c r="T93" i="84"/>
  <c r="U93" i="84"/>
  <c r="V93" i="84"/>
  <c r="W93" i="84"/>
  <c r="X93" i="84"/>
  <c r="Y93" i="84"/>
  <c r="Z93" i="84"/>
  <c r="D20" i="84"/>
  <c r="D21" i="84"/>
  <c r="D22" i="84"/>
  <c r="D69" i="84"/>
  <c r="D70" i="84" s="1"/>
  <c r="D9" i="84"/>
  <c r="D23" i="84"/>
  <c r="D24" i="84"/>
  <c r="D25" i="84"/>
  <c r="D26" i="84"/>
  <c r="D27" i="84"/>
  <c r="D124" i="84"/>
  <c r="D28" i="84"/>
  <c r="D96" i="84"/>
  <c r="D6" i="84"/>
  <c r="D7" i="84" s="1"/>
  <c r="D97" i="84"/>
  <c r="D29" i="84"/>
  <c r="D30" i="84"/>
  <c r="D119" i="84"/>
  <c r="D31" i="84"/>
  <c r="D32" i="84"/>
  <c r="D33" i="84"/>
  <c r="D98" i="84"/>
  <c r="D99" i="84"/>
  <c r="D35" i="84"/>
  <c r="D36" i="84"/>
  <c r="D37" i="84"/>
  <c r="D125" i="84"/>
  <c r="D100" i="84"/>
  <c r="D38" i="84"/>
  <c r="D39" i="84"/>
  <c r="D40" i="84"/>
  <c r="D41" i="84"/>
  <c r="D42" i="84"/>
  <c r="D10" i="84"/>
  <c r="D43" i="84"/>
  <c r="D44" i="84"/>
  <c r="D11" i="84"/>
  <c r="D12" i="84"/>
  <c r="D72" i="84"/>
  <c r="D45" i="84"/>
  <c r="D46" i="84"/>
  <c r="D47" i="84"/>
  <c r="D101" i="84"/>
  <c r="D103" i="84"/>
  <c r="D13" i="84"/>
  <c r="D48" i="84"/>
  <c r="D49" i="84"/>
  <c r="D50" i="84"/>
  <c r="D51" i="84"/>
  <c r="D73" i="84"/>
  <c r="D104" i="84"/>
  <c r="D105" i="84"/>
  <c r="D106" i="84"/>
  <c r="D126" i="84"/>
  <c r="D120" i="84"/>
  <c r="D53" i="84"/>
  <c r="D14" i="84"/>
  <c r="D74" i="84"/>
  <c r="D75" i="84"/>
  <c r="D76" i="84"/>
  <c r="D107" i="84"/>
  <c r="D127" i="84"/>
  <c r="D54" i="84"/>
  <c r="D110" i="84"/>
  <c r="D111" i="84"/>
  <c r="D112" i="84"/>
  <c r="D15" i="84"/>
  <c r="D16" i="84"/>
  <c r="D57" i="84"/>
  <c r="D58" i="84"/>
  <c r="D59" i="84"/>
  <c r="D60" i="84"/>
  <c r="D84" i="84"/>
  <c r="D113" i="84"/>
  <c r="D114" i="84"/>
  <c r="D88" i="84"/>
  <c r="D89" i="84"/>
  <c r="D116" i="84"/>
  <c r="D64" i="84"/>
  <c r="D65" i="84"/>
  <c r="D66" i="84"/>
  <c r="D121" i="84"/>
  <c r="D115" i="84"/>
  <c r="D90" i="84"/>
  <c r="D91" i="84"/>
  <c r="D92" i="84"/>
  <c r="D93" i="84"/>
  <c r="D19" i="84"/>
  <c r="Q136" i="84"/>
  <c r="E14" i="83"/>
  <c r="F14" i="83"/>
  <c r="G14" i="83"/>
  <c r="H14" i="83"/>
  <c r="I14" i="83"/>
  <c r="J14" i="83"/>
  <c r="K14" i="83"/>
  <c r="L14" i="83"/>
  <c r="M14" i="83"/>
  <c r="N14" i="83"/>
  <c r="O14" i="83"/>
  <c r="P14" i="83"/>
  <c r="Q14" i="83"/>
  <c r="R14" i="83"/>
  <c r="S14" i="83"/>
  <c r="T14" i="83"/>
  <c r="U14" i="83"/>
  <c r="V14" i="83"/>
  <c r="W14" i="83"/>
  <c r="X14" i="83"/>
  <c r="Y14" i="83"/>
  <c r="Z14" i="83"/>
  <c r="E16" i="83"/>
  <c r="F16" i="83"/>
  <c r="G16" i="83"/>
  <c r="H16" i="83"/>
  <c r="I16" i="83"/>
  <c r="J16" i="83"/>
  <c r="K16" i="83"/>
  <c r="L16" i="83"/>
  <c r="M16" i="83"/>
  <c r="N16" i="83"/>
  <c r="O16" i="83"/>
  <c r="P16" i="83"/>
  <c r="Q16" i="83"/>
  <c r="R16" i="83"/>
  <c r="S16" i="83"/>
  <c r="T16" i="83"/>
  <c r="U16" i="83"/>
  <c r="V16" i="83"/>
  <c r="W16" i="83"/>
  <c r="X16" i="83"/>
  <c r="Y16" i="83"/>
  <c r="Z16" i="83"/>
  <c r="E17" i="83"/>
  <c r="F17" i="83"/>
  <c r="G17" i="83"/>
  <c r="H17" i="83"/>
  <c r="I17" i="83"/>
  <c r="J17" i="83"/>
  <c r="K17" i="83"/>
  <c r="L17" i="83"/>
  <c r="M17" i="83"/>
  <c r="N17" i="83"/>
  <c r="O17" i="83"/>
  <c r="P17" i="83"/>
  <c r="Q17" i="83"/>
  <c r="R17" i="83"/>
  <c r="S17" i="83"/>
  <c r="T17" i="83"/>
  <c r="U17" i="83"/>
  <c r="V17" i="83"/>
  <c r="W17" i="83"/>
  <c r="X17" i="83"/>
  <c r="Y17" i="83"/>
  <c r="Z17" i="83"/>
  <c r="E22" i="83"/>
  <c r="F22" i="83"/>
  <c r="G22" i="83"/>
  <c r="H22" i="83"/>
  <c r="I22" i="83"/>
  <c r="J22" i="83"/>
  <c r="K22" i="83"/>
  <c r="L22" i="83"/>
  <c r="M22" i="83"/>
  <c r="N22" i="83"/>
  <c r="O22" i="83"/>
  <c r="P22" i="83"/>
  <c r="Q22" i="83"/>
  <c r="R22" i="83"/>
  <c r="S22" i="83"/>
  <c r="T22" i="83"/>
  <c r="U22" i="83"/>
  <c r="V22" i="83"/>
  <c r="W22" i="83"/>
  <c r="X22" i="83"/>
  <c r="Y22" i="83"/>
  <c r="Z22" i="83"/>
  <c r="E23" i="83"/>
  <c r="F23" i="83"/>
  <c r="G23" i="83"/>
  <c r="H23" i="83"/>
  <c r="I23" i="83"/>
  <c r="J23" i="83"/>
  <c r="K23" i="83"/>
  <c r="L23" i="83"/>
  <c r="M23" i="83"/>
  <c r="N23" i="83"/>
  <c r="O23" i="83"/>
  <c r="P23" i="83"/>
  <c r="Q23" i="83"/>
  <c r="R23" i="83"/>
  <c r="S23" i="83"/>
  <c r="T23" i="83"/>
  <c r="U23" i="83"/>
  <c r="V23" i="83"/>
  <c r="W23" i="83"/>
  <c r="X23" i="83"/>
  <c r="Y23" i="83"/>
  <c r="Z23" i="83"/>
  <c r="E24" i="83"/>
  <c r="F24" i="83"/>
  <c r="G24" i="83"/>
  <c r="H24" i="83"/>
  <c r="I24" i="83"/>
  <c r="J24" i="83"/>
  <c r="K24" i="83"/>
  <c r="L24" i="83"/>
  <c r="M24" i="83"/>
  <c r="N24" i="83"/>
  <c r="O24" i="83"/>
  <c r="P24" i="83"/>
  <c r="Q24" i="83"/>
  <c r="R24" i="83"/>
  <c r="S24" i="83"/>
  <c r="T24" i="83"/>
  <c r="U24" i="83"/>
  <c r="V24" i="83"/>
  <c r="W24" i="83"/>
  <c r="X24" i="83"/>
  <c r="Y24" i="83"/>
  <c r="Z24" i="83"/>
  <c r="E25" i="83"/>
  <c r="F25" i="83"/>
  <c r="G25" i="83"/>
  <c r="H25" i="83"/>
  <c r="I25" i="83"/>
  <c r="J25" i="83"/>
  <c r="K25" i="83"/>
  <c r="L25" i="83"/>
  <c r="M25" i="83"/>
  <c r="N25" i="83"/>
  <c r="O25" i="83"/>
  <c r="P25" i="83"/>
  <c r="Q25" i="83"/>
  <c r="R25" i="83"/>
  <c r="S25" i="83"/>
  <c r="T25" i="83"/>
  <c r="U25" i="83"/>
  <c r="V25" i="83"/>
  <c r="W25" i="83"/>
  <c r="X25" i="83"/>
  <c r="Y25" i="83"/>
  <c r="Z25" i="83"/>
  <c r="E29" i="83"/>
  <c r="F29" i="83"/>
  <c r="G29" i="83"/>
  <c r="H29" i="83"/>
  <c r="I29" i="83"/>
  <c r="J29" i="83"/>
  <c r="K29" i="83"/>
  <c r="L29" i="83"/>
  <c r="M29" i="83"/>
  <c r="N29" i="83"/>
  <c r="O29" i="83"/>
  <c r="P29" i="83"/>
  <c r="Q29" i="83"/>
  <c r="R29" i="83"/>
  <c r="S29" i="83"/>
  <c r="T29" i="83"/>
  <c r="U29" i="83"/>
  <c r="V29" i="83"/>
  <c r="W29" i="83"/>
  <c r="X29" i="83"/>
  <c r="Y29" i="83"/>
  <c r="Z29" i="83"/>
  <c r="E30" i="83"/>
  <c r="F30" i="83"/>
  <c r="G30" i="83"/>
  <c r="H30" i="83"/>
  <c r="I30" i="83"/>
  <c r="J30" i="83"/>
  <c r="K30" i="83"/>
  <c r="L30" i="83"/>
  <c r="M30" i="83"/>
  <c r="N30" i="83"/>
  <c r="O30" i="83"/>
  <c r="P30" i="83"/>
  <c r="Q30" i="83"/>
  <c r="R30" i="83"/>
  <c r="S30" i="83"/>
  <c r="T30" i="83"/>
  <c r="U30" i="83"/>
  <c r="V30" i="83"/>
  <c r="W30" i="83"/>
  <c r="X30" i="83"/>
  <c r="Y30" i="83"/>
  <c r="Z30" i="83"/>
  <c r="E31" i="83"/>
  <c r="F31" i="83"/>
  <c r="G31" i="83"/>
  <c r="H31" i="83"/>
  <c r="I31" i="83"/>
  <c r="J31" i="83"/>
  <c r="K31" i="83"/>
  <c r="L31" i="83"/>
  <c r="M31" i="83"/>
  <c r="N31" i="83"/>
  <c r="O31" i="83"/>
  <c r="P31" i="83"/>
  <c r="Q31" i="83"/>
  <c r="R31" i="83"/>
  <c r="S31" i="83"/>
  <c r="T31" i="83"/>
  <c r="U31" i="83"/>
  <c r="V31" i="83"/>
  <c r="W31" i="83"/>
  <c r="X31" i="83"/>
  <c r="Y31" i="83"/>
  <c r="Z31" i="83"/>
  <c r="E32" i="83"/>
  <c r="F32" i="83"/>
  <c r="G32" i="83"/>
  <c r="H32" i="83"/>
  <c r="I32" i="83"/>
  <c r="J32" i="83"/>
  <c r="K32" i="83"/>
  <c r="L32" i="83"/>
  <c r="M32" i="83"/>
  <c r="N32" i="83"/>
  <c r="O32" i="83"/>
  <c r="P32" i="83"/>
  <c r="Q32" i="83"/>
  <c r="R32" i="83"/>
  <c r="S32" i="83"/>
  <c r="T32" i="83"/>
  <c r="U32" i="83"/>
  <c r="V32" i="83"/>
  <c r="W32" i="83"/>
  <c r="X32" i="83"/>
  <c r="Y32" i="83"/>
  <c r="Z32" i="83"/>
  <c r="E34" i="83"/>
  <c r="F34" i="83"/>
  <c r="G34" i="83"/>
  <c r="H34" i="83"/>
  <c r="I34" i="83"/>
  <c r="J34" i="83"/>
  <c r="K34" i="83"/>
  <c r="L34" i="83"/>
  <c r="M34" i="83"/>
  <c r="N34" i="83"/>
  <c r="O34" i="83"/>
  <c r="P34" i="83"/>
  <c r="Q34" i="83"/>
  <c r="R34" i="83"/>
  <c r="S34" i="83"/>
  <c r="T34" i="83"/>
  <c r="U34" i="83"/>
  <c r="V34" i="83"/>
  <c r="W34" i="83"/>
  <c r="X34" i="83"/>
  <c r="Y34" i="83"/>
  <c r="Z34" i="83"/>
  <c r="E37" i="83"/>
  <c r="F37" i="83"/>
  <c r="G37" i="83"/>
  <c r="H37" i="83"/>
  <c r="I37" i="83"/>
  <c r="J37" i="83"/>
  <c r="K37" i="83"/>
  <c r="L37" i="83"/>
  <c r="M37" i="83"/>
  <c r="N37" i="83"/>
  <c r="O37" i="83"/>
  <c r="P37" i="83"/>
  <c r="Q37" i="83"/>
  <c r="R37" i="83"/>
  <c r="S37" i="83"/>
  <c r="T37" i="83"/>
  <c r="U37" i="83"/>
  <c r="V37" i="83"/>
  <c r="W37" i="83"/>
  <c r="X37" i="83"/>
  <c r="Y37" i="83"/>
  <c r="Z37" i="83"/>
  <c r="E41" i="83"/>
  <c r="F41" i="83"/>
  <c r="G41" i="83"/>
  <c r="H41" i="83"/>
  <c r="I41" i="83"/>
  <c r="J41" i="83"/>
  <c r="K41" i="83"/>
  <c r="L41" i="83"/>
  <c r="M41" i="83"/>
  <c r="N41" i="83"/>
  <c r="O41" i="83"/>
  <c r="P41" i="83"/>
  <c r="Q41" i="83"/>
  <c r="R41" i="83"/>
  <c r="S41" i="83"/>
  <c r="T41" i="83"/>
  <c r="U41" i="83"/>
  <c r="V41" i="83"/>
  <c r="W41" i="83"/>
  <c r="X41" i="83"/>
  <c r="Y41" i="83"/>
  <c r="Z41" i="83"/>
  <c r="E42" i="83"/>
  <c r="F42" i="83"/>
  <c r="G42" i="83"/>
  <c r="H42" i="83"/>
  <c r="I42" i="83"/>
  <c r="J42" i="83"/>
  <c r="K42" i="83"/>
  <c r="L42" i="83"/>
  <c r="M42" i="83"/>
  <c r="N42" i="83"/>
  <c r="O42" i="83"/>
  <c r="P42" i="83"/>
  <c r="Q42" i="83"/>
  <c r="R42" i="83"/>
  <c r="S42" i="83"/>
  <c r="T42" i="83"/>
  <c r="U42" i="83"/>
  <c r="V42" i="83"/>
  <c r="W42" i="83"/>
  <c r="X42" i="83"/>
  <c r="Y42" i="83"/>
  <c r="Z42" i="83"/>
  <c r="D16" i="83"/>
  <c r="D17" i="83"/>
  <c r="D22" i="83"/>
  <c r="D23" i="83"/>
  <c r="D24" i="83"/>
  <c r="D25" i="83"/>
  <c r="D29" i="83"/>
  <c r="D30" i="83"/>
  <c r="D31" i="83"/>
  <c r="D32" i="83"/>
  <c r="D34" i="83"/>
  <c r="D37" i="83"/>
  <c r="D41" i="83"/>
  <c r="D42" i="83"/>
  <c r="D14" i="83"/>
  <c r="E8" i="83"/>
  <c r="F8" i="83"/>
  <c r="G8" i="83"/>
  <c r="H8" i="83"/>
  <c r="I8" i="83"/>
  <c r="J8" i="83"/>
  <c r="K8" i="83"/>
  <c r="L8" i="83"/>
  <c r="M8" i="83"/>
  <c r="N8" i="83"/>
  <c r="O8" i="83"/>
  <c r="P8" i="83"/>
  <c r="Q8" i="83"/>
  <c r="R8" i="83"/>
  <c r="S8" i="83"/>
  <c r="T8" i="83"/>
  <c r="U8" i="83"/>
  <c r="V8" i="83"/>
  <c r="W8" i="83"/>
  <c r="X8" i="83"/>
  <c r="Y8" i="83"/>
  <c r="Z8" i="83"/>
  <c r="E11" i="83"/>
  <c r="F11" i="83"/>
  <c r="G11" i="83"/>
  <c r="H11" i="83"/>
  <c r="I11" i="83"/>
  <c r="J11" i="83"/>
  <c r="K11" i="83"/>
  <c r="L11" i="83"/>
  <c r="M11" i="83"/>
  <c r="N11" i="83"/>
  <c r="O11" i="83"/>
  <c r="P11" i="83"/>
  <c r="Q11" i="83"/>
  <c r="R11" i="83"/>
  <c r="S11" i="83"/>
  <c r="T11" i="83"/>
  <c r="U11" i="83"/>
  <c r="V11" i="83"/>
  <c r="W11" i="83"/>
  <c r="X11" i="83"/>
  <c r="Y11" i="83"/>
  <c r="Z11" i="83"/>
  <c r="E12" i="83"/>
  <c r="F12" i="83"/>
  <c r="G12" i="83"/>
  <c r="H12" i="83"/>
  <c r="I12" i="83"/>
  <c r="J12" i="83"/>
  <c r="K12" i="83"/>
  <c r="L12" i="83"/>
  <c r="M12" i="83"/>
  <c r="N12" i="83"/>
  <c r="O12" i="83"/>
  <c r="P12" i="83"/>
  <c r="Q12" i="83"/>
  <c r="R12" i="83"/>
  <c r="S12" i="83"/>
  <c r="T12" i="83"/>
  <c r="U12" i="83"/>
  <c r="V12" i="83"/>
  <c r="W12" i="83"/>
  <c r="X12" i="83"/>
  <c r="Y12" i="83"/>
  <c r="Z12" i="83"/>
  <c r="E13" i="83"/>
  <c r="F13" i="83"/>
  <c r="G13" i="83"/>
  <c r="H13" i="83"/>
  <c r="I13" i="83"/>
  <c r="J13" i="83"/>
  <c r="K13" i="83"/>
  <c r="L13" i="83"/>
  <c r="M13" i="83"/>
  <c r="N13" i="83"/>
  <c r="O13" i="83"/>
  <c r="P13" i="83"/>
  <c r="Q13" i="83"/>
  <c r="R13" i="83"/>
  <c r="S13" i="83"/>
  <c r="T13" i="83"/>
  <c r="U13" i="83"/>
  <c r="V13" i="83"/>
  <c r="W13" i="83"/>
  <c r="X13" i="83"/>
  <c r="Y13" i="83"/>
  <c r="Z13" i="83"/>
  <c r="E15" i="83"/>
  <c r="F15" i="83"/>
  <c r="G15" i="83"/>
  <c r="H15" i="83"/>
  <c r="I15" i="83"/>
  <c r="J15" i="83"/>
  <c r="K15" i="83"/>
  <c r="L15" i="83"/>
  <c r="M15" i="83"/>
  <c r="N15" i="83"/>
  <c r="O15" i="83"/>
  <c r="P15" i="83"/>
  <c r="Q15" i="83"/>
  <c r="R15" i="83"/>
  <c r="S15" i="83"/>
  <c r="T15" i="83"/>
  <c r="U15" i="83"/>
  <c r="V15" i="83"/>
  <c r="W15" i="83"/>
  <c r="X15" i="83"/>
  <c r="Y15" i="83"/>
  <c r="Z15" i="83"/>
  <c r="E18" i="83"/>
  <c r="F18" i="83"/>
  <c r="G18" i="83"/>
  <c r="H18" i="83"/>
  <c r="I18" i="83"/>
  <c r="J18" i="83"/>
  <c r="K18" i="83"/>
  <c r="L18" i="83"/>
  <c r="M18" i="83"/>
  <c r="N18" i="83"/>
  <c r="O18" i="83"/>
  <c r="P18" i="83"/>
  <c r="Q18" i="83"/>
  <c r="R18" i="83"/>
  <c r="S18" i="83"/>
  <c r="T18" i="83"/>
  <c r="U18" i="83"/>
  <c r="V18" i="83"/>
  <c r="W18" i="83"/>
  <c r="X18" i="83"/>
  <c r="Y18" i="83"/>
  <c r="Z18" i="83"/>
  <c r="E20" i="83"/>
  <c r="F20" i="83"/>
  <c r="G20" i="83"/>
  <c r="H20" i="83"/>
  <c r="I20" i="83"/>
  <c r="J20" i="83"/>
  <c r="K20" i="83"/>
  <c r="L20" i="83"/>
  <c r="M20" i="83"/>
  <c r="N20" i="83"/>
  <c r="O20" i="83"/>
  <c r="P20" i="83"/>
  <c r="Q20" i="83"/>
  <c r="R20" i="83"/>
  <c r="S20" i="83"/>
  <c r="T20" i="83"/>
  <c r="U20" i="83"/>
  <c r="V20" i="83"/>
  <c r="W20" i="83"/>
  <c r="X20" i="83"/>
  <c r="Y20" i="83"/>
  <c r="Z20" i="83"/>
  <c r="E21" i="83"/>
  <c r="F21" i="83"/>
  <c r="G21" i="83"/>
  <c r="H21" i="83"/>
  <c r="I21" i="83"/>
  <c r="J21" i="83"/>
  <c r="K21" i="83"/>
  <c r="L21" i="83"/>
  <c r="M21" i="83"/>
  <c r="N21" i="83"/>
  <c r="O21" i="83"/>
  <c r="P21" i="83"/>
  <c r="Q21" i="83"/>
  <c r="R21" i="83"/>
  <c r="S21" i="83"/>
  <c r="T21" i="83"/>
  <c r="U21" i="83"/>
  <c r="V21" i="83"/>
  <c r="W21" i="83"/>
  <c r="X21" i="83"/>
  <c r="Y21" i="83"/>
  <c r="Z21" i="83"/>
  <c r="E26" i="83"/>
  <c r="F26" i="83"/>
  <c r="G26" i="83"/>
  <c r="H26" i="83"/>
  <c r="I26" i="83"/>
  <c r="J26" i="83"/>
  <c r="K26" i="83"/>
  <c r="L26" i="83"/>
  <c r="M26" i="83"/>
  <c r="N26" i="83"/>
  <c r="O26" i="83"/>
  <c r="P26" i="83"/>
  <c r="Q26" i="83"/>
  <c r="R26" i="83"/>
  <c r="S26" i="83"/>
  <c r="T26" i="83"/>
  <c r="U26" i="83"/>
  <c r="V26" i="83"/>
  <c r="W26" i="83"/>
  <c r="X26" i="83"/>
  <c r="Y26" i="83"/>
  <c r="Z26" i="83"/>
  <c r="E28" i="83"/>
  <c r="F28" i="83"/>
  <c r="G28" i="83"/>
  <c r="H28" i="83"/>
  <c r="I28" i="83"/>
  <c r="J28" i="83"/>
  <c r="K28" i="83"/>
  <c r="L28" i="83"/>
  <c r="M28" i="83"/>
  <c r="N28" i="83"/>
  <c r="O28" i="83"/>
  <c r="P28" i="83"/>
  <c r="Q28" i="83"/>
  <c r="R28" i="83"/>
  <c r="S28" i="83"/>
  <c r="T28" i="83"/>
  <c r="U28" i="83"/>
  <c r="V28" i="83"/>
  <c r="W28" i="83"/>
  <c r="X28" i="83"/>
  <c r="Y28" i="83"/>
  <c r="Z28" i="83"/>
  <c r="E33" i="83"/>
  <c r="F33" i="83"/>
  <c r="G33" i="83"/>
  <c r="H33" i="83"/>
  <c r="I33" i="83"/>
  <c r="J33" i="83"/>
  <c r="K33" i="83"/>
  <c r="L33" i="83"/>
  <c r="M33" i="83"/>
  <c r="N33" i="83"/>
  <c r="O33" i="83"/>
  <c r="P33" i="83"/>
  <c r="Q33" i="83"/>
  <c r="R33" i="83"/>
  <c r="S33" i="83"/>
  <c r="T33" i="83"/>
  <c r="U33" i="83"/>
  <c r="V33" i="83"/>
  <c r="W33" i="83"/>
  <c r="X33" i="83"/>
  <c r="Y33" i="83"/>
  <c r="Z33" i="83"/>
  <c r="E35" i="83"/>
  <c r="F35" i="83"/>
  <c r="G35" i="83"/>
  <c r="H35" i="83"/>
  <c r="I35" i="83"/>
  <c r="J35" i="83"/>
  <c r="K35" i="83"/>
  <c r="L35" i="83"/>
  <c r="M35" i="83"/>
  <c r="N35" i="83"/>
  <c r="O35" i="83"/>
  <c r="P35" i="83"/>
  <c r="Q35" i="83"/>
  <c r="R35" i="83"/>
  <c r="S35" i="83"/>
  <c r="T35" i="83"/>
  <c r="U35" i="83"/>
  <c r="V35" i="83"/>
  <c r="W35" i="83"/>
  <c r="X35" i="83"/>
  <c r="Y35" i="83"/>
  <c r="Z35" i="83"/>
  <c r="E36" i="83"/>
  <c r="F36" i="83"/>
  <c r="G36" i="83"/>
  <c r="H36" i="83"/>
  <c r="I36" i="83"/>
  <c r="J36" i="83"/>
  <c r="K36" i="83"/>
  <c r="L36" i="83"/>
  <c r="M36" i="83"/>
  <c r="N36" i="83"/>
  <c r="O36" i="83"/>
  <c r="P36" i="83"/>
  <c r="Q36" i="83"/>
  <c r="R36" i="83"/>
  <c r="S36" i="83"/>
  <c r="T36" i="83"/>
  <c r="U36" i="83"/>
  <c r="V36" i="83"/>
  <c r="W36" i="83"/>
  <c r="X36" i="83"/>
  <c r="Y36" i="83"/>
  <c r="Z36" i="83"/>
  <c r="E38" i="83"/>
  <c r="F38" i="83"/>
  <c r="G38" i="83"/>
  <c r="H38" i="83"/>
  <c r="I38" i="83"/>
  <c r="J38" i="83"/>
  <c r="K38" i="83"/>
  <c r="L38" i="83"/>
  <c r="M38" i="83"/>
  <c r="N38" i="83"/>
  <c r="O38" i="83"/>
  <c r="P38" i="83"/>
  <c r="Q38" i="83"/>
  <c r="R38" i="83"/>
  <c r="S38" i="83"/>
  <c r="T38" i="83"/>
  <c r="U38" i="83"/>
  <c r="V38" i="83"/>
  <c r="W38" i="83"/>
  <c r="X38" i="83"/>
  <c r="Y38" i="83"/>
  <c r="Z38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E40" i="83"/>
  <c r="F40" i="83"/>
  <c r="G40" i="83"/>
  <c r="H40" i="83"/>
  <c r="I40" i="83"/>
  <c r="J40" i="83"/>
  <c r="K40" i="83"/>
  <c r="L40" i="83"/>
  <c r="M40" i="83"/>
  <c r="N40" i="83"/>
  <c r="O40" i="83"/>
  <c r="P40" i="83"/>
  <c r="Q40" i="83"/>
  <c r="R40" i="83"/>
  <c r="S40" i="83"/>
  <c r="T40" i="83"/>
  <c r="U40" i="83"/>
  <c r="V40" i="83"/>
  <c r="W40" i="83"/>
  <c r="X40" i="83"/>
  <c r="Y40" i="83"/>
  <c r="Z40" i="83"/>
  <c r="E43" i="83"/>
  <c r="F43" i="83"/>
  <c r="G43" i="83"/>
  <c r="H43" i="83"/>
  <c r="I43" i="83"/>
  <c r="J43" i="83"/>
  <c r="K43" i="83"/>
  <c r="L43" i="83"/>
  <c r="M43" i="83"/>
  <c r="N43" i="83"/>
  <c r="O43" i="83"/>
  <c r="P43" i="83"/>
  <c r="Q43" i="83"/>
  <c r="R43" i="83"/>
  <c r="S43" i="83"/>
  <c r="T43" i="83"/>
  <c r="U43" i="83"/>
  <c r="V43" i="83"/>
  <c r="W43" i="83"/>
  <c r="X43" i="83"/>
  <c r="Y43" i="83"/>
  <c r="Z43" i="83"/>
  <c r="E44" i="83"/>
  <c r="F44" i="83"/>
  <c r="G44" i="83"/>
  <c r="H44" i="83"/>
  <c r="I44" i="83"/>
  <c r="J44" i="83"/>
  <c r="K44" i="83"/>
  <c r="L44" i="83"/>
  <c r="M44" i="83"/>
  <c r="N44" i="83"/>
  <c r="O44" i="83"/>
  <c r="P44" i="83"/>
  <c r="Q44" i="83"/>
  <c r="R44" i="83"/>
  <c r="S44" i="83"/>
  <c r="T44" i="83"/>
  <c r="U44" i="83"/>
  <c r="V44" i="83"/>
  <c r="W44" i="83"/>
  <c r="X44" i="83"/>
  <c r="Y44" i="83"/>
  <c r="Z44" i="83"/>
  <c r="E45" i="83"/>
  <c r="F45" i="83"/>
  <c r="G45" i="83"/>
  <c r="H45" i="83"/>
  <c r="I45" i="83"/>
  <c r="J45" i="83"/>
  <c r="K45" i="83"/>
  <c r="L45" i="83"/>
  <c r="M45" i="83"/>
  <c r="N45" i="83"/>
  <c r="O45" i="83"/>
  <c r="P45" i="83"/>
  <c r="Q45" i="83"/>
  <c r="R45" i="83"/>
  <c r="S45" i="83"/>
  <c r="T45" i="83"/>
  <c r="U45" i="83"/>
  <c r="V45" i="83"/>
  <c r="W45" i="83"/>
  <c r="X45" i="83"/>
  <c r="Y45" i="83"/>
  <c r="Z45" i="83"/>
  <c r="E102" i="83"/>
  <c r="F102" i="83"/>
  <c r="G102" i="83"/>
  <c r="H102" i="83"/>
  <c r="I102" i="83"/>
  <c r="J102" i="83"/>
  <c r="K102" i="83"/>
  <c r="L102" i="83"/>
  <c r="M102" i="83"/>
  <c r="N102" i="83"/>
  <c r="O102" i="83"/>
  <c r="P102" i="83"/>
  <c r="Q102" i="83"/>
  <c r="R102" i="83"/>
  <c r="S102" i="83"/>
  <c r="T102" i="83"/>
  <c r="U102" i="83"/>
  <c r="V102" i="83"/>
  <c r="W102" i="83"/>
  <c r="X102" i="83"/>
  <c r="Y102" i="83"/>
  <c r="Z102" i="83"/>
  <c r="E46" i="83"/>
  <c r="F46" i="83"/>
  <c r="G46" i="83"/>
  <c r="H46" i="83"/>
  <c r="I46" i="83"/>
  <c r="J46" i="83"/>
  <c r="K46" i="83"/>
  <c r="L46" i="83"/>
  <c r="M46" i="83"/>
  <c r="N46" i="83"/>
  <c r="O46" i="83"/>
  <c r="P46" i="83"/>
  <c r="Q46" i="83"/>
  <c r="R46" i="83"/>
  <c r="S46" i="83"/>
  <c r="T46" i="83"/>
  <c r="U46" i="83"/>
  <c r="V46" i="83"/>
  <c r="W46" i="83"/>
  <c r="X46" i="83"/>
  <c r="Y46" i="83"/>
  <c r="Z46" i="83"/>
  <c r="E47" i="83"/>
  <c r="F47" i="83"/>
  <c r="G47" i="83"/>
  <c r="H47" i="83"/>
  <c r="I47" i="83"/>
  <c r="J47" i="83"/>
  <c r="K47" i="83"/>
  <c r="L47" i="83"/>
  <c r="M47" i="83"/>
  <c r="N47" i="83"/>
  <c r="O47" i="83"/>
  <c r="P47" i="83"/>
  <c r="Q47" i="83"/>
  <c r="R47" i="83"/>
  <c r="S47" i="83"/>
  <c r="T47" i="83"/>
  <c r="U47" i="83"/>
  <c r="V47" i="83"/>
  <c r="W47" i="83"/>
  <c r="X47" i="83"/>
  <c r="Y47" i="83"/>
  <c r="Z47" i="83"/>
  <c r="D11" i="83"/>
  <c r="D12" i="83"/>
  <c r="D13" i="83"/>
  <c r="D15" i="83"/>
  <c r="D18" i="83"/>
  <c r="D20" i="83"/>
  <c r="D21" i="83"/>
  <c r="D26" i="83"/>
  <c r="D28" i="83"/>
  <c r="D33" i="83"/>
  <c r="D35" i="83"/>
  <c r="D36" i="83"/>
  <c r="D38" i="83"/>
  <c r="D39" i="83"/>
  <c r="D40" i="83"/>
  <c r="D43" i="83"/>
  <c r="D44" i="83"/>
  <c r="D45" i="83"/>
  <c r="D102" i="83"/>
  <c r="D46" i="83"/>
  <c r="D47" i="83"/>
  <c r="D8" i="83"/>
  <c r="N6" i="25"/>
  <c r="N6" i="83"/>
  <c r="Z6" i="83"/>
  <c r="Z50" i="83"/>
  <c r="Z51" i="83"/>
  <c r="Z52" i="83"/>
  <c r="Z53" i="83"/>
  <c r="Z54" i="83"/>
  <c r="Z7" i="83"/>
  <c r="Z55" i="83"/>
  <c r="Z56" i="83"/>
  <c r="Z57" i="83"/>
  <c r="Z93" i="83"/>
  <c r="Z58" i="83"/>
  <c r="Z59" i="83"/>
  <c r="Z60" i="83"/>
  <c r="Z9" i="83"/>
  <c r="Z97" i="83"/>
  <c r="Z98" i="83" s="1"/>
  <c r="Z61" i="83"/>
  <c r="Z62" i="83"/>
  <c r="Z63" i="83"/>
  <c r="Z64" i="83"/>
  <c r="Z100" i="83"/>
  <c r="Z65" i="83"/>
  <c r="Z66" i="83"/>
  <c r="Z10" i="83"/>
  <c r="Z67" i="83"/>
  <c r="Z68" i="83"/>
  <c r="Z94" i="83"/>
  <c r="Z69" i="83"/>
  <c r="Z19" i="83"/>
  <c r="Z70" i="83"/>
  <c r="Z71" i="83"/>
  <c r="Z72" i="83"/>
  <c r="Z101" i="83"/>
  <c r="Z73" i="83"/>
  <c r="Z74" i="83"/>
  <c r="Z75" i="83"/>
  <c r="Z76" i="83"/>
  <c r="Z77" i="83"/>
  <c r="Z78" i="83"/>
  <c r="Z27" i="83"/>
  <c r="Z79" i="83"/>
  <c r="Z80" i="83"/>
  <c r="Z81" i="83"/>
  <c r="Z82" i="83"/>
  <c r="Z83" i="83"/>
  <c r="Z84" i="83"/>
  <c r="Z85" i="83"/>
  <c r="Z86" i="83"/>
  <c r="Z87" i="83"/>
  <c r="Z88" i="83"/>
  <c r="Z89" i="83"/>
  <c r="Z90" i="83"/>
  <c r="E6" i="83"/>
  <c r="F6" i="83"/>
  <c r="G6" i="83"/>
  <c r="H6" i="83"/>
  <c r="I6" i="83"/>
  <c r="J6" i="83"/>
  <c r="K6" i="83"/>
  <c r="L6" i="83"/>
  <c r="M6" i="83"/>
  <c r="P6" i="83"/>
  <c r="Q6" i="83"/>
  <c r="R6" i="83"/>
  <c r="S6" i="83"/>
  <c r="T6" i="83"/>
  <c r="W6" i="83"/>
  <c r="X6" i="83"/>
  <c r="Y6" i="83"/>
  <c r="E50" i="83"/>
  <c r="F50" i="83"/>
  <c r="G50" i="83"/>
  <c r="H50" i="83"/>
  <c r="I50" i="83"/>
  <c r="J50" i="83"/>
  <c r="K50" i="83"/>
  <c r="L50" i="83"/>
  <c r="M50" i="83"/>
  <c r="N50" i="83"/>
  <c r="O50" i="83"/>
  <c r="P50" i="83"/>
  <c r="Q50" i="83"/>
  <c r="R50" i="83"/>
  <c r="S50" i="83"/>
  <c r="T50" i="83"/>
  <c r="U50" i="83"/>
  <c r="V50" i="83"/>
  <c r="W50" i="83"/>
  <c r="X50" i="83"/>
  <c r="Y50" i="83"/>
  <c r="E51" i="83"/>
  <c r="F51" i="83"/>
  <c r="G51" i="83"/>
  <c r="H51" i="83"/>
  <c r="I51" i="83"/>
  <c r="J51" i="83"/>
  <c r="K51" i="83"/>
  <c r="L51" i="83"/>
  <c r="M51" i="83"/>
  <c r="N51" i="83"/>
  <c r="O51" i="83"/>
  <c r="P51" i="83"/>
  <c r="Q51" i="83"/>
  <c r="R51" i="83"/>
  <c r="S51" i="83"/>
  <c r="T51" i="83"/>
  <c r="U51" i="83"/>
  <c r="V51" i="83"/>
  <c r="W51" i="83"/>
  <c r="X51" i="83"/>
  <c r="Y51" i="83"/>
  <c r="E52" i="83"/>
  <c r="F52" i="83"/>
  <c r="G52" i="83"/>
  <c r="H52" i="83"/>
  <c r="I52" i="83"/>
  <c r="J52" i="83"/>
  <c r="K52" i="83"/>
  <c r="L52" i="83"/>
  <c r="M52" i="83"/>
  <c r="N52" i="83"/>
  <c r="O52" i="83"/>
  <c r="P52" i="83"/>
  <c r="Q52" i="83"/>
  <c r="R52" i="83"/>
  <c r="S52" i="83"/>
  <c r="T52" i="83"/>
  <c r="U52" i="83"/>
  <c r="V52" i="83"/>
  <c r="W52" i="83"/>
  <c r="X52" i="83"/>
  <c r="Y52" i="83"/>
  <c r="E53" i="83"/>
  <c r="F53" i="83"/>
  <c r="G53" i="83"/>
  <c r="H53" i="83"/>
  <c r="I53" i="83"/>
  <c r="J53" i="83"/>
  <c r="K53" i="83"/>
  <c r="L53" i="83"/>
  <c r="M53" i="83"/>
  <c r="N53" i="83"/>
  <c r="O53" i="83"/>
  <c r="P53" i="83"/>
  <c r="Q53" i="83"/>
  <c r="R53" i="83"/>
  <c r="S53" i="83"/>
  <c r="T53" i="83"/>
  <c r="U53" i="83"/>
  <c r="V53" i="83"/>
  <c r="W53" i="83"/>
  <c r="X53" i="83"/>
  <c r="Y53" i="83"/>
  <c r="E54" i="83"/>
  <c r="F54" i="83"/>
  <c r="G54" i="83"/>
  <c r="H54" i="83"/>
  <c r="I54" i="83"/>
  <c r="J54" i="83"/>
  <c r="K54" i="83"/>
  <c r="L54" i="83"/>
  <c r="M54" i="83"/>
  <c r="N54" i="83"/>
  <c r="O54" i="83"/>
  <c r="P54" i="83"/>
  <c r="Q54" i="83"/>
  <c r="R54" i="83"/>
  <c r="S54" i="83"/>
  <c r="T54" i="83"/>
  <c r="U54" i="83"/>
  <c r="V54" i="83"/>
  <c r="W54" i="83"/>
  <c r="X54" i="83"/>
  <c r="Y54" i="83"/>
  <c r="E7" i="83"/>
  <c r="F7" i="83"/>
  <c r="G7" i="83"/>
  <c r="H7" i="83"/>
  <c r="I7" i="83"/>
  <c r="J7" i="83"/>
  <c r="K7" i="83"/>
  <c r="L7" i="83"/>
  <c r="M7" i="83"/>
  <c r="N7" i="83"/>
  <c r="O7" i="83"/>
  <c r="P7" i="83"/>
  <c r="Q7" i="83"/>
  <c r="R7" i="83"/>
  <c r="S7" i="83"/>
  <c r="T7" i="83"/>
  <c r="U7" i="83"/>
  <c r="V7" i="83"/>
  <c r="W7" i="83"/>
  <c r="X7" i="83"/>
  <c r="Y7" i="83"/>
  <c r="E55" i="83"/>
  <c r="F55" i="83"/>
  <c r="G55" i="83"/>
  <c r="H55" i="83"/>
  <c r="I55" i="83"/>
  <c r="J55" i="83"/>
  <c r="K55" i="83"/>
  <c r="L55" i="83"/>
  <c r="M55" i="83"/>
  <c r="N55" i="83"/>
  <c r="O55" i="83"/>
  <c r="P55" i="83"/>
  <c r="Q55" i="83"/>
  <c r="R55" i="83"/>
  <c r="S55" i="83"/>
  <c r="T55" i="83"/>
  <c r="U55" i="83"/>
  <c r="V55" i="83"/>
  <c r="W55" i="83"/>
  <c r="X55" i="83"/>
  <c r="Y55" i="83"/>
  <c r="E56" i="83"/>
  <c r="F56" i="83"/>
  <c r="G56" i="83"/>
  <c r="H56" i="83"/>
  <c r="I56" i="83"/>
  <c r="J56" i="83"/>
  <c r="K56" i="83"/>
  <c r="L56" i="83"/>
  <c r="M56" i="83"/>
  <c r="N56" i="83"/>
  <c r="O56" i="83"/>
  <c r="P56" i="83"/>
  <c r="Q56" i="83"/>
  <c r="R56" i="83"/>
  <c r="S56" i="83"/>
  <c r="T56" i="83"/>
  <c r="U56" i="83"/>
  <c r="V56" i="83"/>
  <c r="W56" i="83"/>
  <c r="X56" i="83"/>
  <c r="Y56" i="83"/>
  <c r="E57" i="83"/>
  <c r="F57" i="83"/>
  <c r="G57" i="83"/>
  <c r="H57" i="83"/>
  <c r="I57" i="83"/>
  <c r="J57" i="83"/>
  <c r="K57" i="83"/>
  <c r="L57" i="83"/>
  <c r="M57" i="83"/>
  <c r="N57" i="83"/>
  <c r="O57" i="83"/>
  <c r="P57" i="83"/>
  <c r="Q57" i="83"/>
  <c r="R57" i="83"/>
  <c r="S57" i="83"/>
  <c r="T57" i="83"/>
  <c r="U57" i="83"/>
  <c r="V57" i="83"/>
  <c r="W57" i="83"/>
  <c r="X57" i="83"/>
  <c r="Y57" i="83"/>
  <c r="E93" i="83"/>
  <c r="F93" i="83"/>
  <c r="G93" i="83"/>
  <c r="H93" i="83"/>
  <c r="I93" i="83"/>
  <c r="J93" i="83"/>
  <c r="K93" i="83"/>
  <c r="L93" i="83"/>
  <c r="M93" i="83"/>
  <c r="N93" i="83"/>
  <c r="O93" i="83"/>
  <c r="P93" i="83"/>
  <c r="Q93" i="83"/>
  <c r="R93" i="83"/>
  <c r="S93" i="83"/>
  <c r="T93" i="83"/>
  <c r="U93" i="83"/>
  <c r="V93" i="83"/>
  <c r="W93" i="83"/>
  <c r="X93" i="83"/>
  <c r="Y93" i="83"/>
  <c r="E58" i="83"/>
  <c r="F58" i="83"/>
  <c r="G58" i="83"/>
  <c r="H58" i="83"/>
  <c r="I58" i="83"/>
  <c r="J58" i="83"/>
  <c r="K58" i="83"/>
  <c r="L58" i="83"/>
  <c r="M58" i="83"/>
  <c r="N58" i="83"/>
  <c r="O58" i="83"/>
  <c r="P58" i="83"/>
  <c r="Q58" i="83"/>
  <c r="R58" i="83"/>
  <c r="S58" i="83"/>
  <c r="T58" i="83"/>
  <c r="U58" i="83"/>
  <c r="V58" i="83"/>
  <c r="W58" i="83"/>
  <c r="X58" i="83"/>
  <c r="Y58" i="83"/>
  <c r="E59" i="83"/>
  <c r="F59" i="83"/>
  <c r="G59" i="83"/>
  <c r="H59" i="83"/>
  <c r="I59" i="83"/>
  <c r="J59" i="83"/>
  <c r="K59" i="83"/>
  <c r="L59" i="83"/>
  <c r="M59" i="83"/>
  <c r="N59" i="83"/>
  <c r="O59" i="83"/>
  <c r="P59" i="83"/>
  <c r="Q59" i="83"/>
  <c r="R59" i="83"/>
  <c r="S59" i="83"/>
  <c r="T59" i="83"/>
  <c r="U59" i="83"/>
  <c r="V59" i="83"/>
  <c r="W59" i="83"/>
  <c r="X59" i="83"/>
  <c r="Y59" i="83"/>
  <c r="E60" i="83"/>
  <c r="F60" i="83"/>
  <c r="G60" i="83"/>
  <c r="H60" i="83"/>
  <c r="I60" i="83"/>
  <c r="J60" i="83"/>
  <c r="K60" i="83"/>
  <c r="L60" i="83"/>
  <c r="M60" i="83"/>
  <c r="N60" i="83"/>
  <c r="O60" i="83"/>
  <c r="P60" i="83"/>
  <c r="Q60" i="83"/>
  <c r="R60" i="83"/>
  <c r="S60" i="83"/>
  <c r="T60" i="83"/>
  <c r="U60" i="83"/>
  <c r="V60" i="83"/>
  <c r="W60" i="83"/>
  <c r="X60" i="83"/>
  <c r="Y60" i="83"/>
  <c r="E9" i="83"/>
  <c r="F9" i="83"/>
  <c r="G9" i="83"/>
  <c r="H9" i="83"/>
  <c r="I9" i="83"/>
  <c r="J9" i="83"/>
  <c r="K9" i="83"/>
  <c r="L9" i="83"/>
  <c r="M9" i="83"/>
  <c r="N9" i="83"/>
  <c r="O9" i="83"/>
  <c r="P9" i="83"/>
  <c r="Q9" i="83"/>
  <c r="R9" i="83"/>
  <c r="S9" i="83"/>
  <c r="T9" i="83"/>
  <c r="U9" i="83"/>
  <c r="V9" i="83"/>
  <c r="W9" i="83"/>
  <c r="X9" i="83"/>
  <c r="Y9" i="83"/>
  <c r="E97" i="83"/>
  <c r="E98" i="83" s="1"/>
  <c r="F97" i="83"/>
  <c r="F98" i="83" s="1"/>
  <c r="G97" i="83"/>
  <c r="G98" i="83" s="1"/>
  <c r="H97" i="83"/>
  <c r="H98" i="83" s="1"/>
  <c r="I97" i="83"/>
  <c r="I98" i="83" s="1"/>
  <c r="J97" i="83"/>
  <c r="J98" i="83" s="1"/>
  <c r="K97" i="83"/>
  <c r="K98" i="83" s="1"/>
  <c r="L97" i="83"/>
  <c r="L98" i="83" s="1"/>
  <c r="M97" i="83"/>
  <c r="M98" i="83" s="1"/>
  <c r="N97" i="83"/>
  <c r="N98" i="83" s="1"/>
  <c r="O97" i="83"/>
  <c r="O98" i="83" s="1"/>
  <c r="P97" i="83"/>
  <c r="P98" i="83" s="1"/>
  <c r="Q97" i="83"/>
  <c r="Q98" i="83" s="1"/>
  <c r="R97" i="83"/>
  <c r="R98" i="83" s="1"/>
  <c r="S97" i="83"/>
  <c r="S98" i="83" s="1"/>
  <c r="T97" i="83"/>
  <c r="T98" i="83" s="1"/>
  <c r="U97" i="83"/>
  <c r="U98" i="83" s="1"/>
  <c r="V97" i="83"/>
  <c r="V98" i="83" s="1"/>
  <c r="W97" i="83"/>
  <c r="W98" i="83" s="1"/>
  <c r="X97" i="83"/>
  <c r="X98" i="83" s="1"/>
  <c r="Y97" i="83"/>
  <c r="Y98" i="83" s="1"/>
  <c r="E61" i="83"/>
  <c r="F61" i="83"/>
  <c r="G61" i="83"/>
  <c r="H61" i="83"/>
  <c r="I61" i="83"/>
  <c r="J61" i="83"/>
  <c r="K61" i="83"/>
  <c r="L61" i="83"/>
  <c r="M61" i="83"/>
  <c r="N61" i="83"/>
  <c r="O61" i="83"/>
  <c r="P61" i="83"/>
  <c r="Q61" i="83"/>
  <c r="R61" i="83"/>
  <c r="S61" i="83"/>
  <c r="T61" i="83"/>
  <c r="U61" i="83"/>
  <c r="V61" i="83"/>
  <c r="W61" i="83"/>
  <c r="X61" i="83"/>
  <c r="Y61" i="83"/>
  <c r="E62" i="83"/>
  <c r="F62" i="83"/>
  <c r="G62" i="83"/>
  <c r="H62" i="83"/>
  <c r="I62" i="83"/>
  <c r="J62" i="83"/>
  <c r="K62" i="83"/>
  <c r="L62" i="83"/>
  <c r="M62" i="83"/>
  <c r="N62" i="83"/>
  <c r="O62" i="83"/>
  <c r="P62" i="83"/>
  <c r="Q62" i="83"/>
  <c r="R62" i="83"/>
  <c r="S62" i="83"/>
  <c r="T62" i="83"/>
  <c r="U62" i="83"/>
  <c r="V62" i="83"/>
  <c r="W62" i="83"/>
  <c r="X62" i="83"/>
  <c r="Y62" i="83"/>
  <c r="E63" i="83"/>
  <c r="F63" i="83"/>
  <c r="G63" i="83"/>
  <c r="H63" i="83"/>
  <c r="I63" i="83"/>
  <c r="J63" i="83"/>
  <c r="K63" i="83"/>
  <c r="L63" i="83"/>
  <c r="M63" i="83"/>
  <c r="N63" i="83"/>
  <c r="O63" i="83"/>
  <c r="P63" i="83"/>
  <c r="Q63" i="83"/>
  <c r="R63" i="83"/>
  <c r="S63" i="83"/>
  <c r="T63" i="83"/>
  <c r="U63" i="83"/>
  <c r="V63" i="83"/>
  <c r="W63" i="83"/>
  <c r="X63" i="83"/>
  <c r="Y63" i="83"/>
  <c r="E64" i="83"/>
  <c r="F64" i="83"/>
  <c r="G64" i="83"/>
  <c r="H64" i="83"/>
  <c r="I64" i="83"/>
  <c r="J64" i="83"/>
  <c r="K64" i="83"/>
  <c r="L64" i="83"/>
  <c r="M64" i="83"/>
  <c r="N64" i="83"/>
  <c r="O64" i="83"/>
  <c r="P64" i="83"/>
  <c r="Q64" i="83"/>
  <c r="R64" i="83"/>
  <c r="S64" i="83"/>
  <c r="T64" i="83"/>
  <c r="U64" i="83"/>
  <c r="V64" i="83"/>
  <c r="W64" i="83"/>
  <c r="X64" i="83"/>
  <c r="Y64" i="83"/>
  <c r="E100" i="83"/>
  <c r="F100" i="83"/>
  <c r="G100" i="83"/>
  <c r="H100" i="83"/>
  <c r="I100" i="83"/>
  <c r="J100" i="83"/>
  <c r="K100" i="83"/>
  <c r="L100" i="83"/>
  <c r="M100" i="83"/>
  <c r="N100" i="83"/>
  <c r="O100" i="83"/>
  <c r="P100" i="83"/>
  <c r="Q100" i="83"/>
  <c r="R100" i="83"/>
  <c r="S100" i="83"/>
  <c r="T100" i="83"/>
  <c r="U100" i="83"/>
  <c r="V100" i="83"/>
  <c r="W100" i="83"/>
  <c r="X100" i="83"/>
  <c r="Y100" i="83"/>
  <c r="E65" i="83"/>
  <c r="F65" i="83"/>
  <c r="G65" i="83"/>
  <c r="H65" i="83"/>
  <c r="I65" i="83"/>
  <c r="J65" i="83"/>
  <c r="K65" i="83"/>
  <c r="L65" i="83"/>
  <c r="M65" i="83"/>
  <c r="N65" i="83"/>
  <c r="O65" i="83"/>
  <c r="P65" i="83"/>
  <c r="Q65" i="83"/>
  <c r="R65" i="83"/>
  <c r="S65" i="83"/>
  <c r="T65" i="83"/>
  <c r="U65" i="83"/>
  <c r="V65" i="83"/>
  <c r="W65" i="83"/>
  <c r="X65" i="83"/>
  <c r="Y65" i="83"/>
  <c r="E66" i="83"/>
  <c r="F66" i="83"/>
  <c r="G66" i="83"/>
  <c r="H66" i="83"/>
  <c r="I66" i="83"/>
  <c r="J66" i="83"/>
  <c r="K66" i="83"/>
  <c r="L66" i="83"/>
  <c r="M66" i="83"/>
  <c r="N66" i="83"/>
  <c r="O66" i="83"/>
  <c r="P66" i="83"/>
  <c r="Q66" i="83"/>
  <c r="R66" i="83"/>
  <c r="S66" i="83"/>
  <c r="T66" i="83"/>
  <c r="U66" i="83"/>
  <c r="V66" i="83"/>
  <c r="W66" i="83"/>
  <c r="X66" i="83"/>
  <c r="Y66" i="83"/>
  <c r="E10" i="83"/>
  <c r="F10" i="83"/>
  <c r="G10" i="83"/>
  <c r="H10" i="83"/>
  <c r="I10" i="83"/>
  <c r="J10" i="83"/>
  <c r="K10" i="83"/>
  <c r="L10" i="83"/>
  <c r="M10" i="83"/>
  <c r="N10" i="83"/>
  <c r="O10" i="83"/>
  <c r="P10" i="83"/>
  <c r="Q10" i="83"/>
  <c r="R10" i="83"/>
  <c r="S10" i="83"/>
  <c r="T10" i="83"/>
  <c r="U10" i="83"/>
  <c r="V10" i="83"/>
  <c r="W10" i="83"/>
  <c r="X10" i="83"/>
  <c r="Y10" i="83"/>
  <c r="E67" i="83"/>
  <c r="F67" i="83"/>
  <c r="G67" i="83"/>
  <c r="H67" i="83"/>
  <c r="I67" i="83"/>
  <c r="J67" i="83"/>
  <c r="K67" i="83"/>
  <c r="L67" i="83"/>
  <c r="M67" i="83"/>
  <c r="N67" i="83"/>
  <c r="O67" i="83"/>
  <c r="P67" i="83"/>
  <c r="Q67" i="83"/>
  <c r="R67" i="83"/>
  <c r="S67" i="83"/>
  <c r="T67" i="83"/>
  <c r="U67" i="83"/>
  <c r="V67" i="83"/>
  <c r="W67" i="83"/>
  <c r="X67" i="83"/>
  <c r="Y67" i="83"/>
  <c r="E68" i="83"/>
  <c r="F68" i="83"/>
  <c r="G68" i="83"/>
  <c r="H68" i="83"/>
  <c r="I68" i="83"/>
  <c r="J68" i="83"/>
  <c r="K68" i="83"/>
  <c r="L68" i="83"/>
  <c r="M68" i="83"/>
  <c r="N68" i="83"/>
  <c r="O68" i="83"/>
  <c r="P68" i="83"/>
  <c r="Q68" i="83"/>
  <c r="R68" i="83"/>
  <c r="S68" i="83"/>
  <c r="T68" i="83"/>
  <c r="U68" i="83"/>
  <c r="V68" i="83"/>
  <c r="W68" i="83"/>
  <c r="X68" i="83"/>
  <c r="Y68" i="83"/>
  <c r="E94" i="83"/>
  <c r="F94" i="83"/>
  <c r="G94" i="83"/>
  <c r="H94" i="83"/>
  <c r="I94" i="83"/>
  <c r="J94" i="83"/>
  <c r="K94" i="83"/>
  <c r="L94" i="83"/>
  <c r="M94" i="83"/>
  <c r="N94" i="83"/>
  <c r="O94" i="83"/>
  <c r="P94" i="83"/>
  <c r="Q94" i="83"/>
  <c r="R94" i="83"/>
  <c r="S94" i="83"/>
  <c r="T94" i="83"/>
  <c r="U94" i="83"/>
  <c r="V94" i="83"/>
  <c r="W94" i="83"/>
  <c r="X94" i="83"/>
  <c r="Y94" i="83"/>
  <c r="E69" i="83"/>
  <c r="F69" i="83"/>
  <c r="G69" i="83"/>
  <c r="H69" i="83"/>
  <c r="I69" i="83"/>
  <c r="J69" i="83"/>
  <c r="K69" i="83"/>
  <c r="L69" i="83"/>
  <c r="M69" i="83"/>
  <c r="N69" i="83"/>
  <c r="O69" i="83"/>
  <c r="P69" i="83"/>
  <c r="Q69" i="83"/>
  <c r="R69" i="83"/>
  <c r="S69" i="83"/>
  <c r="T69" i="83"/>
  <c r="U69" i="83"/>
  <c r="V69" i="83"/>
  <c r="W69" i="83"/>
  <c r="X69" i="83"/>
  <c r="Y69" i="83"/>
  <c r="E19" i="83"/>
  <c r="F19" i="83"/>
  <c r="G19" i="83"/>
  <c r="H19" i="83"/>
  <c r="I19" i="83"/>
  <c r="J19" i="83"/>
  <c r="K19" i="83"/>
  <c r="L19" i="83"/>
  <c r="M19" i="83"/>
  <c r="N19" i="83"/>
  <c r="O19" i="83"/>
  <c r="P19" i="83"/>
  <c r="Q19" i="83"/>
  <c r="R19" i="83"/>
  <c r="S19" i="83"/>
  <c r="T19" i="83"/>
  <c r="U19" i="83"/>
  <c r="V19" i="83"/>
  <c r="W19" i="83"/>
  <c r="X19" i="83"/>
  <c r="Y19" i="83"/>
  <c r="E70" i="83"/>
  <c r="F70" i="83"/>
  <c r="G70" i="83"/>
  <c r="H70" i="83"/>
  <c r="I70" i="83"/>
  <c r="J70" i="83"/>
  <c r="K70" i="83"/>
  <c r="L70" i="83"/>
  <c r="M70" i="83"/>
  <c r="N70" i="83"/>
  <c r="O70" i="83"/>
  <c r="P70" i="83"/>
  <c r="Q70" i="83"/>
  <c r="R70" i="83"/>
  <c r="S70" i="83"/>
  <c r="T70" i="83"/>
  <c r="U70" i="83"/>
  <c r="V70" i="83"/>
  <c r="W70" i="83"/>
  <c r="X70" i="83"/>
  <c r="Y70" i="83"/>
  <c r="E71" i="83"/>
  <c r="F71" i="83"/>
  <c r="G71" i="83"/>
  <c r="H71" i="83"/>
  <c r="I71" i="83"/>
  <c r="J71" i="83"/>
  <c r="K71" i="83"/>
  <c r="L71" i="83"/>
  <c r="M71" i="83"/>
  <c r="N71" i="83"/>
  <c r="O71" i="83"/>
  <c r="P71" i="83"/>
  <c r="Q71" i="83"/>
  <c r="R71" i="83"/>
  <c r="S71" i="83"/>
  <c r="T71" i="83"/>
  <c r="U71" i="83"/>
  <c r="V71" i="83"/>
  <c r="W71" i="83"/>
  <c r="X71" i="83"/>
  <c r="Y71" i="83"/>
  <c r="E72" i="83"/>
  <c r="F72" i="83"/>
  <c r="G72" i="83"/>
  <c r="H72" i="83"/>
  <c r="I72" i="83"/>
  <c r="J72" i="83"/>
  <c r="K72" i="83"/>
  <c r="L72" i="83"/>
  <c r="M72" i="83"/>
  <c r="N72" i="83"/>
  <c r="O72" i="83"/>
  <c r="P72" i="83"/>
  <c r="Q72" i="83"/>
  <c r="R72" i="83"/>
  <c r="S72" i="83"/>
  <c r="T72" i="83"/>
  <c r="U72" i="83"/>
  <c r="V72" i="83"/>
  <c r="W72" i="83"/>
  <c r="X72" i="83"/>
  <c r="Y72" i="83"/>
  <c r="E101" i="83"/>
  <c r="F101" i="83"/>
  <c r="G101" i="83"/>
  <c r="H101" i="83"/>
  <c r="I101" i="83"/>
  <c r="J101" i="83"/>
  <c r="K101" i="83"/>
  <c r="L101" i="83"/>
  <c r="M101" i="83"/>
  <c r="N101" i="83"/>
  <c r="O101" i="83"/>
  <c r="P101" i="83"/>
  <c r="Q101" i="83"/>
  <c r="R101" i="83"/>
  <c r="S101" i="83"/>
  <c r="T101" i="83"/>
  <c r="U101" i="83"/>
  <c r="V101" i="83"/>
  <c r="W101" i="83"/>
  <c r="X101" i="83"/>
  <c r="Y101" i="83"/>
  <c r="E73" i="83"/>
  <c r="F73" i="83"/>
  <c r="G73" i="83"/>
  <c r="H73" i="83"/>
  <c r="I73" i="83"/>
  <c r="J73" i="83"/>
  <c r="K73" i="83"/>
  <c r="L73" i="83"/>
  <c r="M73" i="83"/>
  <c r="N73" i="83"/>
  <c r="O73" i="83"/>
  <c r="P73" i="83"/>
  <c r="Q73" i="83"/>
  <c r="R73" i="83"/>
  <c r="S73" i="83"/>
  <c r="T73" i="83"/>
  <c r="U73" i="83"/>
  <c r="V73" i="83"/>
  <c r="W73" i="83"/>
  <c r="X73" i="83"/>
  <c r="Y73" i="83"/>
  <c r="E74" i="83"/>
  <c r="F74" i="83"/>
  <c r="G74" i="83"/>
  <c r="H74" i="83"/>
  <c r="I74" i="83"/>
  <c r="J74" i="83"/>
  <c r="K74" i="83"/>
  <c r="L74" i="83"/>
  <c r="M74" i="83"/>
  <c r="N74" i="83"/>
  <c r="O74" i="83"/>
  <c r="P74" i="83"/>
  <c r="Q74" i="83"/>
  <c r="R74" i="83"/>
  <c r="S74" i="83"/>
  <c r="T74" i="83"/>
  <c r="U74" i="83"/>
  <c r="V74" i="83"/>
  <c r="W74" i="83"/>
  <c r="X74" i="83"/>
  <c r="Y74" i="83"/>
  <c r="E75" i="83"/>
  <c r="F75" i="83"/>
  <c r="G75" i="83"/>
  <c r="H75" i="83"/>
  <c r="I75" i="83"/>
  <c r="J75" i="83"/>
  <c r="K75" i="83"/>
  <c r="L75" i="83"/>
  <c r="M75" i="83"/>
  <c r="N75" i="83"/>
  <c r="O75" i="83"/>
  <c r="P75" i="83"/>
  <c r="Q75" i="83"/>
  <c r="R75" i="83"/>
  <c r="S75" i="83"/>
  <c r="T75" i="83"/>
  <c r="U75" i="83"/>
  <c r="V75" i="83"/>
  <c r="W75" i="83"/>
  <c r="X75" i="83"/>
  <c r="Y75" i="83"/>
  <c r="E76" i="83"/>
  <c r="F76" i="83"/>
  <c r="G76" i="83"/>
  <c r="H76" i="83"/>
  <c r="I76" i="83"/>
  <c r="J76" i="83"/>
  <c r="K76" i="83"/>
  <c r="L76" i="83"/>
  <c r="M76" i="83"/>
  <c r="N76" i="83"/>
  <c r="O76" i="83"/>
  <c r="P76" i="83"/>
  <c r="Q76" i="83"/>
  <c r="R76" i="83"/>
  <c r="S76" i="83"/>
  <c r="T76" i="83"/>
  <c r="U76" i="83"/>
  <c r="V76" i="83"/>
  <c r="W76" i="83"/>
  <c r="X76" i="83"/>
  <c r="Y76" i="83"/>
  <c r="E77" i="83"/>
  <c r="F77" i="83"/>
  <c r="G77" i="83"/>
  <c r="H77" i="83"/>
  <c r="I77" i="83"/>
  <c r="J77" i="83"/>
  <c r="K77" i="83"/>
  <c r="L77" i="83"/>
  <c r="M77" i="83"/>
  <c r="N77" i="83"/>
  <c r="O77" i="83"/>
  <c r="P77" i="83"/>
  <c r="Q77" i="83"/>
  <c r="R77" i="83"/>
  <c r="S77" i="83"/>
  <c r="T77" i="83"/>
  <c r="U77" i="83"/>
  <c r="V77" i="83"/>
  <c r="W77" i="83"/>
  <c r="X77" i="83"/>
  <c r="Y77" i="83"/>
  <c r="E78" i="83"/>
  <c r="F78" i="83"/>
  <c r="G78" i="83"/>
  <c r="H78" i="83"/>
  <c r="I78" i="83"/>
  <c r="J78" i="83"/>
  <c r="K78" i="83"/>
  <c r="L78" i="83"/>
  <c r="M78" i="83"/>
  <c r="N78" i="83"/>
  <c r="O78" i="83"/>
  <c r="P78" i="83"/>
  <c r="Q78" i="83"/>
  <c r="R78" i="83"/>
  <c r="S78" i="83"/>
  <c r="T78" i="83"/>
  <c r="U78" i="83"/>
  <c r="V78" i="83"/>
  <c r="W78" i="83"/>
  <c r="X78" i="83"/>
  <c r="Y78" i="83"/>
  <c r="E27" i="83"/>
  <c r="F27" i="83"/>
  <c r="G27" i="83"/>
  <c r="H27" i="83"/>
  <c r="I27" i="83"/>
  <c r="J27" i="83"/>
  <c r="K27" i="83"/>
  <c r="L27" i="83"/>
  <c r="M27" i="83"/>
  <c r="N27" i="83"/>
  <c r="O27" i="83"/>
  <c r="P27" i="83"/>
  <c r="Q27" i="83"/>
  <c r="R27" i="83"/>
  <c r="S27" i="83"/>
  <c r="T27" i="83"/>
  <c r="U27" i="83"/>
  <c r="V27" i="83"/>
  <c r="W27" i="83"/>
  <c r="X27" i="83"/>
  <c r="Y27" i="83"/>
  <c r="E79" i="83"/>
  <c r="F79" i="83"/>
  <c r="G79" i="83"/>
  <c r="H79" i="83"/>
  <c r="I79" i="83"/>
  <c r="J79" i="83"/>
  <c r="K79" i="83"/>
  <c r="L79" i="83"/>
  <c r="M79" i="83"/>
  <c r="N79" i="83"/>
  <c r="O79" i="83"/>
  <c r="P79" i="83"/>
  <c r="Q79" i="83"/>
  <c r="R79" i="83"/>
  <c r="S79" i="83"/>
  <c r="T79" i="83"/>
  <c r="U79" i="83"/>
  <c r="V79" i="83"/>
  <c r="W79" i="83"/>
  <c r="X79" i="83"/>
  <c r="Y79" i="83"/>
  <c r="E80" i="83"/>
  <c r="F80" i="83"/>
  <c r="G80" i="83"/>
  <c r="H80" i="83"/>
  <c r="I80" i="83"/>
  <c r="J80" i="83"/>
  <c r="K80" i="83"/>
  <c r="L80" i="83"/>
  <c r="M80" i="83"/>
  <c r="N80" i="83"/>
  <c r="O80" i="83"/>
  <c r="P80" i="83"/>
  <c r="Q80" i="83"/>
  <c r="R80" i="83"/>
  <c r="S80" i="83"/>
  <c r="T80" i="83"/>
  <c r="U80" i="83"/>
  <c r="V80" i="83"/>
  <c r="W80" i="83"/>
  <c r="X80" i="83"/>
  <c r="Y80" i="83"/>
  <c r="E81" i="83"/>
  <c r="F81" i="83"/>
  <c r="G81" i="83"/>
  <c r="H81" i="83"/>
  <c r="I81" i="83"/>
  <c r="J81" i="83"/>
  <c r="K81" i="83"/>
  <c r="L81" i="83"/>
  <c r="M81" i="83"/>
  <c r="N81" i="83"/>
  <c r="O81" i="83"/>
  <c r="P81" i="83"/>
  <c r="Q81" i="83"/>
  <c r="R81" i="83"/>
  <c r="S81" i="83"/>
  <c r="T81" i="83"/>
  <c r="U81" i="83"/>
  <c r="V81" i="83"/>
  <c r="W81" i="83"/>
  <c r="X81" i="83"/>
  <c r="Y81" i="83"/>
  <c r="E82" i="83"/>
  <c r="F82" i="83"/>
  <c r="G82" i="83"/>
  <c r="H82" i="83"/>
  <c r="I82" i="83"/>
  <c r="J82" i="83"/>
  <c r="K82" i="83"/>
  <c r="L82" i="83"/>
  <c r="M82" i="83"/>
  <c r="N82" i="83"/>
  <c r="O82" i="83"/>
  <c r="P82" i="83"/>
  <c r="Q82" i="83"/>
  <c r="R82" i="83"/>
  <c r="S82" i="83"/>
  <c r="T82" i="83"/>
  <c r="U82" i="83"/>
  <c r="V82" i="83"/>
  <c r="W82" i="83"/>
  <c r="X82" i="83"/>
  <c r="Y82" i="83"/>
  <c r="E83" i="83"/>
  <c r="F83" i="83"/>
  <c r="G83" i="83"/>
  <c r="H83" i="83"/>
  <c r="I83" i="83"/>
  <c r="J83" i="83"/>
  <c r="K83" i="83"/>
  <c r="L83" i="83"/>
  <c r="M83" i="83"/>
  <c r="N83" i="83"/>
  <c r="O83" i="83"/>
  <c r="P83" i="83"/>
  <c r="Q83" i="83"/>
  <c r="R83" i="83"/>
  <c r="S83" i="83"/>
  <c r="T83" i="83"/>
  <c r="U83" i="83"/>
  <c r="V83" i="83"/>
  <c r="W83" i="83"/>
  <c r="X83" i="83"/>
  <c r="Y83" i="83"/>
  <c r="E84" i="83"/>
  <c r="F84" i="83"/>
  <c r="G84" i="83"/>
  <c r="H84" i="83"/>
  <c r="I84" i="83"/>
  <c r="J84" i="83"/>
  <c r="K84" i="83"/>
  <c r="L84" i="83"/>
  <c r="M84" i="83"/>
  <c r="N84" i="83"/>
  <c r="O84" i="83"/>
  <c r="P84" i="83"/>
  <c r="Q84" i="83"/>
  <c r="R84" i="83"/>
  <c r="S84" i="83"/>
  <c r="T84" i="83"/>
  <c r="U84" i="83"/>
  <c r="V84" i="83"/>
  <c r="W84" i="83"/>
  <c r="X84" i="83"/>
  <c r="Y84" i="83"/>
  <c r="E85" i="83"/>
  <c r="F85" i="83"/>
  <c r="G85" i="83"/>
  <c r="H85" i="83"/>
  <c r="I85" i="83"/>
  <c r="J85" i="83"/>
  <c r="K85" i="83"/>
  <c r="L85" i="83"/>
  <c r="M85" i="83"/>
  <c r="N85" i="83"/>
  <c r="O85" i="83"/>
  <c r="P85" i="83"/>
  <c r="Q85" i="83"/>
  <c r="R85" i="83"/>
  <c r="S85" i="83"/>
  <c r="T85" i="83"/>
  <c r="U85" i="83"/>
  <c r="V85" i="83"/>
  <c r="W85" i="83"/>
  <c r="X85" i="83"/>
  <c r="Y85" i="83"/>
  <c r="E86" i="83"/>
  <c r="F86" i="83"/>
  <c r="G86" i="83"/>
  <c r="H86" i="83"/>
  <c r="I86" i="83"/>
  <c r="J86" i="83"/>
  <c r="K86" i="83"/>
  <c r="L86" i="83"/>
  <c r="M86" i="83"/>
  <c r="N86" i="83"/>
  <c r="O86" i="83"/>
  <c r="P86" i="83"/>
  <c r="Q86" i="83"/>
  <c r="R86" i="83"/>
  <c r="S86" i="83"/>
  <c r="T86" i="83"/>
  <c r="U86" i="83"/>
  <c r="V86" i="83"/>
  <c r="W86" i="83"/>
  <c r="X86" i="83"/>
  <c r="Y86" i="83"/>
  <c r="E87" i="83"/>
  <c r="F87" i="83"/>
  <c r="G87" i="83"/>
  <c r="H87" i="83"/>
  <c r="I87" i="83"/>
  <c r="J87" i="83"/>
  <c r="K87" i="83"/>
  <c r="L87" i="83"/>
  <c r="M87" i="83"/>
  <c r="N87" i="83"/>
  <c r="O87" i="83"/>
  <c r="P87" i="83"/>
  <c r="Q87" i="83"/>
  <c r="R87" i="83"/>
  <c r="S87" i="83"/>
  <c r="T87" i="83"/>
  <c r="U87" i="83"/>
  <c r="V87" i="83"/>
  <c r="W87" i="83"/>
  <c r="X87" i="83"/>
  <c r="Y87" i="83"/>
  <c r="E88" i="83"/>
  <c r="F88" i="83"/>
  <c r="G88" i="83"/>
  <c r="H88" i="83"/>
  <c r="I88" i="83"/>
  <c r="J88" i="83"/>
  <c r="K88" i="83"/>
  <c r="L88" i="83"/>
  <c r="M88" i="83"/>
  <c r="N88" i="83"/>
  <c r="O88" i="83"/>
  <c r="P88" i="83"/>
  <c r="Q88" i="83"/>
  <c r="R88" i="83"/>
  <c r="S88" i="83"/>
  <c r="T88" i="83"/>
  <c r="U88" i="83"/>
  <c r="V88" i="83"/>
  <c r="W88" i="83"/>
  <c r="X88" i="83"/>
  <c r="Y88" i="83"/>
  <c r="E89" i="83"/>
  <c r="F89" i="83"/>
  <c r="G89" i="83"/>
  <c r="H89" i="83"/>
  <c r="I89" i="83"/>
  <c r="J89" i="83"/>
  <c r="K89" i="83"/>
  <c r="L89" i="83"/>
  <c r="M89" i="83"/>
  <c r="N89" i="83"/>
  <c r="O89" i="83"/>
  <c r="P89" i="83"/>
  <c r="Q89" i="83"/>
  <c r="R89" i="83"/>
  <c r="S89" i="83"/>
  <c r="T89" i="83"/>
  <c r="U89" i="83"/>
  <c r="V89" i="83"/>
  <c r="W89" i="83"/>
  <c r="X89" i="83"/>
  <c r="Y89" i="83"/>
  <c r="E90" i="83"/>
  <c r="F90" i="83"/>
  <c r="G90" i="83"/>
  <c r="H90" i="83"/>
  <c r="I90" i="83"/>
  <c r="J90" i="83"/>
  <c r="K90" i="83"/>
  <c r="L90" i="83"/>
  <c r="M90" i="83"/>
  <c r="N90" i="83"/>
  <c r="O90" i="83"/>
  <c r="P90" i="83"/>
  <c r="Q90" i="83"/>
  <c r="R90" i="83"/>
  <c r="S90" i="83"/>
  <c r="T90" i="83"/>
  <c r="U90" i="83"/>
  <c r="V90" i="83"/>
  <c r="W90" i="83"/>
  <c r="X90" i="83"/>
  <c r="Y90" i="83"/>
  <c r="D50" i="83"/>
  <c r="D51" i="83"/>
  <c r="D52" i="83"/>
  <c r="D53" i="83"/>
  <c r="D54" i="83"/>
  <c r="D7" i="83"/>
  <c r="D55" i="83"/>
  <c r="D56" i="83"/>
  <c r="D57" i="83"/>
  <c r="D93" i="83"/>
  <c r="D58" i="83"/>
  <c r="D59" i="83"/>
  <c r="D60" i="83"/>
  <c r="D9" i="83"/>
  <c r="D97" i="83"/>
  <c r="D98" i="83" s="1"/>
  <c r="D61" i="83"/>
  <c r="D62" i="83"/>
  <c r="D63" i="83"/>
  <c r="D64" i="83"/>
  <c r="D100" i="83"/>
  <c r="D65" i="83"/>
  <c r="D66" i="83"/>
  <c r="D10" i="83"/>
  <c r="D67" i="83"/>
  <c r="D68" i="83"/>
  <c r="D94" i="83"/>
  <c r="D69" i="83"/>
  <c r="D19" i="83"/>
  <c r="D70" i="83"/>
  <c r="D71" i="83"/>
  <c r="D72" i="83"/>
  <c r="D101" i="83"/>
  <c r="D73" i="83"/>
  <c r="D74" i="83"/>
  <c r="D75" i="83"/>
  <c r="D76" i="83"/>
  <c r="D77" i="83"/>
  <c r="D78" i="83"/>
  <c r="D27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6" i="83"/>
  <c r="AB105" i="83"/>
  <c r="B7" i="97" l="1"/>
  <c r="D22" i="96"/>
  <c r="K7" i="97"/>
  <c r="M22" i="96"/>
  <c r="T7" i="97"/>
  <c r="V22" i="96"/>
  <c r="X12" i="97"/>
  <c r="Z22" i="91"/>
  <c r="B12" i="97"/>
  <c r="D22" i="91"/>
  <c r="L12" i="97"/>
  <c r="L17" i="97" s="1"/>
  <c r="N22" i="91"/>
  <c r="O12" i="97"/>
  <c r="O17" i="97" s="1"/>
  <c r="Q22" i="91"/>
  <c r="F12" i="97"/>
  <c r="F17" i="97" s="1"/>
  <c r="J19" i="97" s="1"/>
  <c r="H22" i="91"/>
  <c r="V50" i="89"/>
  <c r="V90" i="85"/>
  <c r="T12" i="97" s="1"/>
  <c r="D69" i="85"/>
  <c r="D22" i="85"/>
  <c r="X69" i="85"/>
  <c r="T69" i="85"/>
  <c r="P69" i="85"/>
  <c r="L69" i="85"/>
  <c r="H69" i="85"/>
  <c r="X95" i="85"/>
  <c r="T95" i="85"/>
  <c r="P95" i="85"/>
  <c r="L95" i="85"/>
  <c r="H95" i="85"/>
  <c r="X63" i="85"/>
  <c r="T63" i="85"/>
  <c r="P63" i="85"/>
  <c r="L63" i="85"/>
  <c r="H63" i="85"/>
  <c r="Z83" i="85"/>
  <c r="V83" i="85"/>
  <c r="R83" i="85"/>
  <c r="N83" i="85"/>
  <c r="J83" i="85"/>
  <c r="F83" i="85"/>
  <c r="X22" i="85"/>
  <c r="T22" i="85"/>
  <c r="P22" i="85"/>
  <c r="L22" i="85"/>
  <c r="H22" i="85"/>
  <c r="D90" i="85"/>
  <c r="S69" i="85"/>
  <c r="O69" i="85"/>
  <c r="K69" i="85"/>
  <c r="G69" i="85"/>
  <c r="Y90" i="85"/>
  <c r="W95" i="85"/>
  <c r="S95" i="85"/>
  <c r="O95" i="85"/>
  <c r="K95" i="85"/>
  <c r="G95" i="85"/>
  <c r="S63" i="85"/>
  <c r="O63" i="85"/>
  <c r="K63" i="85"/>
  <c r="G63" i="85"/>
  <c r="Y83" i="85"/>
  <c r="U83" i="85"/>
  <c r="Q83" i="85"/>
  <c r="M83" i="85"/>
  <c r="I83" i="85"/>
  <c r="E83" i="85"/>
  <c r="S22" i="85"/>
  <c r="O22" i="85"/>
  <c r="K22" i="85"/>
  <c r="G22" i="85"/>
  <c r="D63" i="85"/>
  <c r="Z69" i="85"/>
  <c r="V69" i="85"/>
  <c r="R69" i="85"/>
  <c r="N69" i="85"/>
  <c r="J69" i="85"/>
  <c r="F69" i="85"/>
  <c r="X90" i="85"/>
  <c r="T90" i="85"/>
  <c r="P90" i="85"/>
  <c r="L90" i="85"/>
  <c r="H90" i="85"/>
  <c r="Z95" i="85"/>
  <c r="V95" i="85"/>
  <c r="R95" i="85"/>
  <c r="N95" i="85"/>
  <c r="J95" i="85"/>
  <c r="F95" i="85"/>
  <c r="Z63" i="85"/>
  <c r="V63" i="85"/>
  <c r="R63" i="85"/>
  <c r="N63" i="85"/>
  <c r="J63" i="85"/>
  <c r="F63" i="85"/>
  <c r="X83" i="85"/>
  <c r="T83" i="85"/>
  <c r="P83" i="85"/>
  <c r="L83" i="85"/>
  <c r="H83" i="85"/>
  <c r="Z22" i="85"/>
  <c r="V22" i="85"/>
  <c r="R22" i="85"/>
  <c r="N22" i="85"/>
  <c r="J22" i="85"/>
  <c r="F22" i="85"/>
  <c r="D83" i="85"/>
  <c r="Z90" i="85"/>
  <c r="Y69" i="85"/>
  <c r="U69" i="85"/>
  <c r="Q69" i="85"/>
  <c r="M69" i="85"/>
  <c r="I69" i="85"/>
  <c r="E69" i="85"/>
  <c r="S90" i="85"/>
  <c r="O90" i="85"/>
  <c r="K90" i="85"/>
  <c r="G90" i="85"/>
  <c r="Y95" i="85"/>
  <c r="U95" i="85"/>
  <c r="Q95" i="85"/>
  <c r="M95" i="85"/>
  <c r="I95" i="85"/>
  <c r="E95" i="85"/>
  <c r="Y63" i="85"/>
  <c r="U63" i="85"/>
  <c r="Q63" i="85"/>
  <c r="M63" i="85"/>
  <c r="I63" i="85"/>
  <c r="E63" i="85"/>
  <c r="S83" i="85"/>
  <c r="O83" i="85"/>
  <c r="K83" i="85"/>
  <c r="G83" i="85"/>
  <c r="Y22" i="85"/>
  <c r="U22" i="85"/>
  <c r="Q22" i="85"/>
  <c r="M22" i="85"/>
  <c r="I22" i="85"/>
  <c r="E22" i="85"/>
  <c r="D17" i="84"/>
  <c r="Y122" i="84"/>
  <c r="U122" i="84"/>
  <c r="Q122" i="84"/>
  <c r="M122" i="84"/>
  <c r="I122" i="84"/>
  <c r="E122" i="84"/>
  <c r="W117" i="84"/>
  <c r="S117" i="84"/>
  <c r="O117" i="84"/>
  <c r="K117" i="84"/>
  <c r="G117" i="84"/>
  <c r="W128" i="84"/>
  <c r="S128" i="84"/>
  <c r="O128" i="84"/>
  <c r="K128" i="84"/>
  <c r="G128" i="84"/>
  <c r="W17" i="84"/>
  <c r="S17" i="84"/>
  <c r="O17" i="84"/>
  <c r="K17" i="84"/>
  <c r="G17" i="84"/>
  <c r="W122" i="84"/>
  <c r="S122" i="84"/>
  <c r="O122" i="84"/>
  <c r="K122" i="84"/>
  <c r="G122" i="84"/>
  <c r="Y117" i="84"/>
  <c r="U117" i="84"/>
  <c r="Q117" i="84"/>
  <c r="M117" i="84"/>
  <c r="I117" i="84"/>
  <c r="E117" i="84"/>
  <c r="Y128" i="84"/>
  <c r="U128" i="84"/>
  <c r="Q128" i="84"/>
  <c r="M128" i="84"/>
  <c r="I128" i="84"/>
  <c r="E128" i="84"/>
  <c r="Y17" i="84"/>
  <c r="U17" i="84"/>
  <c r="Q17" i="84"/>
  <c r="M17" i="84"/>
  <c r="I17" i="84"/>
  <c r="E17" i="84"/>
  <c r="D117" i="84"/>
  <c r="X122" i="84"/>
  <c r="T122" i="84"/>
  <c r="P122" i="84"/>
  <c r="L122" i="84"/>
  <c r="H122" i="84"/>
  <c r="Z117" i="84"/>
  <c r="V117" i="84"/>
  <c r="R117" i="84"/>
  <c r="N117" i="84"/>
  <c r="J117" i="84"/>
  <c r="F117" i="84"/>
  <c r="V128" i="84"/>
  <c r="R128" i="84"/>
  <c r="N128" i="84"/>
  <c r="J128" i="84"/>
  <c r="F128" i="84"/>
  <c r="Z17" i="84"/>
  <c r="V17" i="84"/>
  <c r="R17" i="84"/>
  <c r="N17" i="84"/>
  <c r="J17" i="84"/>
  <c r="F17" i="84"/>
  <c r="D128" i="84"/>
  <c r="D122" i="84"/>
  <c r="Z122" i="84"/>
  <c r="V122" i="84"/>
  <c r="R122" i="84"/>
  <c r="N122" i="84"/>
  <c r="J122" i="84"/>
  <c r="F122" i="84"/>
  <c r="X117" i="84"/>
  <c r="T117" i="84"/>
  <c r="P117" i="84"/>
  <c r="L117" i="84"/>
  <c r="H117" i="84"/>
  <c r="X128" i="84"/>
  <c r="T128" i="84"/>
  <c r="P128" i="84"/>
  <c r="L128" i="84"/>
  <c r="H128" i="84"/>
  <c r="X17" i="84"/>
  <c r="T17" i="84"/>
  <c r="P17" i="84"/>
  <c r="L17" i="84"/>
  <c r="H17" i="84"/>
  <c r="R94" i="84"/>
  <c r="J94" i="84"/>
  <c r="Q94" i="84"/>
  <c r="E94" i="84"/>
  <c r="W94" i="84"/>
  <c r="S94" i="84"/>
  <c r="O94" i="84"/>
  <c r="K94" i="84"/>
  <c r="G94" i="84"/>
  <c r="Z94" i="84"/>
  <c r="V94" i="84"/>
  <c r="N94" i="84"/>
  <c r="F94" i="84"/>
  <c r="D94" i="84"/>
  <c r="Y94" i="84"/>
  <c r="U94" i="84"/>
  <c r="M94" i="84"/>
  <c r="I94" i="84"/>
  <c r="X94" i="84"/>
  <c r="T94" i="84"/>
  <c r="P94" i="84"/>
  <c r="L94" i="84"/>
  <c r="H94" i="84"/>
  <c r="Y67" i="84"/>
  <c r="Q67" i="84"/>
  <c r="E67" i="84"/>
  <c r="D67" i="84"/>
  <c r="P67" i="84"/>
  <c r="H67" i="84"/>
  <c r="W67" i="84"/>
  <c r="S67" i="84"/>
  <c r="O67" i="84"/>
  <c r="K67" i="84"/>
  <c r="G67" i="84"/>
  <c r="U67" i="84"/>
  <c r="M67" i="84"/>
  <c r="I67" i="84"/>
  <c r="X67" i="84"/>
  <c r="T67" i="84"/>
  <c r="L67" i="84"/>
  <c r="Z67" i="84"/>
  <c r="V67" i="84"/>
  <c r="R67" i="84"/>
  <c r="N67" i="84"/>
  <c r="J67" i="84"/>
  <c r="F67" i="84"/>
  <c r="R136" i="84"/>
  <c r="R137" i="84" s="1"/>
  <c r="R138" i="84" s="1"/>
  <c r="Y103" i="83"/>
  <c r="U103" i="83"/>
  <c r="D91" i="83"/>
  <c r="Q103" i="83"/>
  <c r="M103" i="83"/>
  <c r="I103" i="83"/>
  <c r="E103" i="83"/>
  <c r="W95" i="83"/>
  <c r="S95" i="83"/>
  <c r="O95" i="83"/>
  <c r="K95" i="83"/>
  <c r="G95" i="83"/>
  <c r="X91" i="83"/>
  <c r="T91" i="83"/>
  <c r="P91" i="83"/>
  <c r="L91" i="83"/>
  <c r="H91" i="83"/>
  <c r="Y48" i="83"/>
  <c r="S48" i="83"/>
  <c r="M48" i="83"/>
  <c r="I48" i="83"/>
  <c r="E48" i="83"/>
  <c r="Z103" i="83"/>
  <c r="Z48" i="83"/>
  <c r="D48" i="83"/>
  <c r="D103" i="83"/>
  <c r="X103" i="83"/>
  <c r="X105" i="83" s="1"/>
  <c r="T103" i="83"/>
  <c r="T105" i="83" s="1"/>
  <c r="P103" i="83"/>
  <c r="L103" i="83"/>
  <c r="H103" i="83"/>
  <c r="H105" i="83" s="1"/>
  <c r="V95" i="83"/>
  <c r="R95" i="83"/>
  <c r="N95" i="83"/>
  <c r="J95" i="83"/>
  <c r="F95" i="83"/>
  <c r="W91" i="83"/>
  <c r="S91" i="83"/>
  <c r="O91" i="83"/>
  <c r="K91" i="83"/>
  <c r="G91" i="83"/>
  <c r="X48" i="83"/>
  <c r="R48" i="83"/>
  <c r="L48" i="83"/>
  <c r="H48" i="83"/>
  <c r="N48" i="83"/>
  <c r="W103" i="83"/>
  <c r="S103" i="83"/>
  <c r="S105" i="83" s="1"/>
  <c r="O103" i="83"/>
  <c r="K103" i="83"/>
  <c r="G103" i="83"/>
  <c r="Y95" i="83"/>
  <c r="Y105" i="83" s="1"/>
  <c r="U95" i="83"/>
  <c r="Q95" i="83"/>
  <c r="M95" i="83"/>
  <c r="I95" i="83"/>
  <c r="E95" i="83"/>
  <c r="V91" i="83"/>
  <c r="R91" i="83"/>
  <c r="N91" i="83"/>
  <c r="J91" i="83"/>
  <c r="F91" i="83"/>
  <c r="W48" i="83"/>
  <c r="Q48" i="83"/>
  <c r="K48" i="83"/>
  <c r="G48" i="83"/>
  <c r="Z95" i="83"/>
  <c r="D95" i="83"/>
  <c r="V103" i="83"/>
  <c r="R103" i="83"/>
  <c r="N103" i="83"/>
  <c r="J103" i="83"/>
  <c r="J105" i="83" s="1"/>
  <c r="F103" i="83"/>
  <c r="X95" i="83"/>
  <c r="T95" i="83"/>
  <c r="P95" i="83"/>
  <c r="L95" i="83"/>
  <c r="H95" i="83"/>
  <c r="Y91" i="83"/>
  <c r="U91" i="83"/>
  <c r="Q91" i="83"/>
  <c r="M91" i="83"/>
  <c r="I91" i="83"/>
  <c r="E91" i="83"/>
  <c r="T48" i="83"/>
  <c r="P48" i="83"/>
  <c r="J48" i="83"/>
  <c r="F48" i="83"/>
  <c r="Z91" i="83"/>
  <c r="D23" i="94"/>
  <c r="K23" i="94"/>
  <c r="S23" i="94"/>
  <c r="F23" i="94"/>
  <c r="P25" i="93"/>
  <c r="M25" i="93" s="1"/>
  <c r="O25" i="93"/>
  <c r="F39" i="90"/>
  <c r="L39" i="90"/>
  <c r="S39" i="90"/>
  <c r="K39" i="90"/>
  <c r="L25" i="87"/>
  <c r="G25" i="87"/>
  <c r="K25" i="87"/>
  <c r="F11" i="86"/>
  <c r="L11" i="86"/>
  <c r="K11" i="86"/>
  <c r="W11" i="86"/>
  <c r="U11" i="86"/>
  <c r="A84" i="3"/>
  <c r="A85" i="3"/>
  <c r="A86" i="3" s="1"/>
  <c r="A87" i="3" s="1"/>
  <c r="A88" i="3" s="1"/>
  <c r="A89" i="3" s="1"/>
  <c r="A90" i="3" s="1"/>
  <c r="A91" i="3" s="1"/>
  <c r="A92" i="3" s="1"/>
  <c r="A93" i="3" s="1"/>
  <c r="A81" i="25"/>
  <c r="A82" i="25"/>
  <c r="D62" i="25"/>
  <c r="N62" i="25"/>
  <c r="V97" i="85" l="1"/>
  <c r="Q105" i="83"/>
  <c r="N105" i="83"/>
  <c r="G105" i="83"/>
  <c r="W105" i="83"/>
  <c r="Z105" i="83"/>
  <c r="E105" i="83"/>
  <c r="R105" i="83"/>
  <c r="K105" i="83"/>
  <c r="L105" i="83"/>
  <c r="D105" i="83"/>
  <c r="I105" i="83"/>
  <c r="F105" i="83"/>
  <c r="P105" i="83"/>
  <c r="M105" i="83"/>
  <c r="L23" i="94"/>
  <c r="P39" i="90"/>
  <c r="P25" i="87"/>
  <c r="P11" i="86"/>
  <c r="V16" i="31"/>
  <c r="W11" i="37"/>
  <c r="P23" i="94" l="1"/>
  <c r="M39" i="90"/>
  <c r="O39" i="90"/>
  <c r="M25" i="87"/>
  <c r="M11" i="86"/>
  <c r="O11" i="86"/>
  <c r="T11" i="86"/>
  <c r="V12" i="30"/>
  <c r="V17" i="31"/>
  <c r="T23" i="94" l="1"/>
  <c r="M23" i="94"/>
  <c r="O23" i="94"/>
  <c r="T39" i="90"/>
  <c r="Z39" i="90"/>
  <c r="U39" i="90"/>
  <c r="U25" i="87"/>
  <c r="W25" i="87"/>
  <c r="T25" i="87"/>
  <c r="W13" i="34"/>
  <c r="U23" i="94" l="1"/>
  <c r="V23" i="94"/>
  <c r="V46" i="26"/>
  <c r="D12" i="38"/>
  <c r="N71" i="26"/>
  <c r="A74" i="26" l="1"/>
  <c r="A75" i="26"/>
  <c r="A76" i="26" s="1"/>
  <c r="U75" i="26"/>
  <c r="V75" i="26" s="1"/>
  <c r="O75" i="26"/>
  <c r="F75" i="26"/>
  <c r="D9" i="38" l="1"/>
  <c r="N13" i="44" l="1"/>
  <c r="Z11" i="33"/>
  <c r="Z69" i="3"/>
  <c r="C10" i="38"/>
  <c r="N13" i="34"/>
  <c r="N23" i="30"/>
  <c r="A25" i="28"/>
  <c r="N10" i="27"/>
  <c r="D76" i="26"/>
  <c r="N76" i="26"/>
  <c r="U91" i="3"/>
  <c r="V91" i="3" s="1"/>
  <c r="O91" i="3"/>
  <c r="F91" i="3"/>
  <c r="U90" i="3"/>
  <c r="V90" i="3" s="1"/>
  <c r="O90" i="3"/>
  <c r="F90" i="3"/>
  <c r="U89" i="3"/>
  <c r="V89" i="3" s="1"/>
  <c r="O89" i="3"/>
  <c r="F89" i="3"/>
  <c r="U93" i="3"/>
  <c r="V93" i="3" s="1"/>
  <c r="O93" i="3"/>
  <c r="F93" i="3"/>
  <c r="U92" i="3"/>
  <c r="V92" i="3" s="1"/>
  <c r="O92" i="3"/>
  <c r="F92" i="3"/>
  <c r="N59" i="3"/>
  <c r="N32" i="3"/>
  <c r="N23" i="3"/>
  <c r="N17" i="3"/>
  <c r="N56" i="25"/>
  <c r="I8" i="44" l="1"/>
  <c r="N46" i="26"/>
  <c r="F6" i="80" l="1"/>
  <c r="N30" i="30"/>
  <c r="N13" i="30"/>
  <c r="N24" i="30"/>
  <c r="N8" i="30"/>
  <c r="N19" i="30"/>
  <c r="N15" i="30"/>
  <c r="N14" i="30"/>
  <c r="N9" i="30"/>
  <c r="D10" i="30"/>
  <c r="D8" i="29"/>
  <c r="D70" i="25" l="1"/>
  <c r="D46" i="25" l="1"/>
  <c r="D42" i="25"/>
  <c r="D40" i="25"/>
  <c r="D29" i="25"/>
  <c r="D17" i="25"/>
  <c r="D16" i="25"/>
  <c r="Z40" i="3" l="1"/>
  <c r="S22" i="35" l="1"/>
  <c r="K22" i="35"/>
  <c r="L22" i="35" s="1"/>
  <c r="P22" i="35" s="1"/>
  <c r="F22" i="35"/>
  <c r="S21" i="35"/>
  <c r="K21" i="35"/>
  <c r="L21" i="35" s="1"/>
  <c r="F21" i="35"/>
  <c r="E23" i="35"/>
  <c r="H23" i="35"/>
  <c r="I23" i="35"/>
  <c r="J23" i="35"/>
  <c r="N23" i="35"/>
  <c r="Q23" i="35"/>
  <c r="R23" i="35"/>
  <c r="W23" i="35"/>
  <c r="X23" i="35"/>
  <c r="Y23" i="35"/>
  <c r="Z23" i="35"/>
  <c r="S18" i="33"/>
  <c r="N18" i="33"/>
  <c r="K18" i="33"/>
  <c r="L18" i="33" s="1"/>
  <c r="F18" i="33"/>
  <c r="S17" i="33"/>
  <c r="N17" i="33"/>
  <c r="K17" i="33"/>
  <c r="L17" i="33" s="1"/>
  <c r="F17" i="33"/>
  <c r="S16" i="33"/>
  <c r="K16" i="33"/>
  <c r="L16" i="33" s="1"/>
  <c r="P16" i="33" s="1"/>
  <c r="F16" i="33"/>
  <c r="E19" i="33"/>
  <c r="H19" i="33"/>
  <c r="I19" i="33"/>
  <c r="J19" i="33"/>
  <c r="Q19" i="33"/>
  <c r="R19" i="33"/>
  <c r="W19" i="33"/>
  <c r="X19" i="33"/>
  <c r="Y19" i="33"/>
  <c r="Z19" i="33"/>
  <c r="E16" i="77" s="1"/>
  <c r="D19" i="33"/>
  <c r="S17" i="31"/>
  <c r="N17" i="31"/>
  <c r="K17" i="31"/>
  <c r="L17" i="31" s="1"/>
  <c r="F17" i="31"/>
  <c r="E18" i="31"/>
  <c r="G18" i="31"/>
  <c r="H18" i="31"/>
  <c r="I18" i="31"/>
  <c r="J18" i="31"/>
  <c r="Q18" i="31"/>
  <c r="R18" i="31"/>
  <c r="V18" i="31"/>
  <c r="X18" i="31"/>
  <c r="Y18" i="31"/>
  <c r="Z18" i="31"/>
  <c r="R38" i="32"/>
  <c r="S38" i="32" s="1"/>
  <c r="K38" i="32"/>
  <c r="L38" i="32" s="1"/>
  <c r="F38" i="32"/>
  <c r="R37" i="32"/>
  <c r="S37" i="32" s="1"/>
  <c r="K37" i="32"/>
  <c r="L37" i="32" s="1"/>
  <c r="F37" i="32"/>
  <c r="R36" i="32"/>
  <c r="S36" i="32" s="1"/>
  <c r="K36" i="32"/>
  <c r="L36" i="32" s="1"/>
  <c r="F36" i="32"/>
  <c r="R35" i="32"/>
  <c r="S35" i="32" s="1"/>
  <c r="K35" i="32"/>
  <c r="L35" i="32" s="1"/>
  <c r="F35" i="32"/>
  <c r="R34" i="32"/>
  <c r="S34" i="32" s="1"/>
  <c r="K34" i="32"/>
  <c r="L34" i="32" s="1"/>
  <c r="F34" i="32"/>
  <c r="R33" i="32"/>
  <c r="S33" i="32" s="1"/>
  <c r="K33" i="32"/>
  <c r="L33" i="32" s="1"/>
  <c r="P33" i="32" s="1"/>
  <c r="D33" i="32"/>
  <c r="R32" i="32"/>
  <c r="S32" i="32" s="1"/>
  <c r="K32" i="32"/>
  <c r="L32" i="32" s="1"/>
  <c r="F32" i="32"/>
  <c r="S31" i="32"/>
  <c r="N31" i="32"/>
  <c r="N39" i="32" s="1"/>
  <c r="K31" i="32"/>
  <c r="L31" i="32" s="1"/>
  <c r="F31" i="32"/>
  <c r="E39" i="32"/>
  <c r="G39" i="32"/>
  <c r="H39" i="32"/>
  <c r="I39" i="32"/>
  <c r="J39" i="32"/>
  <c r="Q39" i="32"/>
  <c r="V39" i="32"/>
  <c r="X39" i="32"/>
  <c r="Y39" i="32"/>
  <c r="N8" i="26"/>
  <c r="S35" i="30"/>
  <c r="K35" i="30"/>
  <c r="L35" i="30" s="1"/>
  <c r="F35" i="30"/>
  <c r="S34" i="30"/>
  <c r="K34" i="30"/>
  <c r="L34" i="30" s="1"/>
  <c r="F34" i="30"/>
  <c r="S33" i="30"/>
  <c r="K33" i="30"/>
  <c r="L33" i="30" s="1"/>
  <c r="F33" i="30"/>
  <c r="S32" i="30"/>
  <c r="K32" i="30"/>
  <c r="L32" i="30" s="1"/>
  <c r="P32" i="30" s="1"/>
  <c r="F32" i="30"/>
  <c r="S31" i="30"/>
  <c r="K31" i="30"/>
  <c r="L31" i="30" s="1"/>
  <c r="F31" i="30"/>
  <c r="V30" i="30"/>
  <c r="S30" i="30"/>
  <c r="K30" i="30"/>
  <c r="L30" i="30" s="1"/>
  <c r="F30" i="30"/>
  <c r="S29" i="30"/>
  <c r="N29" i="30"/>
  <c r="K29" i="30"/>
  <c r="L29" i="30" s="1"/>
  <c r="F29" i="30"/>
  <c r="S28" i="30"/>
  <c r="K28" i="30"/>
  <c r="L28" i="30" s="1"/>
  <c r="F28" i="30"/>
  <c r="G36" i="30"/>
  <c r="H36" i="30"/>
  <c r="I36" i="30"/>
  <c r="J36" i="30"/>
  <c r="Q36" i="30"/>
  <c r="X36" i="30"/>
  <c r="Y36" i="30"/>
  <c r="Z36" i="30"/>
  <c r="E17" i="73" s="1"/>
  <c r="S24" i="28"/>
  <c r="P24" i="28"/>
  <c r="N24" i="28"/>
  <c r="F24" i="28"/>
  <c r="S23" i="28"/>
  <c r="P23" i="28"/>
  <c r="F23" i="28"/>
  <c r="E25" i="28"/>
  <c r="H25" i="28"/>
  <c r="I25" i="28"/>
  <c r="J25" i="28"/>
  <c r="Q25" i="28"/>
  <c r="R25" i="28"/>
  <c r="V25" i="28"/>
  <c r="X25" i="28"/>
  <c r="Y25" i="28"/>
  <c r="Z25" i="28"/>
  <c r="E15" i="72" s="1"/>
  <c r="U10" i="27"/>
  <c r="W10" i="27" s="1"/>
  <c r="O10" i="27"/>
  <c r="F10" i="27"/>
  <c r="E11" i="27"/>
  <c r="G11" i="27"/>
  <c r="H11" i="27"/>
  <c r="I11" i="27"/>
  <c r="J11" i="27"/>
  <c r="N11" i="27"/>
  <c r="Q11" i="27"/>
  <c r="R11" i="27"/>
  <c r="V11" i="27"/>
  <c r="X11" i="27"/>
  <c r="Y11" i="27"/>
  <c r="Z11" i="27"/>
  <c r="D11" i="27"/>
  <c r="U76" i="26"/>
  <c r="O76" i="26"/>
  <c r="F76" i="26"/>
  <c r="U74" i="26"/>
  <c r="W74" i="26" s="1"/>
  <c r="W82" i="85" s="1"/>
  <c r="W83" i="85" s="1"/>
  <c r="U11" i="97" s="1"/>
  <c r="O74" i="26"/>
  <c r="F74" i="26"/>
  <c r="U73" i="26"/>
  <c r="W73" i="26" s="1"/>
  <c r="W61" i="85" s="1"/>
  <c r="O73" i="26"/>
  <c r="F73" i="26"/>
  <c r="N72" i="26"/>
  <c r="U72" i="26" s="1"/>
  <c r="F72" i="26"/>
  <c r="E77" i="26"/>
  <c r="H77" i="26"/>
  <c r="I77" i="26"/>
  <c r="J77" i="26"/>
  <c r="R77" i="26"/>
  <c r="X77" i="26"/>
  <c r="Y77" i="26"/>
  <c r="U88" i="3"/>
  <c r="V88" i="3" s="1"/>
  <c r="O88" i="3"/>
  <c r="F88" i="3"/>
  <c r="U87" i="3"/>
  <c r="V87" i="3" s="1"/>
  <c r="O87" i="3"/>
  <c r="F87" i="3"/>
  <c r="U86" i="3"/>
  <c r="V86" i="3" s="1"/>
  <c r="O86" i="3"/>
  <c r="F86" i="3"/>
  <c r="U85" i="3"/>
  <c r="V85" i="3" s="1"/>
  <c r="O85" i="3"/>
  <c r="F85" i="3"/>
  <c r="N84" i="3"/>
  <c r="U84" i="3" s="1"/>
  <c r="V84" i="3" s="1"/>
  <c r="K84" i="3"/>
  <c r="L84" i="3" s="1"/>
  <c r="F84" i="3"/>
  <c r="U83" i="3"/>
  <c r="V83" i="3" s="1"/>
  <c r="K83" i="3"/>
  <c r="L83" i="3" s="1"/>
  <c r="F83" i="3"/>
  <c r="S82" i="3"/>
  <c r="N82" i="3"/>
  <c r="U82" i="3" s="1"/>
  <c r="V82" i="3" s="1"/>
  <c r="K82" i="3"/>
  <c r="L82" i="3" s="1"/>
  <c r="F82" i="3"/>
  <c r="H94" i="3"/>
  <c r="I94" i="3"/>
  <c r="J94" i="3"/>
  <c r="W94" i="3"/>
  <c r="X94" i="3"/>
  <c r="Y94" i="3"/>
  <c r="P21" i="35" l="1"/>
  <c r="M22" i="35"/>
  <c r="O22" i="35" s="1"/>
  <c r="P17" i="33"/>
  <c r="P18" i="33"/>
  <c r="M16" i="33"/>
  <c r="T16" i="33" s="1"/>
  <c r="U16" i="33" s="1"/>
  <c r="V16" i="33" s="1"/>
  <c r="P17" i="31"/>
  <c r="P31" i="32"/>
  <c r="M33" i="32"/>
  <c r="T33" i="32" s="1"/>
  <c r="U33" i="32" s="1"/>
  <c r="Z33" i="32" s="1"/>
  <c r="P34" i="32"/>
  <c r="P35" i="32"/>
  <c r="P36" i="32"/>
  <c r="P37" i="32"/>
  <c r="P38" i="32"/>
  <c r="P32" i="32"/>
  <c r="D39" i="32"/>
  <c r="F33" i="32"/>
  <c r="R39" i="32"/>
  <c r="P33" i="30"/>
  <c r="P31" i="30"/>
  <c r="M32" i="30"/>
  <c r="O32" i="30" s="1"/>
  <c r="P28" i="30"/>
  <c r="P34" i="30"/>
  <c r="P35" i="30"/>
  <c r="P29" i="30"/>
  <c r="P30" i="30"/>
  <c r="M24" i="28"/>
  <c r="T24" i="28" s="1"/>
  <c r="U24" i="28" s="1"/>
  <c r="W24" i="28" s="1"/>
  <c r="M23" i="28"/>
  <c r="O23" i="28" s="1"/>
  <c r="W76" i="26"/>
  <c r="W68" i="85" s="1"/>
  <c r="W72" i="26"/>
  <c r="W60" i="85" s="1"/>
  <c r="O72" i="26"/>
  <c r="P82" i="3"/>
  <c r="M82" i="3" s="1"/>
  <c r="O82" i="3" s="1"/>
  <c r="P83" i="3"/>
  <c r="M83" i="3" s="1"/>
  <c r="O83" i="3" s="1"/>
  <c r="P84" i="3"/>
  <c r="M84" i="3" s="1"/>
  <c r="O84" i="3" s="1"/>
  <c r="O24" i="28" l="1"/>
  <c r="T22" i="35"/>
  <c r="U22" i="35" s="1"/>
  <c r="V22" i="35" s="1"/>
  <c r="M21" i="35"/>
  <c r="O21" i="35" s="1"/>
  <c r="O16" i="33"/>
  <c r="M18" i="33"/>
  <c r="O18" i="33" s="1"/>
  <c r="M17" i="33"/>
  <c r="O17" i="33" s="1"/>
  <c r="M17" i="31"/>
  <c r="O17" i="31" s="1"/>
  <c r="O33" i="32"/>
  <c r="M38" i="32"/>
  <c r="O38" i="32" s="1"/>
  <c r="M36" i="32"/>
  <c r="O36" i="32" s="1"/>
  <c r="M34" i="32"/>
  <c r="O34" i="32" s="1"/>
  <c r="M31" i="32"/>
  <c r="O31" i="32" s="1"/>
  <c r="M32" i="32"/>
  <c r="O32" i="32" s="1"/>
  <c r="M37" i="32"/>
  <c r="O37" i="32" s="1"/>
  <c r="M35" i="32"/>
  <c r="O35" i="32" s="1"/>
  <c r="M29" i="30"/>
  <c r="O29" i="30" s="1"/>
  <c r="M34" i="30"/>
  <c r="O34" i="30" s="1"/>
  <c r="M35" i="30"/>
  <c r="O35" i="30" s="1"/>
  <c r="T32" i="30"/>
  <c r="U32" i="30" s="1"/>
  <c r="W32" i="30" s="1"/>
  <c r="M28" i="30"/>
  <c r="O28" i="30" s="1"/>
  <c r="M31" i="30"/>
  <c r="O31" i="30" s="1"/>
  <c r="M33" i="30"/>
  <c r="O33" i="30" s="1"/>
  <c r="M30" i="30"/>
  <c r="O30" i="30" s="1"/>
  <c r="T23" i="28"/>
  <c r="U23" i="28" s="1"/>
  <c r="W23" i="28" s="1"/>
  <c r="T21" i="35" l="1"/>
  <c r="U21" i="35" s="1"/>
  <c r="V21" i="35" s="1"/>
  <c r="T17" i="33"/>
  <c r="U17" i="33" s="1"/>
  <c r="V17" i="33" s="1"/>
  <c r="T18" i="33"/>
  <c r="U18" i="33" s="1"/>
  <c r="V18" i="33" s="1"/>
  <c r="T17" i="31"/>
  <c r="U17" i="31" s="1"/>
  <c r="W17" i="31" s="1"/>
  <c r="T31" i="32"/>
  <c r="U31" i="32" s="1"/>
  <c r="W31" i="32" s="1"/>
  <c r="W31" i="90" s="1"/>
  <c r="T32" i="32"/>
  <c r="U32" i="32" s="1"/>
  <c r="Z32" i="32" s="1"/>
  <c r="T35" i="32"/>
  <c r="U35" i="32" s="1"/>
  <c r="Z35" i="32" s="1"/>
  <c r="T34" i="32"/>
  <c r="U34" i="32" s="1"/>
  <c r="Z34" i="32" s="1"/>
  <c r="T38" i="32"/>
  <c r="U38" i="32" s="1"/>
  <c r="Z38" i="32" s="1"/>
  <c r="T37" i="32"/>
  <c r="U37" i="32" s="1"/>
  <c r="Z37" i="32" s="1"/>
  <c r="T36" i="32"/>
  <c r="U36" i="32" s="1"/>
  <c r="Z36" i="32" s="1"/>
  <c r="T29" i="30"/>
  <c r="U29" i="30" s="1"/>
  <c r="V29" i="30" s="1"/>
  <c r="T35" i="30"/>
  <c r="U35" i="30" s="1"/>
  <c r="W35" i="30" s="1"/>
  <c r="T33" i="30"/>
  <c r="U33" i="30" s="1"/>
  <c r="W33" i="30" s="1"/>
  <c r="T28" i="30"/>
  <c r="U28" i="30" s="1"/>
  <c r="V28" i="30" s="1"/>
  <c r="T34" i="30"/>
  <c r="U34" i="30" s="1"/>
  <c r="W34" i="30" s="1"/>
  <c r="T30" i="30"/>
  <c r="U30" i="30" s="1"/>
  <c r="W30" i="30" s="1"/>
  <c r="T31" i="30"/>
  <c r="U31" i="30" s="1"/>
  <c r="W31" i="30" s="1"/>
  <c r="W33" i="89" s="1"/>
  <c r="W35" i="89" s="1"/>
  <c r="Z39" i="32" l="1"/>
  <c r="O12" i="44" l="1"/>
  <c r="O16" i="44" s="1"/>
  <c r="E16" i="75"/>
  <c r="F81" i="25"/>
  <c r="K81" i="25"/>
  <c r="L81" i="25"/>
  <c r="N81" i="25"/>
  <c r="S81" i="25"/>
  <c r="F82" i="25"/>
  <c r="K82" i="25"/>
  <c r="L82" i="25" s="1"/>
  <c r="S82" i="25"/>
  <c r="E83" i="25"/>
  <c r="G83" i="25"/>
  <c r="H83" i="25"/>
  <c r="I83" i="25"/>
  <c r="J83" i="25"/>
  <c r="Q83" i="25"/>
  <c r="R83" i="25"/>
  <c r="W83" i="25"/>
  <c r="X83" i="25"/>
  <c r="Y83" i="25"/>
  <c r="Z83" i="25"/>
  <c r="N57" i="25"/>
  <c r="U57" i="25" s="1"/>
  <c r="V57" i="25" s="1"/>
  <c r="F57" i="25"/>
  <c r="O56" i="25"/>
  <c r="F56" i="25"/>
  <c r="N55" i="25"/>
  <c r="U55" i="25" s="1"/>
  <c r="V55" i="25" s="1"/>
  <c r="F55" i="25"/>
  <c r="N54" i="25"/>
  <c r="O54" i="25" s="1"/>
  <c r="F54" i="25"/>
  <c r="U53" i="25"/>
  <c r="V53" i="25" s="1"/>
  <c r="O53" i="25"/>
  <c r="F53" i="25"/>
  <c r="N52" i="25"/>
  <c r="U52" i="25" s="1"/>
  <c r="V52" i="25" s="1"/>
  <c r="F52" i="25"/>
  <c r="U56" i="25" l="1"/>
  <c r="V56" i="25" s="1"/>
  <c r="O52" i="25"/>
  <c r="P81" i="25"/>
  <c r="M81" i="25" s="1"/>
  <c r="O81" i="25" s="1"/>
  <c r="P82" i="25"/>
  <c r="U54" i="25"/>
  <c r="V54" i="25" s="1"/>
  <c r="O55" i="25"/>
  <c r="O57" i="25"/>
  <c r="T81" i="25" l="1"/>
  <c r="U81" i="25" s="1"/>
  <c r="V81" i="25" s="1"/>
  <c r="M82" i="25"/>
  <c r="O82" i="25" s="1"/>
  <c r="D17" i="28"/>
  <c r="D61" i="26"/>
  <c r="T82" i="25" l="1"/>
  <c r="U82" i="25" s="1"/>
  <c r="V82" i="25" s="1"/>
  <c r="W8" i="37"/>
  <c r="N6" i="33" l="1"/>
  <c r="N19" i="33" s="1"/>
  <c r="N16" i="31"/>
  <c r="N22" i="30" l="1"/>
  <c r="N17" i="28"/>
  <c r="N16" i="28"/>
  <c r="N36" i="30" l="1"/>
  <c r="N25" i="28"/>
  <c r="N61" i="26" l="1"/>
  <c r="N41" i="26"/>
  <c r="N66" i="26"/>
  <c r="N19" i="26" l="1"/>
  <c r="N79" i="3" l="1"/>
  <c r="N55" i="3"/>
  <c r="N36" i="3"/>
  <c r="N30" i="3"/>
  <c r="N18" i="3"/>
  <c r="N14" i="3"/>
  <c r="Z10" i="3"/>
  <c r="N7" i="44" s="1"/>
  <c r="N6" i="3"/>
  <c r="N89" i="25" l="1"/>
  <c r="N86" i="25"/>
  <c r="N63" i="25"/>
  <c r="N61" i="25"/>
  <c r="N43" i="25"/>
  <c r="N11" i="25"/>
  <c r="N100" i="25" l="1"/>
  <c r="N99" i="25"/>
  <c r="N78" i="25"/>
  <c r="N35" i="25"/>
  <c r="N33" i="25"/>
  <c r="N27" i="25"/>
  <c r="N24" i="25"/>
  <c r="N23" i="25"/>
  <c r="N10" i="25"/>
  <c r="C102" i="62" l="1"/>
  <c r="AN99" i="62" l="1"/>
  <c r="AN100" i="62" s="1"/>
  <c r="AN95" i="62"/>
  <c r="AN96" i="62" s="1"/>
  <c r="AN91" i="62"/>
  <c r="AN92" i="62" s="1"/>
  <c r="AN86" i="62"/>
  <c r="AN87" i="62"/>
  <c r="AN85" i="62"/>
  <c r="AN78" i="62"/>
  <c r="AN79" i="62"/>
  <c r="AN80" i="62"/>
  <c r="AN81" i="62"/>
  <c r="AN77" i="62"/>
  <c r="AN65" i="62"/>
  <c r="AN66" i="62"/>
  <c r="AN67" i="62"/>
  <c r="AN68" i="62"/>
  <c r="AN69" i="62"/>
  <c r="AN70" i="62"/>
  <c r="AN71" i="62"/>
  <c r="AN72" i="62"/>
  <c r="AN73" i="62"/>
  <c r="AN64" i="62"/>
  <c r="AN60" i="62"/>
  <c r="AN59" i="62"/>
  <c r="AN49" i="62"/>
  <c r="AN50" i="62"/>
  <c r="AN51" i="62"/>
  <c r="AN52" i="62"/>
  <c r="AN53" i="62"/>
  <c r="AN54" i="62"/>
  <c r="AN55" i="62"/>
  <c r="AN48" i="62"/>
  <c r="AN23" i="62"/>
  <c r="AN24" i="62"/>
  <c r="AN25" i="62"/>
  <c r="AN26" i="62"/>
  <c r="AN27" i="62"/>
  <c r="AN28" i="62"/>
  <c r="AN29" i="62"/>
  <c r="AN30" i="62"/>
  <c r="AN31" i="62"/>
  <c r="AN32" i="62"/>
  <c r="AN33" i="62"/>
  <c r="AN34" i="62"/>
  <c r="AN35" i="62"/>
  <c r="AN36" i="62"/>
  <c r="AN37" i="62"/>
  <c r="AN38" i="62"/>
  <c r="AN39" i="62"/>
  <c r="AN40" i="62"/>
  <c r="AN41" i="62"/>
  <c r="AN42" i="62"/>
  <c r="AN43" i="62"/>
  <c r="AN44" i="62"/>
  <c r="AN22" i="62"/>
  <c r="AN18" i="62"/>
  <c r="AN19" i="62" s="1"/>
  <c r="AN17" i="62"/>
  <c r="AP100" i="62"/>
  <c r="AO100" i="62"/>
  <c r="AP96" i="62"/>
  <c r="AO96" i="62"/>
  <c r="AP92" i="62"/>
  <c r="AO92" i="62"/>
  <c r="AP88" i="62"/>
  <c r="AO88" i="62"/>
  <c r="AP82" i="62"/>
  <c r="AO82" i="62"/>
  <c r="AP74" i="62"/>
  <c r="AP102" i="62" s="1"/>
  <c r="AO74" i="62"/>
  <c r="AP61" i="62"/>
  <c r="AO61" i="62"/>
  <c r="AN61" i="62"/>
  <c r="AP56" i="62"/>
  <c r="AO56" i="62"/>
  <c r="AP45" i="62"/>
  <c r="AO45" i="62"/>
  <c r="AO102" i="62" s="1"/>
  <c r="AP19" i="62"/>
  <c r="AO19" i="62"/>
  <c r="AP10" i="62"/>
  <c r="AN10" i="62"/>
  <c r="AP7" i="47"/>
  <c r="AS8" i="47"/>
  <c r="AP10" i="47"/>
  <c r="AR11" i="47"/>
  <c r="AS11" i="47"/>
  <c r="AU12" i="47"/>
  <c r="AQ13" i="47"/>
  <c r="AP14" i="47"/>
  <c r="AR14" i="47"/>
  <c r="AR17" i="47"/>
  <c r="AU17" i="47"/>
  <c r="BO10" i="59"/>
  <c r="BN10" i="59" s="1"/>
  <c r="BN9" i="59"/>
  <c r="BN11" i="59"/>
  <c r="BN12" i="59"/>
  <c r="BN13" i="59"/>
  <c r="BN14" i="59"/>
  <c r="BN15" i="59"/>
  <c r="BN16" i="59"/>
  <c r="BN17" i="59"/>
  <c r="BN8" i="59"/>
  <c r="BN7" i="59"/>
  <c r="BP8" i="58"/>
  <c r="BN6" i="58"/>
  <c r="BO9" i="58"/>
  <c r="AQ16" i="47" s="1"/>
  <c r="BN9" i="58"/>
  <c r="AP16" i="47" s="1"/>
  <c r="BP9" i="58"/>
  <c r="AR16" i="47" s="1"/>
  <c r="BN8" i="57"/>
  <c r="BN9" i="57"/>
  <c r="BN10" i="57"/>
  <c r="BN11" i="57"/>
  <c r="BN12" i="57"/>
  <c r="BN13" i="57"/>
  <c r="BN14" i="57"/>
  <c r="BN15" i="57"/>
  <c r="BN16" i="57"/>
  <c r="BN17" i="57"/>
  <c r="BN18" i="57"/>
  <c r="BN19" i="57"/>
  <c r="BN20" i="57"/>
  <c r="BN21" i="57"/>
  <c r="BN22" i="57"/>
  <c r="BN7" i="57"/>
  <c r="BN23" i="57" s="1"/>
  <c r="AP15" i="47" s="1"/>
  <c r="BP23" i="57"/>
  <c r="AR15" i="47" s="1"/>
  <c r="BO23" i="57"/>
  <c r="AQ15" i="47" s="1"/>
  <c r="BO8" i="56"/>
  <c r="BO9" i="56"/>
  <c r="BO10" i="56"/>
  <c r="BO11" i="56"/>
  <c r="BO12" i="56"/>
  <c r="BO13" i="56"/>
  <c r="BO14" i="56"/>
  <c r="BO15" i="56"/>
  <c r="BO16" i="56"/>
  <c r="BM17" i="56"/>
  <c r="BN17" i="56"/>
  <c r="BP17" i="56"/>
  <c r="BQ17" i="56"/>
  <c r="AS14" i="47" s="1"/>
  <c r="BS17" i="56"/>
  <c r="AU14" i="47" s="1"/>
  <c r="BO7" i="56"/>
  <c r="BN7" i="55"/>
  <c r="BN8" i="55"/>
  <c r="BN9" i="55"/>
  <c r="BN10" i="55"/>
  <c r="BN11" i="55"/>
  <c r="BN12" i="55"/>
  <c r="BN13" i="55"/>
  <c r="BN14" i="55"/>
  <c r="BN15" i="55"/>
  <c r="BN16" i="55"/>
  <c r="BN17" i="55"/>
  <c r="BN18" i="55"/>
  <c r="BN19" i="55"/>
  <c r="BN6" i="55"/>
  <c r="BP20" i="55"/>
  <c r="AR13" i="47" s="1"/>
  <c r="BO20" i="55"/>
  <c r="BM67" i="54"/>
  <c r="BN67" i="54"/>
  <c r="AP12" i="47" s="1"/>
  <c r="BP67" i="54"/>
  <c r="AR12" i="47" s="1"/>
  <c r="BQ67" i="54"/>
  <c r="AS12" i="47" s="1"/>
  <c r="BS67" i="54"/>
  <c r="BO58" i="54"/>
  <c r="BO59" i="54"/>
  <c r="BO60" i="54"/>
  <c r="BO61" i="54"/>
  <c r="BO62" i="54"/>
  <c r="BO63" i="54"/>
  <c r="BO64" i="54"/>
  <c r="BO65" i="54"/>
  <c r="BO66" i="54"/>
  <c r="BO57" i="54"/>
  <c r="BM54" i="54"/>
  <c r="BN54" i="54"/>
  <c r="AP11" i="47" s="1"/>
  <c r="BO54" i="54"/>
  <c r="AQ11" i="47" s="1"/>
  <c r="BP54" i="54"/>
  <c r="BQ54" i="54"/>
  <c r="BS54" i="54"/>
  <c r="AU11" i="47" s="1"/>
  <c r="BO32" i="54"/>
  <c r="BO33" i="54"/>
  <c r="BO34" i="54"/>
  <c r="BO35" i="54"/>
  <c r="BO36" i="54"/>
  <c r="BO37" i="54"/>
  <c r="BO38" i="54"/>
  <c r="BO39" i="54"/>
  <c r="BO40" i="54"/>
  <c r="BO41" i="54"/>
  <c r="BO42" i="54"/>
  <c r="BO43" i="54"/>
  <c r="BO44" i="54"/>
  <c r="BO45" i="54"/>
  <c r="BO46" i="54"/>
  <c r="BO47" i="54"/>
  <c r="BO48" i="54"/>
  <c r="BO49" i="54"/>
  <c r="BO50" i="54"/>
  <c r="BO51" i="54"/>
  <c r="BO52" i="54"/>
  <c r="BO53" i="54"/>
  <c r="BO31" i="54"/>
  <c r="BO29" i="53"/>
  <c r="BO30" i="53"/>
  <c r="BO31" i="53"/>
  <c r="BO32" i="53"/>
  <c r="BO33" i="53"/>
  <c r="BO34" i="53"/>
  <c r="BO35" i="53"/>
  <c r="BO36" i="53"/>
  <c r="BO37" i="53"/>
  <c r="BO38" i="53"/>
  <c r="BO39" i="53"/>
  <c r="BO40" i="53"/>
  <c r="BO41" i="53"/>
  <c r="BO42" i="53"/>
  <c r="BO28" i="53"/>
  <c r="BO8" i="54"/>
  <c r="BO9" i="54"/>
  <c r="BO10" i="54"/>
  <c r="BO11" i="54"/>
  <c r="BO12" i="54"/>
  <c r="BO13" i="54"/>
  <c r="BO14" i="54"/>
  <c r="BO15" i="54"/>
  <c r="BO16" i="54"/>
  <c r="BO17" i="54"/>
  <c r="BO18" i="54"/>
  <c r="BO19" i="54"/>
  <c r="BO20" i="54"/>
  <c r="BO21" i="54"/>
  <c r="BO22" i="54"/>
  <c r="BO23" i="54"/>
  <c r="BO24" i="54"/>
  <c r="BO25" i="54"/>
  <c r="BO26" i="54"/>
  <c r="BO27" i="54"/>
  <c r="BO7" i="54"/>
  <c r="BP28" i="54"/>
  <c r="AR10" i="47" s="1"/>
  <c r="BN28" i="54"/>
  <c r="BO8" i="53"/>
  <c r="BO9" i="53"/>
  <c r="BO10" i="53"/>
  <c r="BO11" i="53"/>
  <c r="BO12" i="53"/>
  <c r="BO13" i="53"/>
  <c r="BO14" i="53"/>
  <c r="BO15" i="53"/>
  <c r="BO16" i="53"/>
  <c r="BO17" i="53"/>
  <c r="BO18" i="53"/>
  <c r="BO19" i="53"/>
  <c r="BO20" i="53"/>
  <c r="BO21" i="53"/>
  <c r="BO22" i="53"/>
  <c r="BO23" i="53"/>
  <c r="BO24" i="53"/>
  <c r="BO7" i="53"/>
  <c r="BP43" i="53"/>
  <c r="BN43" i="53"/>
  <c r="BP25" i="53"/>
  <c r="BN25" i="53"/>
  <c r="BK11" i="52"/>
  <c r="BM11" i="52"/>
  <c r="BN11" i="52"/>
  <c r="AP8" i="47" s="1"/>
  <c r="BO11" i="52"/>
  <c r="AQ8" i="47" s="1"/>
  <c r="BP11" i="52"/>
  <c r="AR8" i="47" s="1"/>
  <c r="BQ11" i="52"/>
  <c r="BS11" i="52"/>
  <c r="AU8" i="47" s="1"/>
  <c r="BL8" i="52"/>
  <c r="BO8" i="52"/>
  <c r="BL9" i="52"/>
  <c r="BO9" i="52"/>
  <c r="BJ10" i="52"/>
  <c r="BR10" i="52" s="1"/>
  <c r="BL10" i="52"/>
  <c r="BO10" i="52"/>
  <c r="BO7" i="52"/>
  <c r="BO7" i="51"/>
  <c r="BO8" i="51"/>
  <c r="BO9" i="51"/>
  <c r="BO10" i="51"/>
  <c r="BO11" i="51"/>
  <c r="BO12" i="51"/>
  <c r="BO13" i="51"/>
  <c r="BO14" i="51"/>
  <c r="BO15" i="51"/>
  <c r="BO16" i="51"/>
  <c r="BO17" i="51"/>
  <c r="BO18" i="51"/>
  <c r="BO19" i="51"/>
  <c r="BO20" i="51"/>
  <c r="BO21" i="51"/>
  <c r="BO22" i="51"/>
  <c r="BO23" i="51"/>
  <c r="BO24" i="51"/>
  <c r="BO25" i="51"/>
  <c r="BO26" i="51"/>
  <c r="BO27" i="51"/>
  <c r="BO28" i="51"/>
  <c r="BO29" i="51"/>
  <c r="BO30" i="51"/>
  <c r="BO31" i="51"/>
  <c r="BO32" i="51"/>
  <c r="BO33" i="51"/>
  <c r="BO34" i="51"/>
  <c r="BO35" i="51"/>
  <c r="BO36" i="51"/>
  <c r="BO37" i="51"/>
  <c r="BO38" i="51"/>
  <c r="BO39" i="51"/>
  <c r="BO40" i="51"/>
  <c r="BO41" i="51"/>
  <c r="BO42" i="51"/>
  <c r="BO43" i="51"/>
  <c r="BO44" i="51"/>
  <c r="BO45" i="51"/>
  <c r="BO46" i="51"/>
  <c r="BO47" i="51"/>
  <c r="BO48" i="51"/>
  <c r="BO49" i="51"/>
  <c r="BO50" i="51"/>
  <c r="BO51" i="51"/>
  <c r="BO52" i="51"/>
  <c r="BO53" i="51"/>
  <c r="BO54" i="51"/>
  <c r="BO55" i="51"/>
  <c r="BO56" i="51"/>
  <c r="BO57" i="51"/>
  <c r="BO58" i="51"/>
  <c r="BO59" i="51"/>
  <c r="BO60" i="51"/>
  <c r="BO61" i="51"/>
  <c r="BO62" i="51"/>
  <c r="BO63" i="51"/>
  <c r="BO64" i="51"/>
  <c r="BO65" i="51"/>
  <c r="BO66" i="51"/>
  <c r="BO67" i="51"/>
  <c r="BO68" i="51"/>
  <c r="BO69" i="51"/>
  <c r="BO70" i="51"/>
  <c r="BO71" i="51"/>
  <c r="BO72" i="51"/>
  <c r="BO73" i="51"/>
  <c r="BO74" i="51"/>
  <c r="BO75" i="51"/>
  <c r="BO76" i="51"/>
  <c r="BO77" i="51"/>
  <c r="BO78" i="51"/>
  <c r="BO79" i="51"/>
  <c r="BO80" i="51"/>
  <c r="BO81" i="51"/>
  <c r="BO6" i="51"/>
  <c r="BP82" i="51"/>
  <c r="AR7" i="47" s="1"/>
  <c r="BN82" i="51"/>
  <c r="BS93" i="50"/>
  <c r="BN88" i="50"/>
  <c r="BN89" i="50"/>
  <c r="BN90" i="50"/>
  <c r="BN91" i="50"/>
  <c r="BN92" i="50"/>
  <c r="BN93" i="50"/>
  <c r="BN94" i="50"/>
  <c r="BN95" i="50"/>
  <c r="BN96" i="50"/>
  <c r="BN97" i="50"/>
  <c r="BN98" i="50"/>
  <c r="BN99" i="50"/>
  <c r="BN100" i="50"/>
  <c r="BN101" i="50"/>
  <c r="BN102" i="50"/>
  <c r="BN103" i="50"/>
  <c r="BN104" i="50"/>
  <c r="BN105" i="50"/>
  <c r="BN106" i="50"/>
  <c r="BN107" i="50"/>
  <c r="BN87" i="50"/>
  <c r="BS58" i="50"/>
  <c r="BS41" i="50"/>
  <c r="BS47" i="49"/>
  <c r="BO67" i="54" l="1"/>
  <c r="AQ12" i="47" s="1"/>
  <c r="AN56" i="62"/>
  <c r="AN82" i="62"/>
  <c r="BN20" i="55"/>
  <c r="AP13" i="47" s="1"/>
  <c r="BO17" i="56"/>
  <c r="AQ14" i="47" s="1"/>
  <c r="BO28" i="54"/>
  <c r="AQ10" i="47" s="1"/>
  <c r="BO43" i="53"/>
  <c r="BP45" i="53"/>
  <c r="AR9" i="47" s="1"/>
  <c r="BO82" i="51"/>
  <c r="AQ7" i="47" s="1"/>
  <c r="AN88" i="62"/>
  <c r="AN74" i="62"/>
  <c r="AN45" i="62"/>
  <c r="AN102" i="62" s="1"/>
  <c r="BO19" i="59"/>
  <c r="AQ17" i="47" s="1"/>
  <c r="BN45" i="53"/>
  <c r="AP9" i="47" s="1"/>
  <c r="BO25" i="53"/>
  <c r="BO45" i="53" s="1"/>
  <c r="AQ9" i="47" s="1"/>
  <c r="G6" i="37"/>
  <c r="Q6" i="37"/>
  <c r="G12" i="34"/>
  <c r="G10" i="34"/>
  <c r="G9" i="34"/>
  <c r="G7" i="34"/>
  <c r="G6" i="34"/>
  <c r="G14" i="33"/>
  <c r="G13" i="33"/>
  <c r="G13" i="29"/>
  <c r="G56" i="3"/>
  <c r="G27" i="3"/>
  <c r="G20" i="3"/>
  <c r="G17" i="3"/>
  <c r="G14" i="3"/>
  <c r="G115" i="3"/>
  <c r="G114" i="3"/>
  <c r="G113" i="3"/>
  <c r="G112" i="3"/>
  <c r="G111" i="3"/>
  <c r="G109" i="3"/>
  <c r="G97" i="3"/>
  <c r="Q97" i="3"/>
  <c r="G77" i="3"/>
  <c r="G65" i="3"/>
  <c r="G59" i="3"/>
  <c r="Q59" i="3"/>
  <c r="G48" i="3"/>
  <c r="G45" i="3"/>
  <c r="G37" i="3"/>
  <c r="G36" i="3"/>
  <c r="G32" i="3"/>
  <c r="G21" i="3"/>
  <c r="G16" i="3"/>
  <c r="G13" i="3"/>
  <c r="G9" i="3"/>
  <c r="G19" i="25"/>
  <c r="G51" i="25"/>
  <c r="G94" i="3" l="1"/>
  <c r="BN7" i="50"/>
  <c r="BN8" i="50"/>
  <c r="BN9" i="50"/>
  <c r="BN10" i="50"/>
  <c r="BN11" i="50"/>
  <c r="BN12" i="50"/>
  <c r="BN13" i="50"/>
  <c r="BN14" i="50"/>
  <c r="BN15" i="50"/>
  <c r="BN16" i="50"/>
  <c r="BN17" i="50"/>
  <c r="BN18" i="50"/>
  <c r="BN19" i="50"/>
  <c r="BN20" i="50"/>
  <c r="BN21" i="50"/>
  <c r="BN22" i="50"/>
  <c r="BN23" i="50"/>
  <c r="BN24" i="50"/>
  <c r="BN25" i="50"/>
  <c r="BN26" i="50"/>
  <c r="BN27" i="50"/>
  <c r="BN28" i="50"/>
  <c r="BN29" i="50"/>
  <c r="BN30" i="50"/>
  <c r="BN31" i="50"/>
  <c r="BN32" i="50"/>
  <c r="BN33" i="50"/>
  <c r="BN34" i="50"/>
  <c r="BN35" i="50"/>
  <c r="BN36" i="50"/>
  <c r="BN37" i="50"/>
  <c r="BN38" i="50"/>
  <c r="BN39" i="50"/>
  <c r="BN40" i="50"/>
  <c r="BN41" i="50"/>
  <c r="BN42" i="50"/>
  <c r="BN43" i="50"/>
  <c r="BN44" i="50"/>
  <c r="BN45" i="50"/>
  <c r="BN46" i="50"/>
  <c r="BN47" i="50"/>
  <c r="BN48" i="50"/>
  <c r="BN49" i="50"/>
  <c r="BN50" i="50"/>
  <c r="BN51" i="50"/>
  <c r="BN52" i="50"/>
  <c r="BN53" i="50"/>
  <c r="BN54" i="50"/>
  <c r="BN55" i="50"/>
  <c r="BN56" i="50"/>
  <c r="BN57" i="50"/>
  <c r="BN58" i="50"/>
  <c r="BN59" i="50"/>
  <c r="BN60" i="50"/>
  <c r="BN61" i="50"/>
  <c r="BN62" i="50"/>
  <c r="BN63" i="50"/>
  <c r="BN64" i="50"/>
  <c r="BN65" i="50"/>
  <c r="BN66" i="50"/>
  <c r="BN67" i="50"/>
  <c r="BN68" i="50"/>
  <c r="BN69" i="50"/>
  <c r="BN70" i="50"/>
  <c r="BN71" i="50"/>
  <c r="BN72" i="50"/>
  <c r="BN73" i="50"/>
  <c r="BN74" i="50"/>
  <c r="BN75" i="50"/>
  <c r="BN76" i="50"/>
  <c r="BN77" i="50"/>
  <c r="BN78" i="50"/>
  <c r="BN79" i="50"/>
  <c r="BN80" i="50"/>
  <c r="BN81" i="50"/>
  <c r="BN82" i="50"/>
  <c r="BN83" i="50"/>
  <c r="BN6" i="50"/>
  <c r="BN84" i="50" s="1"/>
  <c r="BO108" i="50"/>
  <c r="BO84" i="50"/>
  <c r="BP84" i="50"/>
  <c r="BN105" i="49"/>
  <c r="BN106" i="49"/>
  <c r="BN107" i="49"/>
  <c r="BN108" i="49"/>
  <c r="BN109" i="49"/>
  <c r="BN110" i="49"/>
  <c r="BN111" i="49"/>
  <c r="BN112" i="49"/>
  <c r="BN113" i="49"/>
  <c r="BN114" i="49"/>
  <c r="BN115" i="49"/>
  <c r="BN116" i="49"/>
  <c r="BN117" i="49"/>
  <c r="BN118" i="49"/>
  <c r="BN119" i="49"/>
  <c r="BN104" i="49"/>
  <c r="BN77" i="49"/>
  <c r="BN78" i="49"/>
  <c r="BN79" i="49"/>
  <c r="BN80" i="49"/>
  <c r="BN81" i="49"/>
  <c r="BN82" i="49"/>
  <c r="BN83" i="49"/>
  <c r="BN84" i="49"/>
  <c r="BN85" i="49"/>
  <c r="BN86" i="49"/>
  <c r="BN87" i="49"/>
  <c r="BN88" i="49"/>
  <c r="BN89" i="49"/>
  <c r="BN90" i="49"/>
  <c r="BN91" i="49"/>
  <c r="BN92" i="49"/>
  <c r="BN93" i="49"/>
  <c r="BN94" i="49"/>
  <c r="BN95" i="49"/>
  <c r="BN96" i="49"/>
  <c r="BN97" i="49"/>
  <c r="BN98" i="49"/>
  <c r="BN99" i="49"/>
  <c r="BN100" i="49"/>
  <c r="BN76" i="49"/>
  <c r="BN8" i="49"/>
  <c r="BN9" i="49"/>
  <c r="BN10" i="49"/>
  <c r="BN11" i="49"/>
  <c r="BN12" i="49"/>
  <c r="BN13" i="49"/>
  <c r="BN14" i="49"/>
  <c r="BN15" i="49"/>
  <c r="BN16" i="49"/>
  <c r="BN17" i="49"/>
  <c r="BN18" i="49"/>
  <c r="BN19" i="49"/>
  <c r="BN20" i="49"/>
  <c r="BN21" i="49"/>
  <c r="BN22" i="49"/>
  <c r="BN23" i="49"/>
  <c r="BN24" i="49"/>
  <c r="BN25" i="49"/>
  <c r="BN26" i="49"/>
  <c r="BN27" i="49"/>
  <c r="BN28" i="49"/>
  <c r="BN29" i="49"/>
  <c r="BN30" i="49"/>
  <c r="BN31" i="49"/>
  <c r="BN32" i="49"/>
  <c r="BN33" i="49"/>
  <c r="BN34" i="49"/>
  <c r="BN35" i="49"/>
  <c r="BN36" i="49"/>
  <c r="BN37" i="49"/>
  <c r="BN38" i="49"/>
  <c r="BN39" i="49"/>
  <c r="BN40" i="49"/>
  <c r="BN41" i="49"/>
  <c r="BN42" i="49"/>
  <c r="BN43" i="49"/>
  <c r="BN44" i="49"/>
  <c r="BN45" i="49"/>
  <c r="BN46" i="49"/>
  <c r="BN47" i="49"/>
  <c r="BN48" i="49"/>
  <c r="BN49" i="49"/>
  <c r="BN50" i="49"/>
  <c r="BN51" i="49"/>
  <c r="BN52" i="49"/>
  <c r="BN53" i="49"/>
  <c r="BN54" i="49"/>
  <c r="BN55" i="49"/>
  <c r="BN56" i="49"/>
  <c r="BN57" i="49"/>
  <c r="BN58" i="49"/>
  <c r="BN59" i="49"/>
  <c r="BN60" i="49"/>
  <c r="BN61" i="49"/>
  <c r="BN62" i="49"/>
  <c r="BN63" i="49"/>
  <c r="BN64" i="49"/>
  <c r="BN65" i="49"/>
  <c r="BN66" i="49"/>
  <c r="BN67" i="49"/>
  <c r="BN68" i="49"/>
  <c r="BN69" i="49"/>
  <c r="BN70" i="49"/>
  <c r="BN71" i="49"/>
  <c r="BN72" i="49"/>
  <c r="BN7" i="49"/>
  <c r="BN73" i="49" s="1"/>
  <c r="BP120" i="49"/>
  <c r="BO120" i="49"/>
  <c r="BP101" i="49"/>
  <c r="BO101" i="49"/>
  <c r="BP73" i="49"/>
  <c r="BO73" i="49"/>
  <c r="BN101" i="49" l="1"/>
  <c r="BN120" i="49"/>
  <c r="BO110" i="50"/>
  <c r="AQ6" i="47" s="1"/>
  <c r="BN108" i="50"/>
  <c r="BN110" i="50" s="1"/>
  <c r="AP6" i="47" s="1"/>
  <c r="BP108" i="50"/>
  <c r="BP110" i="50" s="1"/>
  <c r="AR6" i="47" s="1"/>
  <c r="BN122" i="49"/>
  <c r="AP5" i="47" s="1"/>
  <c r="BO122" i="49"/>
  <c r="AQ5" i="47" s="1"/>
  <c r="AQ18" i="47" s="1"/>
  <c r="BP122" i="49"/>
  <c r="AR5" i="47" s="1"/>
  <c r="AR18" i="47" s="1"/>
  <c r="D11" i="31" l="1"/>
  <c r="D18" i="31" s="1"/>
  <c r="N11" i="31"/>
  <c r="N18" i="31" s="1"/>
  <c r="D6" i="44" l="1"/>
  <c r="N73" i="25" l="1"/>
  <c r="N71" i="25"/>
  <c r="D13" i="37"/>
  <c r="X14" i="37"/>
  <c r="V18" i="12" s="1"/>
  <c r="X9" i="36"/>
  <c r="V17" i="12" s="1"/>
  <c r="V16" i="12"/>
  <c r="X14" i="34"/>
  <c r="V15" i="12" s="1"/>
  <c r="V14" i="12"/>
  <c r="V13" i="12"/>
  <c r="V12" i="12"/>
  <c r="V11" i="12"/>
  <c r="X18" i="29"/>
  <c r="V10" i="12" s="1"/>
  <c r="V8" i="12"/>
  <c r="V7" i="12"/>
  <c r="X101" i="25"/>
  <c r="X58" i="25"/>
  <c r="W117" i="3"/>
  <c r="I7" i="44"/>
  <c r="W119" i="3" l="1"/>
  <c r="X103" i="25"/>
  <c r="V9" i="12"/>
  <c r="N61" i="3"/>
  <c r="D61" i="3"/>
  <c r="N34" i="3"/>
  <c r="N31" i="3"/>
  <c r="N15" i="3"/>
  <c r="U6" i="12" l="1"/>
  <c r="V5" i="12"/>
  <c r="N88" i="25"/>
  <c r="N76" i="25"/>
  <c r="N74" i="25"/>
  <c r="N68" i="25"/>
  <c r="D66" i="25"/>
  <c r="N66" i="25"/>
  <c r="N64" i="25"/>
  <c r="N50" i="25"/>
  <c r="N51" i="25"/>
  <c r="N47" i="25"/>
  <c r="N46" i="25"/>
  <c r="N44" i="25"/>
  <c r="N39" i="25"/>
  <c r="N29" i="25"/>
  <c r="N83" i="25" l="1"/>
  <c r="N32" i="25"/>
  <c r="N20" i="25"/>
  <c r="N19" i="25"/>
  <c r="N18" i="25"/>
  <c r="N17" i="25"/>
  <c r="N15" i="25"/>
  <c r="N13" i="25" l="1"/>
  <c r="N12" i="25"/>
  <c r="N9" i="25"/>
  <c r="N8" i="25"/>
  <c r="C18" i="38" l="1"/>
  <c r="N21" i="3"/>
  <c r="N41" i="25"/>
  <c r="N26" i="25" l="1"/>
  <c r="D13" i="25"/>
  <c r="S52" i="26" l="1"/>
  <c r="K52" i="26"/>
  <c r="L52" i="26" s="1"/>
  <c r="F52" i="26"/>
  <c r="P52" i="26" l="1"/>
  <c r="S38" i="25"/>
  <c r="K38" i="25"/>
  <c r="L38" i="25" s="1"/>
  <c r="P38" i="25" s="1"/>
  <c r="F38" i="25"/>
  <c r="M52" i="26" l="1"/>
  <c r="O52" i="26" s="1"/>
  <c r="M38" i="25"/>
  <c r="T38" i="25" s="1"/>
  <c r="U38" i="25" s="1"/>
  <c r="V38" i="25" s="1"/>
  <c r="O38" i="25" l="1"/>
  <c r="T52" i="26"/>
  <c r="U52" i="26" s="1"/>
  <c r="W52" i="26" s="1"/>
  <c r="AB52" i="26" s="1"/>
  <c r="AM88" i="62" l="1"/>
  <c r="AR88" i="62"/>
  <c r="AS88" i="62"/>
  <c r="I88" i="62"/>
  <c r="J88" i="62"/>
  <c r="M88" i="62"/>
  <c r="P88" i="62"/>
  <c r="Q88" i="62"/>
  <c r="R88" i="62"/>
  <c r="S88" i="62"/>
  <c r="T88" i="62"/>
  <c r="U88" i="62"/>
  <c r="V88" i="62"/>
  <c r="W88" i="62"/>
  <c r="X88" i="62"/>
  <c r="Y88" i="62"/>
  <c r="Z88" i="62"/>
  <c r="AA88" i="62"/>
  <c r="AB88" i="62"/>
  <c r="AC88" i="62"/>
  <c r="AD88" i="62"/>
  <c r="AE88" i="62"/>
  <c r="AF88" i="62"/>
  <c r="AH88" i="62"/>
  <c r="AG49" i="62"/>
  <c r="AI49" i="62" s="1"/>
  <c r="AK49" i="62" s="1"/>
  <c r="AG50" i="62"/>
  <c r="AG51" i="62"/>
  <c r="AG52" i="62"/>
  <c r="AG53" i="62"/>
  <c r="AI53" i="62" s="1"/>
  <c r="AK53" i="62" s="1"/>
  <c r="AG54" i="62"/>
  <c r="AI54" i="62" s="1"/>
  <c r="AK54" i="62" s="1"/>
  <c r="AG55" i="62"/>
  <c r="AI55" i="62" s="1"/>
  <c r="AK55" i="62" s="1"/>
  <c r="AG48" i="62"/>
  <c r="AI48" i="62" s="1"/>
  <c r="AK48" i="62" s="1"/>
  <c r="AG59" i="62"/>
  <c r="AI59" i="62" s="1"/>
  <c r="AK59" i="62" s="1"/>
  <c r="AG60" i="62"/>
  <c r="AI60" i="62" s="1"/>
  <c r="AK60" i="62" s="1"/>
  <c r="AI51" i="62"/>
  <c r="AK51" i="62" s="1"/>
  <c r="AI52" i="62"/>
  <c r="AK52" i="62" s="1"/>
  <c r="AM100" i="62"/>
  <c r="AL100" i="62"/>
  <c r="AM96" i="62"/>
  <c r="AM92" i="62"/>
  <c r="AM82" i="62"/>
  <c r="AM74" i="62"/>
  <c r="AL61" i="62"/>
  <c r="AM61" i="62"/>
  <c r="AM56" i="62"/>
  <c r="AL56" i="62"/>
  <c r="AL45" i="62"/>
  <c r="AM19" i="62"/>
  <c r="AL10" i="62"/>
  <c r="AM9" i="62"/>
  <c r="AM10" i="62" s="1"/>
  <c r="AK82" i="62"/>
  <c r="AK74" i="62"/>
  <c r="AJ10" i="62"/>
  <c r="AK9" i="62"/>
  <c r="AK10" i="62" s="1"/>
  <c r="AH100" i="62"/>
  <c r="AH96" i="62"/>
  <c r="AH92" i="62"/>
  <c r="AH82" i="62"/>
  <c r="AH61" i="62"/>
  <c r="AH19" i="62"/>
  <c r="AH10" i="62"/>
  <c r="AG56" i="62" l="1"/>
  <c r="AK61" i="62"/>
  <c r="AI50" i="62"/>
  <c r="AM45" i="62"/>
  <c r="AH74" i="62"/>
  <c r="AH56" i="62"/>
  <c r="AH45" i="62"/>
  <c r="AM102" i="62" l="1"/>
  <c r="F21" i="40" s="1"/>
  <c r="AH102" i="62"/>
  <c r="AK50" i="62"/>
  <c r="AK56" i="62" s="1"/>
  <c r="AM22" i="47" l="1"/>
  <c r="AM27" i="47"/>
  <c r="N49" i="25" l="1"/>
  <c r="D25" i="25" l="1"/>
  <c r="S7" i="37" l="1"/>
  <c r="S8" i="37"/>
  <c r="S9" i="37"/>
  <c r="S10" i="37"/>
  <c r="S11" i="37"/>
  <c r="S12" i="37"/>
  <c r="S13" i="37"/>
  <c r="BM9" i="59"/>
  <c r="BM10" i="59"/>
  <c r="BM11" i="59"/>
  <c r="BM12" i="59"/>
  <c r="BM13" i="59"/>
  <c r="BM15" i="59"/>
  <c r="BL19" i="59"/>
  <c r="BM7" i="59"/>
  <c r="BL6" i="58"/>
  <c r="BL9" i="58" s="1"/>
  <c r="AN16" i="47" s="1"/>
  <c r="BM23" i="57"/>
  <c r="AO15" i="47" s="1"/>
  <c r="BL23" i="57"/>
  <c r="AN15" i="47" s="1"/>
  <c r="BK17" i="56"/>
  <c r="AM14" i="47" s="1"/>
  <c r="AO14" i="47"/>
  <c r="BL20" i="55"/>
  <c r="AN13" i="47" s="1"/>
  <c r="BM20" i="55"/>
  <c r="AO13" i="47" s="1"/>
  <c r="BQ28" i="54"/>
  <c r="AS10" i="47" s="1"/>
  <c r="BK67" i="54"/>
  <c r="AM12" i="47" s="1"/>
  <c r="BK54" i="54"/>
  <c r="AM11" i="47" s="1"/>
  <c r="BK28" i="54"/>
  <c r="AM10" i="47" s="1"/>
  <c r="AO12" i="47"/>
  <c r="AO11" i="47"/>
  <c r="BM28" i="54"/>
  <c r="AO10" i="47" s="1"/>
  <c r="BM43" i="53"/>
  <c r="BM25" i="53"/>
  <c r="BK43" i="53"/>
  <c r="BK25" i="53"/>
  <c r="BQ43" i="53"/>
  <c r="BQ25" i="53"/>
  <c r="BM82" i="51"/>
  <c r="AO7" i="47" s="1"/>
  <c r="BK82" i="51"/>
  <c r="AM7" i="47" s="1"/>
  <c r="BQ82" i="51"/>
  <c r="AS7" i="47" s="1"/>
  <c r="BM108" i="50"/>
  <c r="BM84" i="50"/>
  <c r="BL108" i="50"/>
  <c r="BL84" i="50"/>
  <c r="BR120" i="49"/>
  <c r="BR101" i="49"/>
  <c r="BR73" i="49"/>
  <c r="BL119" i="49"/>
  <c r="BL118" i="49"/>
  <c r="BL117" i="49"/>
  <c r="BL116" i="49"/>
  <c r="BL115" i="49"/>
  <c r="BL114" i="49"/>
  <c r="BL113" i="49"/>
  <c r="BL112" i="49"/>
  <c r="BL111" i="49"/>
  <c r="BL110" i="49"/>
  <c r="BL109" i="49"/>
  <c r="BL108" i="49"/>
  <c r="BL107" i="49"/>
  <c r="BL106" i="49"/>
  <c r="BL105" i="49"/>
  <c r="BL104" i="49"/>
  <c r="BL100" i="49"/>
  <c r="BL99" i="49"/>
  <c r="BL98" i="49"/>
  <c r="BL97" i="49"/>
  <c r="BL96" i="49"/>
  <c r="BL95" i="49"/>
  <c r="BL94" i="49"/>
  <c r="BL93" i="49"/>
  <c r="BL92" i="49"/>
  <c r="BL91" i="49"/>
  <c r="BL90" i="49"/>
  <c r="BL89" i="49"/>
  <c r="BL88" i="49"/>
  <c r="BL87" i="49"/>
  <c r="BL86" i="49"/>
  <c r="BL85" i="49"/>
  <c r="BL84" i="49"/>
  <c r="BL83" i="49"/>
  <c r="BL82" i="49"/>
  <c r="BL81" i="49"/>
  <c r="BL80" i="49"/>
  <c r="BL79" i="49"/>
  <c r="BL78" i="49"/>
  <c r="BL77" i="49"/>
  <c r="BL76" i="49"/>
  <c r="BL72" i="49"/>
  <c r="BL71" i="49"/>
  <c r="BL70" i="49"/>
  <c r="BL69" i="49"/>
  <c r="BL68" i="49"/>
  <c r="BL67" i="49"/>
  <c r="BL66" i="49"/>
  <c r="BL65" i="49"/>
  <c r="BL64" i="49"/>
  <c r="BL63" i="49"/>
  <c r="BL62" i="49"/>
  <c r="BL61" i="49"/>
  <c r="BL60" i="49"/>
  <c r="BL59" i="49"/>
  <c r="BL58" i="49"/>
  <c r="BL57" i="49"/>
  <c r="BL56" i="49"/>
  <c r="BL55" i="49"/>
  <c r="BL54" i="49"/>
  <c r="BL53" i="49"/>
  <c r="BL52" i="49"/>
  <c r="BL51" i="49"/>
  <c r="BL50" i="49"/>
  <c r="BL49" i="49"/>
  <c r="BL48" i="49"/>
  <c r="BL46" i="49"/>
  <c r="BL45" i="49"/>
  <c r="BL44" i="49"/>
  <c r="BL43" i="49"/>
  <c r="BL42" i="49"/>
  <c r="BL41" i="49"/>
  <c r="BL40" i="49"/>
  <c r="BL39" i="49"/>
  <c r="BL38" i="49"/>
  <c r="BL37" i="49"/>
  <c r="BL36" i="49"/>
  <c r="BL35" i="49"/>
  <c r="BL34" i="49"/>
  <c r="BL33" i="49"/>
  <c r="BL32" i="49"/>
  <c r="BL31" i="49"/>
  <c r="BL30" i="49"/>
  <c r="BL29" i="49"/>
  <c r="BL28" i="49"/>
  <c r="BL27" i="49"/>
  <c r="BL26" i="49"/>
  <c r="BL25" i="49"/>
  <c r="BL24" i="49"/>
  <c r="BL23" i="49"/>
  <c r="BL22" i="49"/>
  <c r="BL21" i="49"/>
  <c r="BL20" i="49"/>
  <c r="BL19" i="49"/>
  <c r="BL18" i="49"/>
  <c r="BL17" i="49"/>
  <c r="BL16" i="49"/>
  <c r="BL15" i="49"/>
  <c r="BL14" i="49"/>
  <c r="BL13" i="49"/>
  <c r="BL12" i="49"/>
  <c r="BL11" i="49"/>
  <c r="BL10" i="49"/>
  <c r="BL9" i="49"/>
  <c r="BL8" i="49"/>
  <c r="BL7" i="49"/>
  <c r="W116" i="62"/>
  <c r="AS100" i="62"/>
  <c r="AR100" i="62"/>
  <c r="AF100" i="62"/>
  <c r="AE100" i="62"/>
  <c r="AD100" i="62"/>
  <c r="AC100" i="62"/>
  <c r="AB100" i="62"/>
  <c r="AA100" i="62"/>
  <c r="Z100" i="62"/>
  <c r="Y100" i="62"/>
  <c r="X100" i="62"/>
  <c r="W100" i="62"/>
  <c r="V100" i="62"/>
  <c r="U100" i="62"/>
  <c r="T100" i="62"/>
  <c r="S100" i="62"/>
  <c r="R100" i="62"/>
  <c r="Q100" i="62"/>
  <c r="P100" i="62"/>
  <c r="M100" i="62"/>
  <c r="J100" i="62"/>
  <c r="I100" i="62"/>
  <c r="H100" i="62"/>
  <c r="G100" i="62"/>
  <c r="F100" i="62"/>
  <c r="C100" i="62"/>
  <c r="AG99" i="62"/>
  <c r="L99" i="62"/>
  <c r="K99" i="62"/>
  <c r="K100" i="62" s="1"/>
  <c r="H99" i="62"/>
  <c r="AS96" i="62"/>
  <c r="AR96" i="62"/>
  <c r="AF96" i="62"/>
  <c r="AE96" i="62"/>
  <c r="AD96" i="62"/>
  <c r="AC96" i="62"/>
  <c r="AB96" i="62"/>
  <c r="AA96" i="62"/>
  <c r="Z96" i="62"/>
  <c r="Y96" i="62"/>
  <c r="X96" i="62"/>
  <c r="W96" i="62"/>
  <c r="V96" i="62"/>
  <c r="U96" i="62"/>
  <c r="T96" i="62"/>
  <c r="S96" i="62"/>
  <c r="R96" i="62"/>
  <c r="Q96" i="62"/>
  <c r="P96" i="62"/>
  <c r="M96" i="62"/>
  <c r="J96" i="62"/>
  <c r="I96" i="62"/>
  <c r="G96" i="62"/>
  <c r="F96" i="62"/>
  <c r="C96" i="62"/>
  <c r="AG95" i="62"/>
  <c r="AI95" i="62" s="1"/>
  <c r="AK95" i="62" s="1"/>
  <c r="L95" i="62"/>
  <c r="N95" i="62" s="1"/>
  <c r="K95" i="62"/>
  <c r="K96" i="62" s="1"/>
  <c r="H95" i="62"/>
  <c r="H96" i="62" s="1"/>
  <c r="AS92" i="62"/>
  <c r="AR92" i="62"/>
  <c r="AF92" i="62"/>
  <c r="AE92" i="62"/>
  <c r="AD92" i="62"/>
  <c r="AC92" i="62"/>
  <c r="AB92" i="62"/>
  <c r="AA92" i="62"/>
  <c r="Z92" i="62"/>
  <c r="Y92" i="62"/>
  <c r="X92" i="62"/>
  <c r="W92" i="62"/>
  <c r="V92" i="62"/>
  <c r="U92" i="62"/>
  <c r="T92" i="62"/>
  <c r="S92" i="62"/>
  <c r="R92" i="62"/>
  <c r="Q92" i="62"/>
  <c r="P92" i="62"/>
  <c r="M92" i="62"/>
  <c r="J92" i="62"/>
  <c r="I92" i="62"/>
  <c r="G92" i="62"/>
  <c r="F92" i="62"/>
  <c r="C92" i="62"/>
  <c r="AG91" i="62"/>
  <c r="AI91" i="62" s="1"/>
  <c r="AK91" i="62" s="1"/>
  <c r="AK92" i="62" s="1"/>
  <c r="L91" i="62"/>
  <c r="N91" i="62" s="1"/>
  <c r="K91" i="62"/>
  <c r="K92" i="62" s="1"/>
  <c r="H91" i="62"/>
  <c r="H92" i="62" s="1"/>
  <c r="G88" i="62"/>
  <c r="F88" i="62"/>
  <c r="AG87" i="62"/>
  <c r="AI87" i="62" s="1"/>
  <c r="AK87" i="62" s="1"/>
  <c r="AK88" i="62" s="1"/>
  <c r="L87" i="62"/>
  <c r="N87" i="62" s="1"/>
  <c r="K87" i="62"/>
  <c r="H87" i="62"/>
  <c r="AG86" i="62"/>
  <c r="AI86" i="62" s="1"/>
  <c r="L86" i="62"/>
  <c r="N86" i="62" s="1"/>
  <c r="O86" i="62" s="1"/>
  <c r="K86" i="62"/>
  <c r="H86" i="62"/>
  <c r="C86" i="62"/>
  <c r="C87" i="62" s="1"/>
  <c r="AG85" i="62"/>
  <c r="L85" i="62"/>
  <c r="L88" i="62" s="1"/>
  <c r="K85" i="62"/>
  <c r="H85" i="62"/>
  <c r="AS82" i="62"/>
  <c r="AF82" i="62"/>
  <c r="AE82" i="62"/>
  <c r="AD82" i="62"/>
  <c r="AC82" i="62"/>
  <c r="AB82" i="62"/>
  <c r="AA82" i="62"/>
  <c r="Z82" i="62"/>
  <c r="Y82" i="62"/>
  <c r="X82" i="62"/>
  <c r="W82" i="62"/>
  <c r="V82" i="62"/>
  <c r="U82" i="62"/>
  <c r="T82" i="62"/>
  <c r="S82" i="62"/>
  <c r="R82" i="62"/>
  <c r="Q82" i="62"/>
  <c r="P82" i="62"/>
  <c r="M82" i="62"/>
  <c r="J82" i="62"/>
  <c r="I82" i="62"/>
  <c r="G82" i="62"/>
  <c r="F82" i="62"/>
  <c r="AG81" i="62"/>
  <c r="AI81" i="62" s="1"/>
  <c r="AL81" i="62" s="1"/>
  <c r="L81" i="62"/>
  <c r="N81" i="62" s="1"/>
  <c r="K81" i="62"/>
  <c r="H81" i="62"/>
  <c r="AG80" i="62"/>
  <c r="AI80" i="62" s="1"/>
  <c r="AL80" i="62" s="1"/>
  <c r="L80" i="62"/>
  <c r="N80" i="62" s="1"/>
  <c r="K80" i="62"/>
  <c r="H80" i="62"/>
  <c r="AG79" i="62"/>
  <c r="AI79" i="62" s="1"/>
  <c r="AL79" i="62" s="1"/>
  <c r="L79" i="62"/>
  <c r="N79" i="62" s="1"/>
  <c r="K79" i="62"/>
  <c r="H79" i="62"/>
  <c r="AG78" i="62"/>
  <c r="AI78" i="62" s="1"/>
  <c r="L78" i="62"/>
  <c r="N78" i="62" s="1"/>
  <c r="O78" i="62" s="1"/>
  <c r="K78" i="62"/>
  <c r="H78" i="62"/>
  <c r="C78" i="62"/>
  <c r="C79" i="62" s="1"/>
  <c r="C80" i="62" s="1"/>
  <c r="C81" i="62" s="1"/>
  <c r="AR82" i="62"/>
  <c r="AG77" i="62"/>
  <c r="AI77" i="62" s="1"/>
  <c r="L77" i="62"/>
  <c r="N77" i="62" s="1"/>
  <c r="O77" i="62" s="1"/>
  <c r="K77" i="62"/>
  <c r="H77" i="62"/>
  <c r="AS74" i="62"/>
  <c r="AF74" i="62"/>
  <c r="AE74" i="62"/>
  <c r="AD74" i="62"/>
  <c r="AC74" i="62"/>
  <c r="AB74" i="62"/>
  <c r="AA74" i="62"/>
  <c r="Z74" i="62"/>
  <c r="Y74" i="62"/>
  <c r="X74" i="62"/>
  <c r="W74" i="62"/>
  <c r="V74" i="62"/>
  <c r="U74" i="62"/>
  <c r="T74" i="62"/>
  <c r="S74" i="62"/>
  <c r="R74" i="62"/>
  <c r="Q74" i="62"/>
  <c r="M74" i="62"/>
  <c r="J74" i="62"/>
  <c r="I74" i="62"/>
  <c r="G74" i="62"/>
  <c r="F74" i="62"/>
  <c r="AG73" i="62"/>
  <c r="AI73" i="62" s="1"/>
  <c r="AL73" i="62" s="1"/>
  <c r="L73" i="62"/>
  <c r="N73" i="62" s="1"/>
  <c r="K73" i="62"/>
  <c r="H73" i="62"/>
  <c r="AG72" i="62"/>
  <c r="L72" i="62"/>
  <c r="N72" i="62" s="1"/>
  <c r="K72" i="62"/>
  <c r="H72" i="62"/>
  <c r="AG71" i="62"/>
  <c r="AI71" i="62" s="1"/>
  <c r="AL71" i="62" s="1"/>
  <c r="L71" i="62"/>
  <c r="N71" i="62" s="1"/>
  <c r="K71" i="62"/>
  <c r="H71" i="62"/>
  <c r="AG70" i="62"/>
  <c r="AI70" i="62" s="1"/>
  <c r="AL70" i="62" s="1"/>
  <c r="L70" i="62"/>
  <c r="N70" i="62" s="1"/>
  <c r="K70" i="62"/>
  <c r="H70" i="62"/>
  <c r="AG69" i="62"/>
  <c r="AI69" i="62" s="1"/>
  <c r="AL69" i="62" s="1"/>
  <c r="L69" i="62"/>
  <c r="N69" i="62" s="1"/>
  <c r="O69" i="62" s="1"/>
  <c r="K69" i="62"/>
  <c r="H69" i="62"/>
  <c r="AG68" i="62"/>
  <c r="AI68" i="62" s="1"/>
  <c r="AL68" i="62" s="1"/>
  <c r="L68" i="62"/>
  <c r="N68" i="62" s="1"/>
  <c r="K68" i="62"/>
  <c r="H68" i="62"/>
  <c r="AG67" i="62"/>
  <c r="AI67" i="62" s="1"/>
  <c r="AL67" i="62" s="1"/>
  <c r="L67" i="62"/>
  <c r="N67" i="62" s="1"/>
  <c r="K67" i="62"/>
  <c r="H67" i="62"/>
  <c r="AG66" i="62"/>
  <c r="AI66" i="62" s="1"/>
  <c r="AL66" i="62" s="1"/>
  <c r="L66" i="62"/>
  <c r="N66" i="62" s="1"/>
  <c r="K66" i="62"/>
  <c r="H66" i="62"/>
  <c r="AG65" i="62"/>
  <c r="AI65" i="62" s="1"/>
  <c r="AL65" i="62" s="1"/>
  <c r="L65" i="62"/>
  <c r="N65" i="62" s="1"/>
  <c r="K65" i="62"/>
  <c r="H65" i="62"/>
  <c r="C65" i="62"/>
  <c r="C66" i="62" s="1"/>
  <c r="C67" i="62" s="1"/>
  <c r="C68" i="62" s="1"/>
  <c r="C69" i="62" s="1"/>
  <c r="C70" i="62" s="1"/>
  <c r="C71" i="62" s="1"/>
  <c r="C72" i="62" s="1"/>
  <c r="C73" i="62" s="1"/>
  <c r="AR74" i="62"/>
  <c r="AG64" i="62"/>
  <c r="AI64" i="62" s="1"/>
  <c r="L64" i="62"/>
  <c r="N64" i="62" s="1"/>
  <c r="K64" i="62"/>
  <c r="H64" i="62"/>
  <c r="AS61" i="62"/>
  <c r="AF61" i="62"/>
  <c r="AE61" i="62"/>
  <c r="AD61" i="62"/>
  <c r="AC61" i="62"/>
  <c r="AB61" i="62"/>
  <c r="AA61" i="62"/>
  <c r="Z61" i="62"/>
  <c r="Y61" i="62"/>
  <c r="X61" i="62"/>
  <c r="W61" i="62"/>
  <c r="V61" i="62"/>
  <c r="U61" i="62"/>
  <c r="T61" i="62"/>
  <c r="S61" i="62"/>
  <c r="R61" i="62"/>
  <c r="Q61" i="62"/>
  <c r="P61" i="62"/>
  <c r="M61" i="62"/>
  <c r="J61" i="62"/>
  <c r="I61" i="62"/>
  <c r="G61" i="62"/>
  <c r="F61" i="62"/>
  <c r="L60" i="62"/>
  <c r="K60" i="62"/>
  <c r="H60" i="62"/>
  <c r="AR61" i="62"/>
  <c r="AG61" i="62"/>
  <c r="L59" i="62"/>
  <c r="N59" i="62" s="1"/>
  <c r="K59" i="62"/>
  <c r="H59" i="62"/>
  <c r="C59" i="62"/>
  <c r="C60" i="62" s="1"/>
  <c r="C61" i="62" s="1"/>
  <c r="AS56" i="62"/>
  <c r="AR56" i="62"/>
  <c r="AF56" i="62"/>
  <c r="AE56" i="62"/>
  <c r="AD56" i="62"/>
  <c r="AC56" i="62"/>
  <c r="AB56" i="62"/>
  <c r="AA56" i="62"/>
  <c r="Z56" i="62"/>
  <c r="Y56" i="62"/>
  <c r="X56" i="62"/>
  <c r="W56" i="62"/>
  <c r="V56" i="62"/>
  <c r="U56" i="62"/>
  <c r="T56" i="62"/>
  <c r="S56" i="62"/>
  <c r="R56" i="62"/>
  <c r="Q56" i="62"/>
  <c r="P56" i="62"/>
  <c r="M56" i="62"/>
  <c r="J56" i="62"/>
  <c r="I56" i="62"/>
  <c r="G56" i="62"/>
  <c r="F56" i="62"/>
  <c r="L55" i="62"/>
  <c r="N55" i="62" s="1"/>
  <c r="K55" i="62"/>
  <c r="H55" i="62"/>
  <c r="L54" i="62"/>
  <c r="N54" i="62" s="1"/>
  <c r="K54" i="62"/>
  <c r="H54" i="62"/>
  <c r="L53" i="62"/>
  <c r="N53" i="62" s="1"/>
  <c r="K53" i="62"/>
  <c r="H53" i="62"/>
  <c r="L52" i="62"/>
  <c r="N52" i="62" s="1"/>
  <c r="K52" i="62"/>
  <c r="H52" i="62"/>
  <c r="L51" i="62"/>
  <c r="N51" i="62" s="1"/>
  <c r="K51" i="62"/>
  <c r="H51" i="62"/>
  <c r="L50" i="62"/>
  <c r="N50" i="62" s="1"/>
  <c r="K50" i="62"/>
  <c r="H50" i="62"/>
  <c r="L49" i="62"/>
  <c r="N49" i="62" s="1"/>
  <c r="K49" i="62"/>
  <c r="H49" i="62"/>
  <c r="C49" i="62"/>
  <c r="L48" i="62"/>
  <c r="N48" i="62" s="1"/>
  <c r="AJ48" i="62" s="1"/>
  <c r="AQ48" i="62" s="1"/>
  <c r="K48" i="62"/>
  <c r="H48" i="62"/>
  <c r="AF45" i="62"/>
  <c r="AE45" i="62"/>
  <c r="AD45" i="62"/>
  <c r="AC45" i="62"/>
  <c r="AB45" i="62"/>
  <c r="AA45" i="62"/>
  <c r="Z45" i="62"/>
  <c r="Y45" i="62"/>
  <c r="X45" i="62"/>
  <c r="V45" i="62"/>
  <c r="U45" i="62"/>
  <c r="T45" i="62"/>
  <c r="S45" i="62"/>
  <c r="R45" i="62"/>
  <c r="P45" i="62"/>
  <c r="M45" i="62"/>
  <c r="J45" i="62"/>
  <c r="G45" i="62"/>
  <c r="F45" i="62"/>
  <c r="AG44" i="62"/>
  <c r="AI44" i="62" s="1"/>
  <c r="AK44" i="62" s="1"/>
  <c r="L44" i="62"/>
  <c r="N44" i="62" s="1"/>
  <c r="K44" i="62"/>
  <c r="H44" i="62"/>
  <c r="W43" i="62"/>
  <c r="L43" i="62"/>
  <c r="N43" i="62" s="1"/>
  <c r="I43" i="62"/>
  <c r="K43" i="62" s="1"/>
  <c r="H43" i="62"/>
  <c r="AG42" i="62"/>
  <c r="AI42" i="62" s="1"/>
  <c r="AK42" i="62" s="1"/>
  <c r="L42" i="62"/>
  <c r="N42" i="62" s="1"/>
  <c r="K42" i="62"/>
  <c r="H42" i="62"/>
  <c r="AG41" i="62"/>
  <c r="AI41" i="62" s="1"/>
  <c r="AK41" i="62" s="1"/>
  <c r="L41" i="62"/>
  <c r="N41" i="62" s="1"/>
  <c r="K41" i="62"/>
  <c r="H41" i="62"/>
  <c r="AG40" i="62"/>
  <c r="AI40" i="62" s="1"/>
  <c r="AK40" i="62" s="1"/>
  <c r="L40" i="62"/>
  <c r="N40" i="62" s="1"/>
  <c r="K40" i="62"/>
  <c r="H40" i="62"/>
  <c r="AG39" i="62"/>
  <c r="AI39" i="62" s="1"/>
  <c r="AK39" i="62" s="1"/>
  <c r="L39" i="62"/>
  <c r="N39" i="62" s="1"/>
  <c r="I39" i="62"/>
  <c r="K39" i="62" s="1"/>
  <c r="H39" i="62"/>
  <c r="AG38" i="62"/>
  <c r="AI38" i="62" s="1"/>
  <c r="AK38" i="62" s="1"/>
  <c r="L38" i="62"/>
  <c r="N38" i="62" s="1"/>
  <c r="K38" i="62"/>
  <c r="H38" i="62"/>
  <c r="AG37" i="62"/>
  <c r="AI37" i="62" s="1"/>
  <c r="AK37" i="62" s="1"/>
  <c r="L37" i="62"/>
  <c r="N37" i="62" s="1"/>
  <c r="K37" i="62"/>
  <c r="H37" i="62"/>
  <c r="AG36" i="62"/>
  <c r="AI36" i="62" s="1"/>
  <c r="AK36" i="62" s="1"/>
  <c r="Q36" i="62"/>
  <c r="Q45" i="62" s="1"/>
  <c r="L36" i="62"/>
  <c r="N36" i="62" s="1"/>
  <c r="K36" i="62"/>
  <c r="H36" i="62"/>
  <c r="AG35" i="62"/>
  <c r="AI35" i="62" s="1"/>
  <c r="AK35" i="62" s="1"/>
  <c r="L35" i="62"/>
  <c r="N35" i="62" s="1"/>
  <c r="K35" i="62"/>
  <c r="H35" i="62"/>
  <c r="AG34" i="62"/>
  <c r="AI34" i="62" s="1"/>
  <c r="AK34" i="62" s="1"/>
  <c r="L34" i="62"/>
  <c r="N34" i="62" s="1"/>
  <c r="I34" i="62"/>
  <c r="K34" i="62" s="1"/>
  <c r="H34" i="62"/>
  <c r="AG33" i="62"/>
  <c r="AI33" i="62" s="1"/>
  <c r="AK33" i="62" s="1"/>
  <c r="L33" i="62"/>
  <c r="N33" i="62" s="1"/>
  <c r="K33" i="62"/>
  <c r="H33" i="62"/>
  <c r="AG32" i="62"/>
  <c r="AI32" i="62" s="1"/>
  <c r="AK32" i="62" s="1"/>
  <c r="L32" i="62"/>
  <c r="N32" i="62" s="1"/>
  <c r="K32" i="62"/>
  <c r="H32" i="62"/>
  <c r="AG31" i="62"/>
  <c r="AI31" i="62" s="1"/>
  <c r="AK31" i="62" s="1"/>
  <c r="L31" i="62"/>
  <c r="N31" i="62" s="1"/>
  <c r="K31" i="62"/>
  <c r="H31" i="62"/>
  <c r="AG30" i="62"/>
  <c r="AI30" i="62" s="1"/>
  <c r="AK30" i="62" s="1"/>
  <c r="L30" i="62"/>
  <c r="N30" i="62" s="1"/>
  <c r="O30" i="62" s="1"/>
  <c r="I30" i="62"/>
  <c r="H30" i="62"/>
  <c r="AS45" i="62"/>
  <c r="AG29" i="62"/>
  <c r="AI29" i="62" s="1"/>
  <c r="AK29" i="62" s="1"/>
  <c r="L29" i="62"/>
  <c r="N29" i="62" s="1"/>
  <c r="K29" i="62"/>
  <c r="H29" i="62"/>
  <c r="AR45" i="62"/>
  <c r="AG28" i="62"/>
  <c r="AI28" i="62" s="1"/>
  <c r="AK28" i="62" s="1"/>
  <c r="L28" i="62"/>
  <c r="N28" i="62" s="1"/>
  <c r="AJ28" i="62" s="1"/>
  <c r="AQ28" i="62" s="1"/>
  <c r="K28" i="62"/>
  <c r="H28" i="62"/>
  <c r="AG27" i="62"/>
  <c r="AI27" i="62" s="1"/>
  <c r="AK27" i="62" s="1"/>
  <c r="L27" i="62"/>
  <c r="N27" i="62" s="1"/>
  <c r="K27" i="62"/>
  <c r="H27" i="62"/>
  <c r="AG26" i="62"/>
  <c r="AI26" i="62" s="1"/>
  <c r="AK26" i="62" s="1"/>
  <c r="L26" i="62"/>
  <c r="N26" i="62" s="1"/>
  <c r="K26" i="62"/>
  <c r="H26" i="62"/>
  <c r="AG25" i="62"/>
  <c r="AI25" i="62" s="1"/>
  <c r="AK25" i="62" s="1"/>
  <c r="L25" i="62"/>
  <c r="N25" i="62" s="1"/>
  <c r="K25" i="62"/>
  <c r="H25" i="62"/>
  <c r="AG24" i="62"/>
  <c r="AI24" i="62" s="1"/>
  <c r="AK24" i="62" s="1"/>
  <c r="L24" i="62"/>
  <c r="N24" i="62" s="1"/>
  <c r="AJ24" i="62" s="1"/>
  <c r="AQ24" i="62" s="1"/>
  <c r="K24" i="62"/>
  <c r="H24" i="62"/>
  <c r="AG23" i="62"/>
  <c r="AI23" i="62" s="1"/>
  <c r="AK23" i="62" s="1"/>
  <c r="L23" i="62"/>
  <c r="N23" i="62" s="1"/>
  <c r="AJ23" i="62" s="1"/>
  <c r="AQ23" i="62" s="1"/>
  <c r="K23" i="62"/>
  <c r="H23" i="62"/>
  <c r="C23" i="62"/>
  <c r="AG22" i="62"/>
  <c r="AI22" i="62" s="1"/>
  <c r="AK22" i="62" s="1"/>
  <c r="L22" i="62"/>
  <c r="N22" i="62" s="1"/>
  <c r="K22" i="62"/>
  <c r="H22" i="62"/>
  <c r="AS19" i="62"/>
  <c r="AR19" i="62"/>
  <c r="AF19" i="62"/>
  <c r="AE19" i="62"/>
  <c r="AD19" i="62"/>
  <c r="AC19" i="62"/>
  <c r="AB19" i="62"/>
  <c r="AA19" i="62"/>
  <c r="Z19" i="62"/>
  <c r="Y19" i="62"/>
  <c r="X19" i="62"/>
  <c r="W19" i="62"/>
  <c r="V19" i="62"/>
  <c r="U19" i="62"/>
  <c r="T19" i="62"/>
  <c r="S19" i="62"/>
  <c r="R19" i="62"/>
  <c r="Q19" i="62"/>
  <c r="P19" i="62"/>
  <c r="M19" i="62"/>
  <c r="J19" i="62"/>
  <c r="I19" i="62"/>
  <c r="G19" i="62"/>
  <c r="F19" i="62"/>
  <c r="AL19" i="62"/>
  <c r="AG18" i="62"/>
  <c r="AI18" i="62" s="1"/>
  <c r="AK18" i="62" s="1"/>
  <c r="L18" i="62"/>
  <c r="N18" i="62" s="1"/>
  <c r="K18" i="62"/>
  <c r="H18" i="62"/>
  <c r="C18" i="62"/>
  <c r="C19" i="62" s="1"/>
  <c r="AG17" i="62"/>
  <c r="L17" i="62"/>
  <c r="N17" i="62" s="1"/>
  <c r="K17" i="62"/>
  <c r="H17" i="62"/>
  <c r="AS10" i="62"/>
  <c r="AQ10" i="62"/>
  <c r="AI10" i="62"/>
  <c r="AG10" i="62"/>
  <c r="AF10" i="62"/>
  <c r="AE10" i="62"/>
  <c r="AD10" i="62"/>
  <c r="AC10" i="62"/>
  <c r="AB10" i="62"/>
  <c r="AA10" i="62"/>
  <c r="Z10" i="62"/>
  <c r="Y10" i="62"/>
  <c r="X10" i="62"/>
  <c r="W10" i="62"/>
  <c r="V10" i="62"/>
  <c r="U10" i="62"/>
  <c r="T10" i="62"/>
  <c r="S10" i="62"/>
  <c r="R10" i="62"/>
  <c r="Q10" i="62"/>
  <c r="P10" i="62"/>
  <c r="M10" i="62"/>
  <c r="J10" i="62"/>
  <c r="I10" i="62"/>
  <c r="G10" i="62"/>
  <c r="F10" i="62"/>
  <c r="C10" i="62"/>
  <c r="AR9" i="62"/>
  <c r="AR10" i="62" s="1"/>
  <c r="L9" i="62"/>
  <c r="L10" i="62" s="1"/>
  <c r="K9" i="62"/>
  <c r="K10" i="62" s="1"/>
  <c r="H9" i="62"/>
  <c r="H10" i="62" s="1"/>
  <c r="G19" i="61"/>
  <c r="AR102" i="62" l="1"/>
  <c r="AS102" i="62"/>
  <c r="BL110" i="50"/>
  <c r="AN6" i="47" s="1"/>
  <c r="BL101" i="49"/>
  <c r="BL120" i="49"/>
  <c r="BR122" i="49"/>
  <c r="AT5" i="47" s="1"/>
  <c r="F102" i="62"/>
  <c r="Z102" i="62"/>
  <c r="AD102" i="62"/>
  <c r="AJ33" i="62"/>
  <c r="AQ33" i="62" s="1"/>
  <c r="AJ34" i="62"/>
  <c r="AQ34" i="62" s="1"/>
  <c r="U102" i="62"/>
  <c r="G102" i="62"/>
  <c r="R102" i="62"/>
  <c r="V102" i="62"/>
  <c r="AA102" i="62"/>
  <c r="AE102" i="62"/>
  <c r="Q102" i="62"/>
  <c r="J102" i="62"/>
  <c r="S102" i="62"/>
  <c r="X102" i="62"/>
  <c r="AB102" i="62"/>
  <c r="AF102" i="62"/>
  <c r="AJ18" i="62"/>
  <c r="AQ18" i="62" s="1"/>
  <c r="M102" i="62"/>
  <c r="T102" i="62"/>
  <c r="Y102" i="62"/>
  <c r="AC102" i="62"/>
  <c r="AJ80" i="62"/>
  <c r="AQ80" i="62" s="1"/>
  <c r="AG82" i="62"/>
  <c r="K88" i="62"/>
  <c r="L56" i="62"/>
  <c r="AJ39" i="62"/>
  <c r="AQ39" i="62" s="1"/>
  <c r="AJ40" i="62"/>
  <c r="AQ40" i="62" s="1"/>
  <c r="AJ65" i="62"/>
  <c r="AQ65" i="62" s="1"/>
  <c r="AJ66" i="62"/>
  <c r="AQ66" i="62" s="1"/>
  <c r="AG96" i="62"/>
  <c r="L92" i="62"/>
  <c r="H56" i="62"/>
  <c r="AJ70" i="62"/>
  <c r="AQ70" i="62" s="1"/>
  <c r="AJ71" i="62"/>
  <c r="AQ71" i="62" s="1"/>
  <c r="AJ73" i="62"/>
  <c r="AQ73" i="62" s="1"/>
  <c r="AJ95" i="62"/>
  <c r="O26" i="62"/>
  <c r="AJ26" i="62"/>
  <c r="AQ26" i="62" s="1"/>
  <c r="AJ31" i="62"/>
  <c r="AQ31" i="62" s="1"/>
  <c r="O31" i="62"/>
  <c r="AJ32" i="62"/>
  <c r="AQ32" i="62" s="1"/>
  <c r="O32" i="62"/>
  <c r="AJ59" i="62"/>
  <c r="AQ59" i="62" s="1"/>
  <c r="O59" i="62"/>
  <c r="AJ81" i="62"/>
  <c r="AQ81" i="62" s="1"/>
  <c r="O81" i="62"/>
  <c r="AJ91" i="62"/>
  <c r="O91" i="62"/>
  <c r="O92" i="62" s="1"/>
  <c r="AJ37" i="62"/>
  <c r="AQ37" i="62" s="1"/>
  <c r="O37" i="62"/>
  <c r="AJ38" i="62"/>
  <c r="AQ38" i="62" s="1"/>
  <c r="O38" i="62"/>
  <c r="AJ49" i="62"/>
  <c r="AQ49" i="62" s="1"/>
  <c r="O49" i="62"/>
  <c r="AJ53" i="62"/>
  <c r="AQ53" i="62" s="1"/>
  <c r="O53" i="62"/>
  <c r="O43" i="62"/>
  <c r="O44" i="62"/>
  <c r="AJ44" i="62"/>
  <c r="AQ44" i="62" s="1"/>
  <c r="O67" i="62"/>
  <c r="AJ67" i="62"/>
  <c r="AQ67" i="62" s="1"/>
  <c r="O51" i="62"/>
  <c r="AJ51" i="62"/>
  <c r="AQ51" i="62" s="1"/>
  <c r="O55" i="62"/>
  <c r="AJ55" i="62"/>
  <c r="AQ55" i="62" s="1"/>
  <c r="L19" i="62"/>
  <c r="O22" i="62"/>
  <c r="AJ22" i="62"/>
  <c r="AQ22" i="62" s="1"/>
  <c r="AJ86" i="62"/>
  <c r="AQ86" i="62" s="1"/>
  <c r="AL86" i="62"/>
  <c r="O17" i="62"/>
  <c r="O18" i="62"/>
  <c r="O19" i="62" s="1"/>
  <c r="H45" i="62"/>
  <c r="O28" i="62"/>
  <c r="K56" i="62"/>
  <c r="O72" i="62"/>
  <c r="O79" i="62"/>
  <c r="AJ79" i="62"/>
  <c r="AQ79" i="62" s="1"/>
  <c r="C88" i="62"/>
  <c r="AL92" i="62"/>
  <c r="AL96" i="62"/>
  <c r="AK96" i="62"/>
  <c r="H19" i="62"/>
  <c r="AG19" i="62"/>
  <c r="AI17" i="62"/>
  <c r="AK17" i="62" s="1"/>
  <c r="AK19" i="62" s="1"/>
  <c r="O24" i="62"/>
  <c r="O25" i="62"/>
  <c r="AJ25" i="62"/>
  <c r="AQ25" i="62" s="1"/>
  <c r="O29" i="62"/>
  <c r="AJ29" i="62"/>
  <c r="AQ29" i="62" s="1"/>
  <c r="O39" i="62"/>
  <c r="O52" i="62"/>
  <c r="AJ52" i="62"/>
  <c r="AQ52" i="62" s="1"/>
  <c r="O54" i="62"/>
  <c r="AJ54" i="62"/>
  <c r="AQ54" i="62" s="1"/>
  <c r="H61" i="62"/>
  <c r="AG74" i="62"/>
  <c r="AI72" i="62"/>
  <c r="AL72" i="62" s="1"/>
  <c r="H82" i="62"/>
  <c r="AJ78" i="62"/>
  <c r="AQ78" i="62" s="1"/>
  <c r="AL78" i="62"/>
  <c r="O80" i="62"/>
  <c r="N85" i="62"/>
  <c r="AG100" i="62"/>
  <c r="AI99" i="62"/>
  <c r="AK99" i="62" s="1"/>
  <c r="N9" i="62"/>
  <c r="O9" i="62" s="1"/>
  <c r="K19" i="62"/>
  <c r="L45" i="62"/>
  <c r="O27" i="62"/>
  <c r="AJ27" i="62"/>
  <c r="AQ27" i="62" s="1"/>
  <c r="AJ30" i="62"/>
  <c r="AQ30" i="62" s="1"/>
  <c r="AJ35" i="62"/>
  <c r="AQ35" i="62" s="1"/>
  <c r="O36" i="62"/>
  <c r="AJ36" i="62"/>
  <c r="AQ36" i="62" s="1"/>
  <c r="AJ41" i="62"/>
  <c r="AQ41" i="62" s="1"/>
  <c r="O42" i="62"/>
  <c r="AJ42" i="62"/>
  <c r="AQ42" i="62" s="1"/>
  <c r="O50" i="62"/>
  <c r="AJ50" i="62"/>
  <c r="AQ50" i="62" s="1"/>
  <c r="K61" i="62"/>
  <c r="AJ64" i="62"/>
  <c r="AQ64" i="62" s="1"/>
  <c r="AL64" i="62"/>
  <c r="AL74" i="62" s="1"/>
  <c r="O68" i="62"/>
  <c r="AJ68" i="62"/>
  <c r="AQ68" i="62" s="1"/>
  <c r="AJ69" i="62"/>
  <c r="AQ69" i="62" s="1"/>
  <c r="AJ77" i="62"/>
  <c r="AQ77" i="62" s="1"/>
  <c r="AL77" i="62"/>
  <c r="H88" i="62"/>
  <c r="AI85" i="62"/>
  <c r="AG88" i="62"/>
  <c r="AJ87" i="62"/>
  <c r="AQ87" i="62" s="1"/>
  <c r="AG92" i="62"/>
  <c r="AN17" i="47"/>
  <c r="BM19" i="59"/>
  <c r="AO17" i="47" s="1"/>
  <c r="BM45" i="53"/>
  <c r="AO9" i="47" s="1"/>
  <c r="BK45" i="53"/>
  <c r="AM9" i="47" s="1"/>
  <c r="BQ45" i="53"/>
  <c r="AS9" i="47" s="1"/>
  <c r="AO8" i="47"/>
  <c r="AM8" i="47"/>
  <c r="BM110" i="50"/>
  <c r="AO6" i="47" s="1"/>
  <c r="O23" i="62"/>
  <c r="O71" i="62"/>
  <c r="O35" i="62"/>
  <c r="O64" i="62"/>
  <c r="N74" i="62"/>
  <c r="O41" i="62"/>
  <c r="O66" i="62"/>
  <c r="C74" i="62"/>
  <c r="O95" i="62"/>
  <c r="O96" i="62" s="1"/>
  <c r="N96" i="62"/>
  <c r="O65" i="62"/>
  <c r="I45" i="62"/>
  <c r="I102" i="62" s="1"/>
  <c r="K30" i="62"/>
  <c r="K45" i="62" s="1"/>
  <c r="O34" i="62"/>
  <c r="O40" i="62"/>
  <c r="AQ56" i="62"/>
  <c r="AI96" i="62"/>
  <c r="N45" i="62"/>
  <c r="L61" i="62"/>
  <c r="N60" i="62"/>
  <c r="AJ60" i="62" s="1"/>
  <c r="AQ60" i="62" s="1"/>
  <c r="C24" i="62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AG43" i="62"/>
  <c r="AI43" i="62" s="1"/>
  <c r="AK43" i="62" s="1"/>
  <c r="AK45" i="62" s="1"/>
  <c r="W45" i="62"/>
  <c r="W102" i="62" s="1"/>
  <c r="L74" i="62"/>
  <c r="P73" i="62"/>
  <c r="P74" i="62" s="1"/>
  <c r="P102" i="62" s="1"/>
  <c r="N19" i="62"/>
  <c r="O33" i="62"/>
  <c r="N56" i="62"/>
  <c r="O48" i="62"/>
  <c r="O70" i="62"/>
  <c r="O87" i="62"/>
  <c r="K82" i="62"/>
  <c r="L82" i="62"/>
  <c r="L96" i="62"/>
  <c r="C50" i="62"/>
  <c r="C51" i="62" s="1"/>
  <c r="C52" i="62" s="1"/>
  <c r="C53" i="62" s="1"/>
  <c r="C54" i="62" s="1"/>
  <c r="C55" i="62" s="1"/>
  <c r="H74" i="62"/>
  <c r="K74" i="62"/>
  <c r="N82" i="62"/>
  <c r="AI82" i="62"/>
  <c r="C82" i="62"/>
  <c r="N92" i="62"/>
  <c r="AI92" i="62"/>
  <c r="L100" i="62"/>
  <c r="N99" i="62"/>
  <c r="AJ96" i="62" l="1"/>
  <c r="AQ95" i="62"/>
  <c r="AQ96" i="62" s="1"/>
  <c r="AJ92" i="62"/>
  <c r="AQ91" i="62"/>
  <c r="AQ92" i="62" s="1"/>
  <c r="AQ61" i="62"/>
  <c r="AQ82" i="62"/>
  <c r="O10" i="62"/>
  <c r="AO9" i="62"/>
  <c r="AO10" i="62" s="1"/>
  <c r="K102" i="62"/>
  <c r="AG45" i="62"/>
  <c r="AG102" i="62" s="1"/>
  <c r="N61" i="62"/>
  <c r="O82" i="62"/>
  <c r="H102" i="62"/>
  <c r="C45" i="62"/>
  <c r="L102" i="62"/>
  <c r="C56" i="62"/>
  <c r="AJ61" i="62"/>
  <c r="N10" i="62"/>
  <c r="AJ56" i="62"/>
  <c r="AJ99" i="62"/>
  <c r="AK100" i="62"/>
  <c r="AK102" i="62" s="1"/>
  <c r="D21" i="40" s="1"/>
  <c r="O45" i="62"/>
  <c r="AL82" i="62"/>
  <c r="AJ17" i="62"/>
  <c r="O56" i="62"/>
  <c r="AJ82" i="62"/>
  <c r="O85" i="62"/>
  <c r="O88" i="62" s="1"/>
  <c r="N88" i="62"/>
  <c r="AI19" i="62"/>
  <c r="AJ85" i="62"/>
  <c r="AL85" i="62"/>
  <c r="AL88" i="62" s="1"/>
  <c r="AI88" i="62"/>
  <c r="AJ72" i="62"/>
  <c r="AJ43" i="62"/>
  <c r="AI56" i="62"/>
  <c r="O99" i="62"/>
  <c r="O100" i="62" s="1"/>
  <c r="N100" i="62"/>
  <c r="AI100" i="62"/>
  <c r="AI45" i="62"/>
  <c r="AI74" i="62"/>
  <c r="AI61" i="62"/>
  <c r="O60" i="62"/>
  <c r="O61" i="62" s="1"/>
  <c r="O74" i="62"/>
  <c r="AJ74" i="62" l="1"/>
  <c r="AQ72" i="62"/>
  <c r="AQ74" i="62" s="1"/>
  <c r="AJ19" i="62"/>
  <c r="AQ17" i="62"/>
  <c r="AQ19" i="62" s="1"/>
  <c r="AJ100" i="62"/>
  <c r="AQ99" i="62"/>
  <c r="AQ100" i="62" s="1"/>
  <c r="AJ45" i="62"/>
  <c r="AJ102" i="62" s="1"/>
  <c r="AQ43" i="62"/>
  <c r="AQ45" i="62" s="1"/>
  <c r="AJ88" i="62"/>
  <c r="AQ85" i="62"/>
  <c r="AQ88" i="62" s="1"/>
  <c r="N102" i="62"/>
  <c r="AL102" i="62"/>
  <c r="E21" i="40" s="1"/>
  <c r="AI102" i="62"/>
  <c r="O102" i="62"/>
  <c r="AQ102" i="62" l="1"/>
  <c r="R30" i="59"/>
  <c r="R28" i="59"/>
  <c r="Q26" i="59"/>
  <c r="Q24" i="59"/>
  <c r="T20" i="59"/>
  <c r="U20" i="59" s="1"/>
  <c r="O20" i="59"/>
  <c r="BE19" i="59"/>
  <c r="BB19" i="59"/>
  <c r="AY19" i="59"/>
  <c r="AX19" i="59"/>
  <c r="AV19" i="59"/>
  <c r="AU19" i="59"/>
  <c r="AS19" i="59"/>
  <c r="AR19" i="59"/>
  <c r="AP19" i="59"/>
  <c r="AM19" i="59"/>
  <c r="AL19" i="59"/>
  <c r="AJ19" i="59"/>
  <c r="AI19" i="59"/>
  <c r="AG19" i="59"/>
  <c r="AD19" i="59"/>
  <c r="AC19" i="59"/>
  <c r="AA19" i="59"/>
  <c r="Z19" i="59"/>
  <c r="Y19" i="59"/>
  <c r="X19" i="59"/>
  <c r="R19" i="59"/>
  <c r="R33" i="59" s="1"/>
  <c r="Q19" i="59"/>
  <c r="J19" i="59"/>
  <c r="I19" i="59"/>
  <c r="G17" i="47" s="1"/>
  <c r="H19" i="59"/>
  <c r="F17" i="47" s="1"/>
  <c r="G19" i="59"/>
  <c r="E19" i="59"/>
  <c r="BF18" i="59"/>
  <c r="BC18" i="59"/>
  <c r="AZ18" i="59"/>
  <c r="AW18" i="59"/>
  <c r="AT18" i="59"/>
  <c r="AQ18" i="59"/>
  <c r="AN18" i="59"/>
  <c r="AK18" i="59"/>
  <c r="AH18" i="59"/>
  <c r="AE18" i="59"/>
  <c r="AB18" i="59"/>
  <c r="W18" i="59"/>
  <c r="S18" i="59"/>
  <c r="N18" i="59"/>
  <c r="K18" i="59"/>
  <c r="L18" i="59" s="1"/>
  <c r="F18" i="59"/>
  <c r="BF17" i="59"/>
  <c r="BC17" i="59"/>
  <c r="AZ17" i="59"/>
  <c r="AW17" i="59"/>
  <c r="AT17" i="59"/>
  <c r="AQ17" i="59"/>
  <c r="AN17" i="59"/>
  <c r="AK17" i="59"/>
  <c r="AH17" i="59"/>
  <c r="AE17" i="59"/>
  <c r="AB17" i="59"/>
  <c r="S17" i="59"/>
  <c r="M17" i="59"/>
  <c r="O17" i="59" s="1"/>
  <c r="K17" i="59"/>
  <c r="L17" i="59" s="1"/>
  <c r="P17" i="59" s="1"/>
  <c r="F17" i="59"/>
  <c r="BF16" i="59"/>
  <c r="BC16" i="59"/>
  <c r="AZ16" i="59"/>
  <c r="AW16" i="59"/>
  <c r="AT16" i="59"/>
  <c r="AQ16" i="59"/>
  <c r="AN16" i="59"/>
  <c r="AK16" i="59"/>
  <c r="AF16" i="59"/>
  <c r="AF19" i="59" s="1"/>
  <c r="AE16" i="59"/>
  <c r="AB16" i="59"/>
  <c r="S16" i="59"/>
  <c r="K16" i="59"/>
  <c r="L16" i="59" s="1"/>
  <c r="P16" i="59" s="1"/>
  <c r="D16" i="59"/>
  <c r="BF15" i="59"/>
  <c r="BC15" i="59"/>
  <c r="AZ15" i="59"/>
  <c r="AW15" i="59"/>
  <c r="AT15" i="59"/>
  <c r="AQ15" i="59"/>
  <c r="AN15" i="59"/>
  <c r="AK15" i="59"/>
  <c r="AH15" i="59"/>
  <c r="AE15" i="59"/>
  <c r="AB15" i="59"/>
  <c r="S15" i="59"/>
  <c r="K15" i="59"/>
  <c r="L15" i="59" s="1"/>
  <c r="P15" i="59" s="1"/>
  <c r="F15" i="59"/>
  <c r="BF14" i="59"/>
  <c r="BC14" i="59"/>
  <c r="AZ14" i="59"/>
  <c r="AW14" i="59"/>
  <c r="AT14" i="59"/>
  <c r="AO14" i="59"/>
  <c r="AN14" i="59"/>
  <c r="AK14" i="59"/>
  <c r="AH14" i="59"/>
  <c r="AE14" i="59"/>
  <c r="AB14" i="59"/>
  <c r="S14" i="59"/>
  <c r="K14" i="59"/>
  <c r="L14" i="59" s="1"/>
  <c r="F14" i="59"/>
  <c r="BF13" i="59"/>
  <c r="BC13" i="59"/>
  <c r="AZ13" i="59"/>
  <c r="AW13" i="59"/>
  <c r="AT13" i="59"/>
  <c r="AQ13" i="59"/>
  <c r="AN13" i="59"/>
  <c r="AK13" i="59"/>
  <c r="AH13" i="59"/>
  <c r="AE13" i="59"/>
  <c r="AB13" i="59"/>
  <c r="S13" i="59"/>
  <c r="K13" i="59"/>
  <c r="L13" i="59" s="1"/>
  <c r="F13" i="59"/>
  <c r="BF12" i="59"/>
  <c r="BC12" i="59"/>
  <c r="AZ12" i="59"/>
  <c r="AW12" i="59"/>
  <c r="AT12" i="59"/>
  <c r="AQ12" i="59"/>
  <c r="AN12" i="59"/>
  <c r="AK12" i="59"/>
  <c r="BG12" i="59" s="1"/>
  <c r="BI12" i="59" s="1"/>
  <c r="BK12" i="59" s="1"/>
  <c r="AH12" i="59"/>
  <c r="AE12" i="59"/>
  <c r="AB12" i="59"/>
  <c r="S12" i="59"/>
  <c r="K12" i="59"/>
  <c r="L12" i="59" s="1"/>
  <c r="P12" i="59" s="1"/>
  <c r="F12" i="59"/>
  <c r="BF11" i="59"/>
  <c r="BC11" i="59"/>
  <c r="AZ11" i="59"/>
  <c r="AW11" i="59"/>
  <c r="AT11" i="59"/>
  <c r="AQ11" i="59"/>
  <c r="AN11" i="59"/>
  <c r="AK11" i="59"/>
  <c r="AH11" i="59"/>
  <c r="AE11" i="59"/>
  <c r="AB11" i="59"/>
  <c r="S11" i="59"/>
  <c r="K11" i="59"/>
  <c r="L11" i="59" s="1"/>
  <c r="P11" i="59" s="1"/>
  <c r="F11" i="59"/>
  <c r="BF10" i="59"/>
  <c r="BC10" i="59"/>
  <c r="AZ10" i="59"/>
  <c r="AW10" i="59"/>
  <c r="AT10" i="59"/>
  <c r="AQ10" i="59"/>
  <c r="AN10" i="59"/>
  <c r="AK10" i="59"/>
  <c r="AH10" i="59"/>
  <c r="AE10" i="59"/>
  <c r="AB10" i="59"/>
  <c r="S10" i="59"/>
  <c r="K10" i="59"/>
  <c r="L10" i="59" s="1"/>
  <c r="P10" i="59" s="1"/>
  <c r="D10" i="59"/>
  <c r="A10" i="59"/>
  <c r="A11" i="59" s="1"/>
  <c r="A12" i="59" s="1"/>
  <c r="A13" i="59" s="1"/>
  <c r="A14" i="59" s="1"/>
  <c r="A15" i="59" s="1"/>
  <c r="A16" i="59" s="1"/>
  <c r="A17" i="59" s="1"/>
  <c r="A18" i="59" s="1"/>
  <c r="A19" i="59" s="1"/>
  <c r="BF9" i="59"/>
  <c r="BC9" i="59"/>
  <c r="AZ9" i="59"/>
  <c r="AW9" i="59"/>
  <c r="AT9" i="59"/>
  <c r="AQ9" i="59"/>
  <c r="AN9" i="59"/>
  <c r="AK9" i="59"/>
  <c r="AH9" i="59"/>
  <c r="AE9" i="59"/>
  <c r="AB9" i="59"/>
  <c r="S9" i="59"/>
  <c r="K9" i="59"/>
  <c r="D9" i="59"/>
  <c r="BD8" i="59"/>
  <c r="BF8" i="59" s="1"/>
  <c r="BA8" i="59"/>
  <c r="AZ8" i="59"/>
  <c r="AW8" i="59"/>
  <c r="AT8" i="59"/>
  <c r="AQ8" i="59"/>
  <c r="AO8" i="59"/>
  <c r="AN8" i="59"/>
  <c r="AK8" i="59"/>
  <c r="AH8" i="59"/>
  <c r="AE8" i="59"/>
  <c r="AB8" i="59"/>
  <c r="S8" i="59"/>
  <c r="P8" i="59"/>
  <c r="N8" i="59"/>
  <c r="K8" i="59"/>
  <c r="L8" i="59" s="1"/>
  <c r="F8" i="59"/>
  <c r="BF7" i="59"/>
  <c r="BC7" i="59"/>
  <c r="AZ7" i="59"/>
  <c r="AW7" i="59"/>
  <c r="AT7" i="59"/>
  <c r="AT19" i="59" s="1"/>
  <c r="AD17" i="47" s="1"/>
  <c r="AQ7" i="59"/>
  <c r="AN7" i="59"/>
  <c r="AK7" i="59"/>
  <c r="AH7" i="59"/>
  <c r="AE7" i="59"/>
  <c r="AB7" i="59"/>
  <c r="S7" i="59"/>
  <c r="L7" i="59"/>
  <c r="K7" i="59"/>
  <c r="F7" i="59"/>
  <c r="A7" i="59"/>
  <c r="A8" i="59" s="1"/>
  <c r="A9" i="59" s="1"/>
  <c r="U6" i="59"/>
  <c r="O6" i="59"/>
  <c r="Q17" i="58"/>
  <c r="Q16" i="58"/>
  <c r="Q14" i="58"/>
  <c r="T10" i="58"/>
  <c r="U10" i="58" s="1"/>
  <c r="O10" i="58"/>
  <c r="BR9" i="58"/>
  <c r="AT16" i="47" s="1"/>
  <c r="BE9" i="58"/>
  <c r="AA16" i="47" s="1"/>
  <c r="BD9" i="58"/>
  <c r="BB9" i="58"/>
  <c r="BA9" i="58"/>
  <c r="AY9" i="58"/>
  <c r="AX9" i="58"/>
  <c r="AV9" i="58"/>
  <c r="AU9" i="58"/>
  <c r="AS9" i="58"/>
  <c r="AR9" i="58"/>
  <c r="AP9" i="58"/>
  <c r="AO9" i="58"/>
  <c r="AM9" i="58"/>
  <c r="AL9" i="58"/>
  <c r="AK9" i="58"/>
  <c r="AJ9" i="58"/>
  <c r="AI9" i="58"/>
  <c r="AG9" i="58"/>
  <c r="AF9" i="58"/>
  <c r="AE9" i="58"/>
  <c r="Y16" i="47" s="1"/>
  <c r="AD9" i="58"/>
  <c r="AC9" i="58"/>
  <c r="AA9" i="58"/>
  <c r="Z9" i="58"/>
  <c r="Y9" i="58"/>
  <c r="X9" i="58"/>
  <c r="V16" i="47" s="1"/>
  <c r="W9" i="58"/>
  <c r="U16" i="47" s="1"/>
  <c r="R9" i="58"/>
  <c r="Q9" i="58"/>
  <c r="N9" i="58"/>
  <c r="K9" i="58"/>
  <c r="L12" i="58" s="1"/>
  <c r="J9" i="58"/>
  <c r="I9" i="58"/>
  <c r="H9" i="58"/>
  <c r="G9" i="58"/>
  <c r="E9" i="58"/>
  <c r="A9" i="58"/>
  <c r="BF8" i="58"/>
  <c r="BC8" i="58"/>
  <c r="AZ8" i="58"/>
  <c r="AW8" i="58"/>
  <c r="AT8" i="58"/>
  <c r="AQ8" i="58"/>
  <c r="AN8" i="58"/>
  <c r="AK8" i="58"/>
  <c r="S8" i="58"/>
  <c r="L8" i="58"/>
  <c r="K8" i="58"/>
  <c r="D8" i="58"/>
  <c r="BF7" i="58"/>
  <c r="BC7" i="58"/>
  <c r="AZ7" i="58"/>
  <c r="AW7" i="58"/>
  <c r="AT7" i="58"/>
  <c r="AQ7" i="58"/>
  <c r="AN7" i="58"/>
  <c r="AK7" i="58"/>
  <c r="S7" i="58"/>
  <c r="P7" i="58"/>
  <c r="K7" i="58"/>
  <c r="L7" i="58" s="1"/>
  <c r="D7" i="58"/>
  <c r="F7" i="58" s="1"/>
  <c r="A7" i="58"/>
  <c r="BF6" i="58"/>
  <c r="BC6" i="58"/>
  <c r="BC9" i="58" s="1"/>
  <c r="AG16" i="47" s="1"/>
  <c r="AZ6" i="58"/>
  <c r="AZ9" i="58" s="1"/>
  <c r="AF16" i="47" s="1"/>
  <c r="AW6" i="58"/>
  <c r="AT6" i="58"/>
  <c r="AQ6" i="58"/>
  <c r="AN6" i="58"/>
  <c r="AN9" i="58" s="1"/>
  <c r="AB16" i="47" s="1"/>
  <c r="AK6" i="58"/>
  <c r="AH6" i="58"/>
  <c r="AH9" i="58" s="1"/>
  <c r="AE6" i="58"/>
  <c r="AB6" i="58"/>
  <c r="BG6" i="58" s="1"/>
  <c r="BI6" i="58" s="1"/>
  <c r="S6" i="58"/>
  <c r="K6" i="58"/>
  <c r="L6" i="58" s="1"/>
  <c r="P6" i="58" s="1"/>
  <c r="M6" i="58" s="1"/>
  <c r="D6" i="58"/>
  <c r="T24" i="57"/>
  <c r="U24" i="57" s="1"/>
  <c r="O24" i="57"/>
  <c r="BS23" i="57"/>
  <c r="AU15" i="47" s="1"/>
  <c r="BR23" i="57"/>
  <c r="AT15" i="47" s="1"/>
  <c r="BE23" i="57"/>
  <c r="BD23" i="57"/>
  <c r="BB23" i="57"/>
  <c r="BA23" i="57"/>
  <c r="AY23" i="57"/>
  <c r="AX23" i="57"/>
  <c r="AV23" i="57"/>
  <c r="AU23" i="57"/>
  <c r="AS23" i="57"/>
  <c r="AR23" i="57"/>
  <c r="AP23" i="57"/>
  <c r="AO23" i="57"/>
  <c r="AM23" i="57"/>
  <c r="AL23" i="57"/>
  <c r="AJ23" i="57"/>
  <c r="AI23" i="57"/>
  <c r="AG23" i="57"/>
  <c r="AF23" i="57"/>
  <c r="AD23" i="57"/>
  <c r="AC23" i="57"/>
  <c r="AA23" i="57"/>
  <c r="Z23" i="57"/>
  <c r="Y23" i="57"/>
  <c r="X23" i="57"/>
  <c r="W23" i="57"/>
  <c r="R23" i="57"/>
  <c r="Q23" i="57"/>
  <c r="N23" i="57"/>
  <c r="J23" i="57"/>
  <c r="H15" i="47" s="1"/>
  <c r="I23" i="57"/>
  <c r="G15" i="47" s="1"/>
  <c r="H23" i="57"/>
  <c r="G23" i="57"/>
  <c r="E23" i="57"/>
  <c r="C15" i="47" s="1"/>
  <c r="D23" i="57"/>
  <c r="BF22" i="57"/>
  <c r="BC22" i="57"/>
  <c r="AZ22" i="57"/>
  <c r="AW22" i="57"/>
  <c r="AT22" i="57"/>
  <c r="AQ22" i="57"/>
  <c r="AN22" i="57"/>
  <c r="AK22" i="57"/>
  <c r="AH22" i="57"/>
  <c r="AE22" i="57"/>
  <c r="AB22" i="57"/>
  <c r="BG22" i="57" s="1"/>
  <c r="BI22" i="57" s="1"/>
  <c r="BK22" i="57" s="1"/>
  <c r="S22" i="57"/>
  <c r="K22" i="57"/>
  <c r="L22" i="57" s="1"/>
  <c r="F22" i="57"/>
  <c r="BF21" i="57"/>
  <c r="BC21" i="57"/>
  <c r="AZ21" i="57"/>
  <c r="AW21" i="57"/>
  <c r="AT21" i="57"/>
  <c r="AQ21" i="57"/>
  <c r="AN21" i="57"/>
  <c r="AK21" i="57"/>
  <c r="AH21" i="57"/>
  <c r="AE21" i="57"/>
  <c r="AB21" i="57"/>
  <c r="S21" i="57"/>
  <c r="L21" i="57"/>
  <c r="K21" i="57"/>
  <c r="F21" i="57"/>
  <c r="BF20" i="57"/>
  <c r="BC20" i="57"/>
  <c r="AZ20" i="57"/>
  <c r="AW20" i="57"/>
  <c r="AT20" i="57"/>
  <c r="AQ20" i="57"/>
  <c r="AN20" i="57"/>
  <c r="AK20" i="57"/>
  <c r="AH20" i="57"/>
  <c r="AE20" i="57"/>
  <c r="AB20" i="57"/>
  <c r="S20" i="57"/>
  <c r="P20" i="57"/>
  <c r="M20" i="57"/>
  <c r="K20" i="57"/>
  <c r="L20" i="57" s="1"/>
  <c r="F20" i="57"/>
  <c r="BF19" i="57"/>
  <c r="BC19" i="57"/>
  <c r="AZ19" i="57"/>
  <c r="AW19" i="57"/>
  <c r="AT19" i="57"/>
  <c r="AQ19" i="57"/>
  <c r="AN19" i="57"/>
  <c r="AK19" i="57"/>
  <c r="AH19" i="57"/>
  <c r="AE19" i="57"/>
  <c r="AB19" i="57"/>
  <c r="S19" i="57"/>
  <c r="L19" i="57"/>
  <c r="P19" i="57" s="1"/>
  <c r="K19" i="57"/>
  <c r="F19" i="57"/>
  <c r="BF18" i="57"/>
  <c r="BC18" i="57"/>
  <c r="AZ18" i="57"/>
  <c r="AW18" i="57"/>
  <c r="AT18" i="57"/>
  <c r="AQ18" i="57"/>
  <c r="AN18" i="57"/>
  <c r="AK18" i="57"/>
  <c r="AH18" i="57"/>
  <c r="AE18" i="57"/>
  <c r="AB18" i="57"/>
  <c r="S18" i="57"/>
  <c r="K18" i="57"/>
  <c r="L18" i="57" s="1"/>
  <c r="F18" i="57"/>
  <c r="BF17" i="57"/>
  <c r="BC17" i="57"/>
  <c r="AZ17" i="57"/>
  <c r="AW17" i="57"/>
  <c r="AT17" i="57"/>
  <c r="AQ17" i="57"/>
  <c r="AN17" i="57"/>
  <c r="AK17" i="57"/>
  <c r="AH17" i="57"/>
  <c r="AE17" i="57"/>
  <c r="AB17" i="57"/>
  <c r="S17" i="57"/>
  <c r="L17" i="57"/>
  <c r="P17" i="57" s="1"/>
  <c r="M17" i="57" s="1"/>
  <c r="O17" i="57" s="1"/>
  <c r="K17" i="57"/>
  <c r="F17" i="57"/>
  <c r="BF16" i="57"/>
  <c r="BC16" i="57"/>
  <c r="AZ16" i="57"/>
  <c r="AW16" i="57"/>
  <c r="AT16" i="57"/>
  <c r="AQ16" i="57"/>
  <c r="AN16" i="57"/>
  <c r="AK16" i="57"/>
  <c r="AH16" i="57"/>
  <c r="AE16" i="57"/>
  <c r="AB16" i="57"/>
  <c r="S16" i="57"/>
  <c r="K16" i="57"/>
  <c r="L16" i="57" s="1"/>
  <c r="F16" i="57"/>
  <c r="BF15" i="57"/>
  <c r="BC15" i="57"/>
  <c r="AZ15" i="57"/>
  <c r="AW15" i="57"/>
  <c r="AT15" i="57"/>
  <c r="AQ15" i="57"/>
  <c r="AN15" i="57"/>
  <c r="AK15" i="57"/>
  <c r="AH15" i="57"/>
  <c r="AE15" i="57"/>
  <c r="AB15" i="57"/>
  <c r="S15" i="57"/>
  <c r="L15" i="57"/>
  <c r="K15" i="57"/>
  <c r="F15" i="57"/>
  <c r="BF14" i="57"/>
  <c r="BC14" i="57"/>
  <c r="AZ14" i="57"/>
  <c r="AW14" i="57"/>
  <c r="AT14" i="57"/>
  <c r="AQ14" i="57"/>
  <c r="AN14" i="57"/>
  <c r="AK14" i="57"/>
  <c r="AH14" i="57"/>
  <c r="AE14" i="57"/>
  <c r="AB14" i="57"/>
  <c r="S14" i="57"/>
  <c r="K14" i="57"/>
  <c r="L14" i="57" s="1"/>
  <c r="F14" i="57"/>
  <c r="BF13" i="57"/>
  <c r="BC13" i="57"/>
  <c r="AZ13" i="57"/>
  <c r="AW13" i="57"/>
  <c r="AT13" i="57"/>
  <c r="AQ13" i="57"/>
  <c r="AN13" i="57"/>
  <c r="AK13" i="57"/>
  <c r="AH13" i="57"/>
  <c r="AE13" i="57"/>
  <c r="AB13" i="57"/>
  <c r="S13" i="57"/>
  <c r="K13" i="57"/>
  <c r="L13" i="57" s="1"/>
  <c r="P13" i="57" s="1"/>
  <c r="F13" i="57"/>
  <c r="BF12" i="57"/>
  <c r="BC12" i="57"/>
  <c r="AZ12" i="57"/>
  <c r="AW12" i="57"/>
  <c r="AT12" i="57"/>
  <c r="AQ12" i="57"/>
  <c r="AN12" i="57"/>
  <c r="AK12" i="57"/>
  <c r="AH12" i="57"/>
  <c r="AE12" i="57"/>
  <c r="AB12" i="57"/>
  <c r="S12" i="57"/>
  <c r="K12" i="57"/>
  <c r="L12" i="57" s="1"/>
  <c r="F12" i="57"/>
  <c r="BF11" i="57"/>
  <c r="BC11" i="57"/>
  <c r="AZ11" i="57"/>
  <c r="AW11" i="57"/>
  <c r="AT11" i="57"/>
  <c r="AQ11" i="57"/>
  <c r="AN11" i="57"/>
  <c r="AK11" i="57"/>
  <c r="AH11" i="57"/>
  <c r="AE11" i="57"/>
  <c r="AB11" i="57"/>
  <c r="S11" i="57"/>
  <c r="K11" i="57"/>
  <c r="L11" i="57" s="1"/>
  <c r="F11" i="57"/>
  <c r="BF10" i="57"/>
  <c r="BC10" i="57"/>
  <c r="AZ10" i="57"/>
  <c r="AW10" i="57"/>
  <c r="AT10" i="57"/>
  <c r="AQ10" i="57"/>
  <c r="AN10" i="57"/>
  <c r="AK10" i="57"/>
  <c r="AH10" i="57"/>
  <c r="AE10" i="57"/>
  <c r="AB10" i="57"/>
  <c r="S10" i="57"/>
  <c r="K10" i="57"/>
  <c r="L10" i="57" s="1"/>
  <c r="P10" i="57" s="1"/>
  <c r="M10" i="57" s="1"/>
  <c r="F10" i="57"/>
  <c r="BF9" i="57"/>
  <c r="BC9" i="57"/>
  <c r="AZ9" i="57"/>
  <c r="AW9" i="57"/>
  <c r="AT9" i="57"/>
  <c r="AQ9" i="57"/>
  <c r="AN9" i="57"/>
  <c r="AK9" i="57"/>
  <c r="AH9" i="57"/>
  <c r="AE9" i="57"/>
  <c r="AB9" i="57"/>
  <c r="S9" i="57"/>
  <c r="K9" i="57"/>
  <c r="L9" i="57" s="1"/>
  <c r="F9" i="57"/>
  <c r="F23" i="57" s="1"/>
  <c r="D15" i="47" s="1"/>
  <c r="BF8" i="57"/>
  <c r="BC8" i="57"/>
  <c r="AZ8" i="57"/>
  <c r="AW8" i="57"/>
  <c r="AT8" i="57"/>
  <c r="AQ8" i="57"/>
  <c r="AN8" i="57"/>
  <c r="AK8" i="57"/>
  <c r="AH8" i="57"/>
  <c r="AE8" i="57"/>
  <c r="AB8" i="57"/>
  <c r="S8" i="57"/>
  <c r="P8" i="57"/>
  <c r="K8" i="57"/>
  <c r="L8" i="57" s="1"/>
  <c r="F8" i="57"/>
  <c r="A8" i="57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BF7" i="57"/>
  <c r="BC7" i="57"/>
  <c r="AZ7" i="57"/>
  <c r="AW7" i="57"/>
  <c r="AT7" i="57"/>
  <c r="AQ7" i="57"/>
  <c r="AN7" i="57"/>
  <c r="AK7" i="57"/>
  <c r="AH7" i="57"/>
  <c r="AE7" i="57"/>
  <c r="AB7" i="57"/>
  <c r="S7" i="57"/>
  <c r="K7" i="57"/>
  <c r="F7" i="57"/>
  <c r="A7" i="57"/>
  <c r="T6" i="57"/>
  <c r="U6" i="57" s="1"/>
  <c r="O6" i="57"/>
  <c r="Q28" i="56"/>
  <c r="Q26" i="56"/>
  <c r="R25" i="56"/>
  <c r="R23" i="56"/>
  <c r="O18" i="56"/>
  <c r="BE17" i="56"/>
  <c r="BD17" i="56"/>
  <c r="BB17" i="56"/>
  <c r="BA17" i="56"/>
  <c r="AY17" i="56"/>
  <c r="AX17" i="56"/>
  <c r="AV17" i="56"/>
  <c r="AU17" i="56"/>
  <c r="AS17" i="56"/>
  <c r="AR17" i="56"/>
  <c r="AP17" i="56"/>
  <c r="AO17" i="56"/>
  <c r="AM17" i="56"/>
  <c r="AL17" i="56"/>
  <c r="AJ17" i="56"/>
  <c r="AI17" i="56"/>
  <c r="AG17" i="56"/>
  <c r="AF17" i="56"/>
  <c r="AD17" i="56"/>
  <c r="AC17" i="56"/>
  <c r="AA17" i="56"/>
  <c r="Z17" i="56"/>
  <c r="Y17" i="56"/>
  <c r="X17" i="56"/>
  <c r="V14" i="47" s="1"/>
  <c r="V17" i="56"/>
  <c r="Q17" i="56"/>
  <c r="N17" i="56"/>
  <c r="J17" i="56"/>
  <c r="H14" i="47" s="1"/>
  <c r="G17" i="56"/>
  <c r="E17" i="56"/>
  <c r="D17" i="56"/>
  <c r="BF16" i="56"/>
  <c r="BC16" i="56"/>
  <c r="AZ16" i="56"/>
  <c r="AW16" i="56"/>
  <c r="AT16" i="56"/>
  <c r="AQ16" i="56"/>
  <c r="AN16" i="56"/>
  <c r="AK16" i="56"/>
  <c r="AH16" i="56"/>
  <c r="AE16" i="56"/>
  <c r="AB16" i="56"/>
  <c r="S16" i="56"/>
  <c r="P16" i="56"/>
  <c r="K16" i="56"/>
  <c r="L16" i="56" s="1"/>
  <c r="F16" i="56"/>
  <c r="BF15" i="56"/>
  <c r="BC15" i="56"/>
  <c r="AZ15" i="56"/>
  <c r="AW15" i="56"/>
  <c r="AT15" i="56"/>
  <c r="AQ15" i="56"/>
  <c r="AN15" i="56"/>
  <c r="AK15" i="56"/>
  <c r="AH15" i="56"/>
  <c r="AE15" i="56"/>
  <c r="BG15" i="56" s="1"/>
  <c r="BI15" i="56" s="1"/>
  <c r="BL15" i="56" s="1"/>
  <c r="AB15" i="56"/>
  <c r="S15" i="56"/>
  <c r="K15" i="56"/>
  <c r="L15" i="56" s="1"/>
  <c r="F15" i="56"/>
  <c r="BF14" i="56"/>
  <c r="BC14" i="56"/>
  <c r="AZ14" i="56"/>
  <c r="AW14" i="56"/>
  <c r="AT14" i="56"/>
  <c r="AQ14" i="56"/>
  <c r="AN14" i="56"/>
  <c r="AK14" i="56"/>
  <c r="AH14" i="56"/>
  <c r="AE14" i="56"/>
  <c r="AB14" i="56"/>
  <c r="S14" i="56"/>
  <c r="K14" i="56"/>
  <c r="L14" i="56" s="1"/>
  <c r="F14" i="56"/>
  <c r="BF13" i="56"/>
  <c r="BC13" i="56"/>
  <c r="AZ13" i="56"/>
  <c r="AW13" i="56"/>
  <c r="AT13" i="56"/>
  <c r="AQ13" i="56"/>
  <c r="AN13" i="56"/>
  <c r="AK13" i="56"/>
  <c r="AH13" i="56"/>
  <c r="AE13" i="56"/>
  <c r="AB13" i="56"/>
  <c r="S13" i="56"/>
  <c r="I13" i="56"/>
  <c r="F13" i="56"/>
  <c r="BF12" i="56"/>
  <c r="BC12" i="56"/>
  <c r="AZ12" i="56"/>
  <c r="AW12" i="56"/>
  <c r="AT12" i="56"/>
  <c r="AQ12" i="56"/>
  <c r="AN12" i="56"/>
  <c r="AK12" i="56"/>
  <c r="AH12" i="56"/>
  <c r="AE12" i="56"/>
  <c r="AB12" i="56"/>
  <c r="R12" i="56"/>
  <c r="R17" i="56" s="1"/>
  <c r="P14" i="47" s="1"/>
  <c r="K12" i="56"/>
  <c r="H12" i="56"/>
  <c r="F12" i="56"/>
  <c r="BF11" i="56"/>
  <c r="BC11" i="56"/>
  <c r="AZ11" i="56"/>
  <c r="AW11" i="56"/>
  <c r="AT11" i="56"/>
  <c r="AQ11" i="56"/>
  <c r="AN11" i="56"/>
  <c r="AK11" i="56"/>
  <c r="AH11" i="56"/>
  <c r="AE11" i="56"/>
  <c r="AB11" i="56"/>
  <c r="S11" i="56"/>
  <c r="K11" i="56"/>
  <c r="F11" i="56"/>
  <c r="BF10" i="56"/>
  <c r="BC10" i="56"/>
  <c r="AZ10" i="56"/>
  <c r="AW10" i="56"/>
  <c r="AT10" i="56"/>
  <c r="AQ10" i="56"/>
  <c r="AN10" i="56"/>
  <c r="AK10" i="56"/>
  <c r="AH10" i="56"/>
  <c r="AE10" i="56"/>
  <c r="AB10" i="56"/>
  <c r="AB17" i="56" s="1"/>
  <c r="X14" i="47" s="1"/>
  <c r="S10" i="56"/>
  <c r="L10" i="56"/>
  <c r="O10" i="56" s="1"/>
  <c r="K10" i="56"/>
  <c r="F10" i="56"/>
  <c r="BF9" i="56"/>
  <c r="BC9" i="56"/>
  <c r="AZ9" i="56"/>
  <c r="AW9" i="56"/>
  <c r="AT9" i="56"/>
  <c r="AQ9" i="56"/>
  <c r="AN9" i="56"/>
  <c r="AK9" i="56"/>
  <c r="AH9" i="56"/>
  <c r="AE9" i="56"/>
  <c r="AB9" i="56"/>
  <c r="S9" i="56"/>
  <c r="K9" i="56"/>
  <c r="L9" i="56" s="1"/>
  <c r="F9" i="56"/>
  <c r="BF8" i="56"/>
  <c r="BC8" i="56"/>
  <c r="AZ8" i="56"/>
  <c r="AW8" i="56"/>
  <c r="AT8" i="56"/>
  <c r="AQ8" i="56"/>
  <c r="AN8" i="56"/>
  <c r="AK8" i="56"/>
  <c r="AH8" i="56"/>
  <c r="AE8" i="56"/>
  <c r="AB8" i="56"/>
  <c r="S8" i="56"/>
  <c r="L8" i="56"/>
  <c r="K8" i="56"/>
  <c r="F8" i="56"/>
  <c r="A8" i="56"/>
  <c r="A9" i="56" s="1"/>
  <c r="A10" i="56" s="1"/>
  <c r="A11" i="56" s="1"/>
  <c r="A12" i="56" s="1"/>
  <c r="A13" i="56" s="1"/>
  <c r="A14" i="56" s="1"/>
  <c r="A15" i="56" s="1"/>
  <c r="A16" i="56" s="1"/>
  <c r="A17" i="56" s="1"/>
  <c r="BF7" i="56"/>
  <c r="BC7" i="56"/>
  <c r="AZ7" i="56"/>
  <c r="AW7" i="56"/>
  <c r="AT7" i="56"/>
  <c r="AQ7" i="56"/>
  <c r="AN7" i="56"/>
  <c r="AK7" i="56"/>
  <c r="AK17" i="56" s="1"/>
  <c r="AA14" i="47" s="1"/>
  <c r="AH7" i="56"/>
  <c r="AE7" i="56"/>
  <c r="AB7" i="56"/>
  <c r="S7" i="56"/>
  <c r="L7" i="56"/>
  <c r="K7" i="56"/>
  <c r="F7" i="56"/>
  <c r="T6" i="56"/>
  <c r="U6" i="56" s="1"/>
  <c r="O6" i="56"/>
  <c r="R39" i="55"/>
  <c r="R37" i="55"/>
  <c r="R30" i="55"/>
  <c r="R29" i="55"/>
  <c r="Q27" i="55"/>
  <c r="Q25" i="55"/>
  <c r="T21" i="55"/>
  <c r="U21" i="55" s="1"/>
  <c r="O21" i="55"/>
  <c r="BS20" i="55"/>
  <c r="AU13" i="47" s="1"/>
  <c r="BR20" i="55"/>
  <c r="AT13" i="47" s="1"/>
  <c r="BE20" i="55"/>
  <c r="BD20" i="55"/>
  <c r="BB20" i="55"/>
  <c r="BA20" i="55"/>
  <c r="AX20" i="55"/>
  <c r="AV20" i="55"/>
  <c r="AU20" i="55"/>
  <c r="AS20" i="55"/>
  <c r="AR20" i="55"/>
  <c r="AP20" i="55"/>
  <c r="AO20" i="55"/>
  <c r="AM20" i="55"/>
  <c r="AL20" i="55"/>
  <c r="AJ20" i="55"/>
  <c r="AI20" i="55"/>
  <c r="AG20" i="55"/>
  <c r="AF20" i="55"/>
  <c r="AD20" i="55"/>
  <c r="AC20" i="55"/>
  <c r="AA20" i="55"/>
  <c r="Z20" i="55"/>
  <c r="Y20" i="55"/>
  <c r="X20" i="55"/>
  <c r="W20" i="55"/>
  <c r="U13" i="47" s="1"/>
  <c r="R20" i="55"/>
  <c r="P13" i="47" s="1"/>
  <c r="Q20" i="55"/>
  <c r="J20" i="55"/>
  <c r="I20" i="55"/>
  <c r="H20" i="55"/>
  <c r="F13" i="47" s="1"/>
  <c r="G20" i="55"/>
  <c r="E20" i="55"/>
  <c r="BF19" i="55"/>
  <c r="BC19" i="55"/>
  <c r="AY19" i="55"/>
  <c r="AZ19" i="55" s="1"/>
  <c r="AW19" i="55"/>
  <c r="AT19" i="55"/>
  <c r="AQ19" i="55"/>
  <c r="AN19" i="55"/>
  <c r="AK19" i="55"/>
  <c r="AH19" i="55"/>
  <c r="AE19" i="55"/>
  <c r="AB19" i="55"/>
  <c r="S19" i="55"/>
  <c r="K19" i="55"/>
  <c r="L19" i="55" s="1"/>
  <c r="P19" i="55" s="1"/>
  <c r="F19" i="55"/>
  <c r="BF18" i="55"/>
  <c r="BC18" i="55"/>
  <c r="AY18" i="55"/>
  <c r="AY20" i="55" s="1"/>
  <c r="AW18" i="55"/>
  <c r="AT18" i="55"/>
  <c r="AQ18" i="55"/>
  <c r="AN18" i="55"/>
  <c r="AK18" i="55"/>
  <c r="AH18" i="55"/>
  <c r="AE18" i="55"/>
  <c r="AB18" i="55"/>
  <c r="S18" i="55"/>
  <c r="N18" i="55"/>
  <c r="K18" i="55"/>
  <c r="L18" i="55" s="1"/>
  <c r="P18" i="55" s="1"/>
  <c r="F18" i="55"/>
  <c r="BF17" i="55"/>
  <c r="BC17" i="55"/>
  <c r="AZ17" i="55"/>
  <c r="AW17" i="55"/>
  <c r="AT17" i="55"/>
  <c r="AQ17" i="55"/>
  <c r="AN17" i="55"/>
  <c r="AK17" i="55"/>
  <c r="AH17" i="55"/>
  <c r="AE17" i="55"/>
  <c r="AB17" i="55"/>
  <c r="S17" i="55"/>
  <c r="L17" i="55"/>
  <c r="K17" i="55"/>
  <c r="F17" i="55"/>
  <c r="BF16" i="55"/>
  <c r="BC16" i="55"/>
  <c r="AZ16" i="55"/>
  <c r="AW16" i="55"/>
  <c r="AT16" i="55"/>
  <c r="AQ16" i="55"/>
  <c r="AN16" i="55"/>
  <c r="AK16" i="55"/>
  <c r="AH16" i="55"/>
  <c r="AE16" i="55"/>
  <c r="AB16" i="55"/>
  <c r="S16" i="55"/>
  <c r="K16" i="55"/>
  <c r="L16" i="55" s="1"/>
  <c r="F16" i="55"/>
  <c r="BF15" i="55"/>
  <c r="BC15" i="55"/>
  <c r="AZ15" i="55"/>
  <c r="AW15" i="55"/>
  <c r="AT15" i="55"/>
  <c r="AQ15" i="55"/>
  <c r="AN15" i="55"/>
  <c r="AK15" i="55"/>
  <c r="AH15" i="55"/>
  <c r="AE15" i="55"/>
  <c r="AB15" i="55"/>
  <c r="S15" i="55"/>
  <c r="K15" i="55"/>
  <c r="L15" i="55" s="1"/>
  <c r="F15" i="55"/>
  <c r="BF14" i="55"/>
  <c r="BC14" i="55"/>
  <c r="AZ14" i="55"/>
  <c r="AW14" i="55"/>
  <c r="AT14" i="55"/>
  <c r="AQ14" i="55"/>
  <c r="AN14" i="55"/>
  <c r="AK14" i="55"/>
  <c r="AH14" i="55"/>
  <c r="AE14" i="55"/>
  <c r="AB14" i="55"/>
  <c r="S14" i="55"/>
  <c r="K14" i="55"/>
  <c r="L14" i="55" s="1"/>
  <c r="F14" i="55"/>
  <c r="BF13" i="55"/>
  <c r="BC13" i="55"/>
  <c r="AZ13" i="55"/>
  <c r="AW13" i="55"/>
  <c r="AT13" i="55"/>
  <c r="AQ13" i="55"/>
  <c r="AN13" i="55"/>
  <c r="AK13" i="55"/>
  <c r="AH13" i="55"/>
  <c r="AE13" i="55"/>
  <c r="AB13" i="55"/>
  <c r="BG13" i="55" s="1"/>
  <c r="BI13" i="55" s="1"/>
  <c r="BK13" i="55" s="1"/>
  <c r="S13" i="55"/>
  <c r="N13" i="55"/>
  <c r="K13" i="55"/>
  <c r="L13" i="55" s="1"/>
  <c r="P13" i="55" s="1"/>
  <c r="F13" i="55"/>
  <c r="BF12" i="55"/>
  <c r="BC12" i="55"/>
  <c r="AZ12" i="55"/>
  <c r="AW12" i="55"/>
  <c r="AT12" i="55"/>
  <c r="AQ12" i="55"/>
  <c r="AN12" i="55"/>
  <c r="AK12" i="55"/>
  <c r="AH12" i="55"/>
  <c r="AE12" i="55"/>
  <c r="AB12" i="55"/>
  <c r="S12" i="55"/>
  <c r="R12" i="55"/>
  <c r="N12" i="55"/>
  <c r="K12" i="55"/>
  <c r="L12" i="55" s="1"/>
  <c r="F12" i="55"/>
  <c r="BF11" i="55"/>
  <c r="BC11" i="55"/>
  <c r="AZ11" i="55"/>
  <c r="AW11" i="55"/>
  <c r="AT11" i="55"/>
  <c r="AQ11" i="55"/>
  <c r="AN11" i="55"/>
  <c r="AK11" i="55"/>
  <c r="BG11" i="55" s="1"/>
  <c r="BI11" i="55" s="1"/>
  <c r="BK11" i="55" s="1"/>
  <c r="AH11" i="55"/>
  <c r="AE11" i="55"/>
  <c r="AB11" i="55"/>
  <c r="S11" i="55"/>
  <c r="K11" i="55"/>
  <c r="L11" i="55" s="1"/>
  <c r="F11" i="55"/>
  <c r="BF10" i="55"/>
  <c r="BC10" i="55"/>
  <c r="AZ10" i="55"/>
  <c r="AW10" i="55"/>
  <c r="AT10" i="55"/>
  <c r="AQ10" i="55"/>
  <c r="AN10" i="55"/>
  <c r="AK10" i="55"/>
  <c r="AH10" i="55"/>
  <c r="AE10" i="55"/>
  <c r="AB10" i="55"/>
  <c r="S10" i="55"/>
  <c r="K10" i="55"/>
  <c r="L10" i="55" s="1"/>
  <c r="F10" i="55"/>
  <c r="BF9" i="55"/>
  <c r="BC9" i="55"/>
  <c r="AZ9" i="55"/>
  <c r="AW9" i="55"/>
  <c r="AT9" i="55"/>
  <c r="AQ9" i="55"/>
  <c r="AN9" i="55"/>
  <c r="AK9" i="55"/>
  <c r="AH9" i="55"/>
  <c r="AE9" i="55"/>
  <c r="AB9" i="55"/>
  <c r="S9" i="55"/>
  <c r="N9" i="55"/>
  <c r="K9" i="55"/>
  <c r="F9" i="55"/>
  <c r="BF8" i="55"/>
  <c r="BC8" i="55"/>
  <c r="AZ8" i="55"/>
  <c r="AW8" i="55"/>
  <c r="AT8" i="55"/>
  <c r="AQ8" i="55"/>
  <c r="AN8" i="55"/>
  <c r="AK8" i="55"/>
  <c r="AH8" i="55"/>
  <c r="AE8" i="55"/>
  <c r="AB8" i="55"/>
  <c r="S8" i="55"/>
  <c r="K8" i="55"/>
  <c r="L8" i="55" s="1"/>
  <c r="P8" i="55" s="1"/>
  <c r="D8" i="55"/>
  <c r="A8" i="55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BF7" i="55"/>
  <c r="BC7" i="55"/>
  <c r="AZ7" i="55"/>
  <c r="AW7" i="55"/>
  <c r="AT7" i="55"/>
  <c r="AQ7" i="55"/>
  <c r="AN7" i="55"/>
  <c r="AK7" i="55"/>
  <c r="AH7" i="55"/>
  <c r="AE7" i="55"/>
  <c r="AB7" i="55"/>
  <c r="S7" i="55"/>
  <c r="K7" i="55"/>
  <c r="L7" i="55" s="1"/>
  <c r="P7" i="55" s="1"/>
  <c r="M7" i="55" s="1"/>
  <c r="T7" i="55" s="1"/>
  <c r="U7" i="55" s="1"/>
  <c r="D7" i="55"/>
  <c r="BF6" i="55"/>
  <c r="BC6" i="55"/>
  <c r="AZ6" i="55"/>
  <c r="AW6" i="55"/>
  <c r="AT6" i="55"/>
  <c r="AQ6" i="55"/>
  <c r="AN6" i="55"/>
  <c r="AK6" i="55"/>
  <c r="AH6" i="55"/>
  <c r="AE6" i="55"/>
  <c r="AB6" i="55"/>
  <c r="AB20" i="55" s="1"/>
  <c r="X13" i="47" s="1"/>
  <c r="S6" i="55"/>
  <c r="K6" i="55"/>
  <c r="L6" i="55" s="1"/>
  <c r="F6" i="55"/>
  <c r="A6" i="55"/>
  <c r="A7" i="55" s="1"/>
  <c r="R95" i="54"/>
  <c r="R96" i="54" s="1"/>
  <c r="Q89" i="54"/>
  <c r="Q90" i="54" s="1"/>
  <c r="R83" i="54"/>
  <c r="Q81" i="54"/>
  <c r="Q79" i="54"/>
  <c r="Q76" i="54"/>
  <c r="Q75" i="54"/>
  <c r="Q73" i="54"/>
  <c r="BT70" i="54"/>
  <c r="T68" i="54"/>
  <c r="U68" i="54" s="1"/>
  <c r="O68" i="54"/>
  <c r="BE67" i="54"/>
  <c r="BD67" i="54"/>
  <c r="BB67" i="54"/>
  <c r="BA67" i="54"/>
  <c r="AY67" i="54"/>
  <c r="AX67" i="54"/>
  <c r="AV67" i="54"/>
  <c r="AU67" i="54"/>
  <c r="AS67" i="54"/>
  <c r="AR67" i="54"/>
  <c r="AP67" i="54"/>
  <c r="AO67" i="54"/>
  <c r="AM67" i="54"/>
  <c r="AL67" i="54"/>
  <c r="AJ67" i="54"/>
  <c r="AI67" i="54"/>
  <c r="AG67" i="54"/>
  <c r="AF67" i="54"/>
  <c r="AD67" i="54"/>
  <c r="AC67" i="54"/>
  <c r="AA67" i="54"/>
  <c r="Z67" i="54"/>
  <c r="Y67" i="54"/>
  <c r="X67" i="54"/>
  <c r="V67" i="54"/>
  <c r="R67" i="54"/>
  <c r="Q67" i="54"/>
  <c r="N67" i="54"/>
  <c r="J67" i="54"/>
  <c r="I67" i="54"/>
  <c r="H67" i="54"/>
  <c r="G67" i="54"/>
  <c r="E67" i="54"/>
  <c r="C12" i="47" s="1"/>
  <c r="BF66" i="54"/>
  <c r="BC66" i="54"/>
  <c r="AZ66" i="54"/>
  <c r="AW66" i="54"/>
  <c r="AT66" i="54"/>
  <c r="AQ66" i="54"/>
  <c r="AN66" i="54"/>
  <c r="AK66" i="54"/>
  <c r="AH66" i="54"/>
  <c r="AE66" i="54"/>
  <c r="BG66" i="54" s="1"/>
  <c r="BI66" i="54" s="1"/>
  <c r="AB66" i="54"/>
  <c r="S66" i="54"/>
  <c r="K66" i="54"/>
  <c r="L66" i="54" s="1"/>
  <c r="P66" i="54" s="1"/>
  <c r="F66" i="54"/>
  <c r="BF65" i="54"/>
  <c r="BC65" i="54"/>
  <c r="AZ65" i="54"/>
  <c r="AW65" i="54"/>
  <c r="AT65" i="54"/>
  <c r="AQ65" i="54"/>
  <c r="AN65" i="54"/>
  <c r="AK65" i="54"/>
  <c r="AH65" i="54"/>
  <c r="AE65" i="54"/>
  <c r="AB65" i="54"/>
  <c r="S65" i="54"/>
  <c r="K65" i="54"/>
  <c r="L65" i="54" s="1"/>
  <c r="F65" i="54"/>
  <c r="BF64" i="54"/>
  <c r="BC64" i="54"/>
  <c r="AZ64" i="54"/>
  <c r="AW64" i="54"/>
  <c r="AT64" i="54"/>
  <c r="AQ64" i="54"/>
  <c r="AN64" i="54"/>
  <c r="AK64" i="54"/>
  <c r="AH64" i="54"/>
  <c r="AE64" i="54"/>
  <c r="AB64" i="54"/>
  <c r="S64" i="54"/>
  <c r="K64" i="54"/>
  <c r="L64" i="54" s="1"/>
  <c r="F64" i="54"/>
  <c r="BF63" i="54"/>
  <c r="BC63" i="54"/>
  <c r="AZ63" i="54"/>
  <c r="AW63" i="54"/>
  <c r="AT63" i="54"/>
  <c r="AQ63" i="54"/>
  <c r="AN63" i="54"/>
  <c r="AK63" i="54"/>
  <c r="AH63" i="54"/>
  <c r="AE63" i="54"/>
  <c r="AB63" i="54"/>
  <c r="S63" i="54"/>
  <c r="K63" i="54"/>
  <c r="L63" i="54" s="1"/>
  <c r="P63" i="54" s="1"/>
  <c r="F63" i="54"/>
  <c r="BF62" i="54"/>
  <c r="BC62" i="54"/>
  <c r="AZ62" i="54"/>
  <c r="AW62" i="54"/>
  <c r="AT62" i="54"/>
  <c r="AQ62" i="54"/>
  <c r="AN62" i="54"/>
  <c r="AK62" i="54"/>
  <c r="AH62" i="54"/>
  <c r="AE62" i="54"/>
  <c r="AB62" i="54"/>
  <c r="S62" i="54"/>
  <c r="K62" i="54"/>
  <c r="L62" i="54" s="1"/>
  <c r="P62" i="54" s="1"/>
  <c r="D62" i="54"/>
  <c r="BF61" i="54"/>
  <c r="BC61" i="54"/>
  <c r="AZ61" i="54"/>
  <c r="AW61" i="54"/>
  <c r="AT61" i="54"/>
  <c r="AQ61" i="54"/>
  <c r="AN61" i="54"/>
  <c r="AK61" i="54"/>
  <c r="AH61" i="54"/>
  <c r="AE61" i="54"/>
  <c r="AB61" i="54"/>
  <c r="S61" i="54"/>
  <c r="K61" i="54"/>
  <c r="L61" i="54" s="1"/>
  <c r="P61" i="54" s="1"/>
  <c r="D61" i="54"/>
  <c r="BF60" i="54"/>
  <c r="BC60" i="54"/>
  <c r="AZ60" i="54"/>
  <c r="AW60" i="54"/>
  <c r="AT60" i="54"/>
  <c r="AQ60" i="54"/>
  <c r="AN60" i="54"/>
  <c r="AK60" i="54"/>
  <c r="AH60" i="54"/>
  <c r="AE60" i="54"/>
  <c r="AB60" i="54"/>
  <c r="S60" i="54"/>
  <c r="K60" i="54"/>
  <c r="L60" i="54" s="1"/>
  <c r="P60" i="54" s="1"/>
  <c r="M60" i="54" s="1"/>
  <c r="T60" i="54" s="1"/>
  <c r="U60" i="54" s="1"/>
  <c r="F60" i="54"/>
  <c r="D60" i="54"/>
  <c r="BF59" i="54"/>
  <c r="BC59" i="54"/>
  <c r="AZ59" i="54"/>
  <c r="AW59" i="54"/>
  <c r="AT59" i="54"/>
  <c r="AQ59" i="54"/>
  <c r="AN59" i="54"/>
  <c r="AK59" i="54"/>
  <c r="AH59" i="54"/>
  <c r="AE59" i="54"/>
  <c r="AB59" i="54"/>
  <c r="S59" i="54"/>
  <c r="K59" i="54"/>
  <c r="L59" i="54" s="1"/>
  <c r="P59" i="54" s="1"/>
  <c r="M59" i="54" s="1"/>
  <c r="F59" i="54"/>
  <c r="BF58" i="54"/>
  <c r="BC58" i="54"/>
  <c r="AZ58" i="54"/>
  <c r="AW58" i="54"/>
  <c r="AT58" i="54"/>
  <c r="AQ58" i="54"/>
  <c r="AN58" i="54"/>
  <c r="AK58" i="54"/>
  <c r="AH58" i="54"/>
  <c r="AE58" i="54"/>
  <c r="AB58" i="54"/>
  <c r="S58" i="54"/>
  <c r="L58" i="54"/>
  <c r="P58" i="54" s="1"/>
  <c r="K58" i="54"/>
  <c r="D58" i="54"/>
  <c r="A58" i="54"/>
  <c r="A59" i="54" s="1"/>
  <c r="A60" i="54" s="1"/>
  <c r="A61" i="54" s="1"/>
  <c r="A62" i="54" s="1"/>
  <c r="A63" i="54" s="1"/>
  <c r="A64" i="54" s="1"/>
  <c r="A65" i="54" s="1"/>
  <c r="A66" i="54" s="1"/>
  <c r="A67" i="54" s="1"/>
  <c r="BF57" i="54"/>
  <c r="BC57" i="54"/>
  <c r="AZ57" i="54"/>
  <c r="AW57" i="54"/>
  <c r="AT57" i="54"/>
  <c r="AQ57" i="54"/>
  <c r="AN57" i="54"/>
  <c r="AK57" i="54"/>
  <c r="AH57" i="54"/>
  <c r="AH67" i="54" s="1"/>
  <c r="Z12" i="47" s="1"/>
  <c r="AE57" i="54"/>
  <c r="AB57" i="54"/>
  <c r="S57" i="54"/>
  <c r="K57" i="54"/>
  <c r="F57" i="54"/>
  <c r="D57" i="54"/>
  <c r="T56" i="54"/>
  <c r="U56" i="54" s="1"/>
  <c r="O56" i="54"/>
  <c r="U55" i="54"/>
  <c r="O55" i="54"/>
  <c r="BE54" i="54"/>
  <c r="BD54" i="54"/>
  <c r="BB54" i="54"/>
  <c r="BA54" i="54"/>
  <c r="AY54" i="54"/>
  <c r="AX54" i="54"/>
  <c r="AV54" i="54"/>
  <c r="AU54" i="54"/>
  <c r="AS54" i="54"/>
  <c r="AR54" i="54"/>
  <c r="AP54" i="54"/>
  <c r="AO54" i="54"/>
  <c r="AM54" i="54"/>
  <c r="AL54" i="54"/>
  <c r="AJ54" i="54"/>
  <c r="AI54" i="54"/>
  <c r="AG54" i="54"/>
  <c r="AF54" i="54"/>
  <c r="AD54" i="54"/>
  <c r="AC54" i="54"/>
  <c r="AA54" i="54"/>
  <c r="Z54" i="54"/>
  <c r="Y54" i="54"/>
  <c r="W11" i="47" s="1"/>
  <c r="X54" i="54"/>
  <c r="V11" i="47" s="1"/>
  <c r="V54" i="54"/>
  <c r="R54" i="54"/>
  <c r="P11" i="47" s="1"/>
  <c r="Q54" i="54"/>
  <c r="O11" i="47" s="1"/>
  <c r="N54" i="54"/>
  <c r="J54" i="54"/>
  <c r="H11" i="47" s="1"/>
  <c r="I54" i="54"/>
  <c r="G11" i="47" s="1"/>
  <c r="H54" i="54"/>
  <c r="F11" i="47" s="1"/>
  <c r="G54" i="54"/>
  <c r="E11" i="47" s="1"/>
  <c r="E54" i="54"/>
  <c r="C11" i="47" s="1"/>
  <c r="BF53" i="54"/>
  <c r="BC53" i="54"/>
  <c r="AZ53" i="54"/>
  <c r="AW53" i="54"/>
  <c r="AT53" i="54"/>
  <c r="AQ53" i="54"/>
  <c r="AN53" i="54"/>
  <c r="AK53" i="54"/>
  <c r="AH53" i="54"/>
  <c r="AE53" i="54"/>
  <c r="AB53" i="54"/>
  <c r="S53" i="54"/>
  <c r="K53" i="54"/>
  <c r="L53" i="54" s="1"/>
  <c r="BF52" i="54"/>
  <c r="BC52" i="54"/>
  <c r="AZ52" i="54"/>
  <c r="AW52" i="54"/>
  <c r="AT52" i="54"/>
  <c r="AQ52" i="54"/>
  <c r="AN52" i="54"/>
  <c r="AK52" i="54"/>
  <c r="AH52" i="54"/>
  <c r="AE52" i="54"/>
  <c r="AB52" i="54"/>
  <c r="S52" i="54"/>
  <c r="K52" i="54"/>
  <c r="L52" i="54" s="1"/>
  <c r="F52" i="54"/>
  <c r="BF51" i="54"/>
  <c r="BC51" i="54"/>
  <c r="AZ51" i="54"/>
  <c r="AW51" i="54"/>
  <c r="AT51" i="54"/>
  <c r="AQ51" i="54"/>
  <c r="AN51" i="54"/>
  <c r="AK51" i="54"/>
  <c r="AH51" i="54"/>
  <c r="AE51" i="54"/>
  <c r="AB51" i="54"/>
  <c r="S51" i="54"/>
  <c r="K51" i="54"/>
  <c r="L51" i="54" s="1"/>
  <c r="P51" i="54" s="1"/>
  <c r="F51" i="54"/>
  <c r="BF50" i="54"/>
  <c r="BC50" i="54"/>
  <c r="AZ50" i="54"/>
  <c r="AW50" i="54"/>
  <c r="AT50" i="54"/>
  <c r="AQ50" i="54"/>
  <c r="AN50" i="54"/>
  <c r="AK50" i="54"/>
  <c r="AH50" i="54"/>
  <c r="AE50" i="54"/>
  <c r="AB50" i="54"/>
  <c r="S50" i="54"/>
  <c r="K50" i="54"/>
  <c r="L50" i="54" s="1"/>
  <c r="P50" i="54" s="1"/>
  <c r="F50" i="54"/>
  <c r="BF49" i="54"/>
  <c r="BC49" i="54"/>
  <c r="AZ49" i="54"/>
  <c r="AW49" i="54"/>
  <c r="AT49" i="54"/>
  <c r="AQ49" i="54"/>
  <c r="AN49" i="54"/>
  <c r="AK49" i="54"/>
  <c r="AH49" i="54"/>
  <c r="AE49" i="54"/>
  <c r="AB49" i="54"/>
  <c r="S49" i="54"/>
  <c r="K49" i="54"/>
  <c r="L49" i="54" s="1"/>
  <c r="F49" i="54"/>
  <c r="BF48" i="54"/>
  <c r="BC48" i="54"/>
  <c r="AZ48" i="54"/>
  <c r="AW48" i="54"/>
  <c r="AT48" i="54"/>
  <c r="AQ48" i="54"/>
  <c r="AN48" i="54"/>
  <c r="AK48" i="54"/>
  <c r="AH48" i="54"/>
  <c r="AE48" i="54"/>
  <c r="AB48" i="54"/>
  <c r="S48" i="54"/>
  <c r="K48" i="54"/>
  <c r="L48" i="54" s="1"/>
  <c r="P48" i="54" s="1"/>
  <c r="M48" i="54" s="1"/>
  <c r="O48" i="54" s="1"/>
  <c r="F48" i="54"/>
  <c r="BF47" i="54"/>
  <c r="BC47" i="54"/>
  <c r="AZ47" i="54"/>
  <c r="AW47" i="54"/>
  <c r="AT47" i="54"/>
  <c r="AQ47" i="54"/>
  <c r="AN47" i="54"/>
  <c r="AK47" i="54"/>
  <c r="AH47" i="54"/>
  <c r="AE47" i="54"/>
  <c r="AB47" i="54"/>
  <c r="S47" i="54"/>
  <c r="K47" i="54"/>
  <c r="L47" i="54" s="1"/>
  <c r="F47" i="54"/>
  <c r="BF46" i="54"/>
  <c r="BC46" i="54"/>
  <c r="AZ46" i="54"/>
  <c r="AW46" i="54"/>
  <c r="AT46" i="54"/>
  <c r="AQ46" i="54"/>
  <c r="AN46" i="54"/>
  <c r="AK46" i="54"/>
  <c r="AH46" i="54"/>
  <c r="AE46" i="54"/>
  <c r="AB46" i="54"/>
  <c r="S46" i="54"/>
  <c r="K46" i="54"/>
  <c r="L46" i="54" s="1"/>
  <c r="F46" i="54"/>
  <c r="BF45" i="54"/>
  <c r="BC45" i="54"/>
  <c r="AZ45" i="54"/>
  <c r="AW45" i="54"/>
  <c r="AT45" i="54"/>
  <c r="AQ45" i="54"/>
  <c r="AN45" i="54"/>
  <c r="AK45" i="54"/>
  <c r="AH45" i="54"/>
  <c r="AE45" i="54"/>
  <c r="AB45" i="54"/>
  <c r="S45" i="54"/>
  <c r="K45" i="54"/>
  <c r="L45" i="54" s="1"/>
  <c r="F45" i="54"/>
  <c r="BF44" i="54"/>
  <c r="BC44" i="54"/>
  <c r="AZ44" i="54"/>
  <c r="AW44" i="54"/>
  <c r="AT44" i="54"/>
  <c r="AQ44" i="54"/>
  <c r="AN44" i="54"/>
  <c r="AK44" i="54"/>
  <c r="AH44" i="54"/>
  <c r="AE44" i="54"/>
  <c r="AB44" i="54"/>
  <c r="S44" i="54"/>
  <c r="L44" i="54"/>
  <c r="P44" i="54" s="1"/>
  <c r="K44" i="54"/>
  <c r="F44" i="54"/>
  <c r="BF43" i="54"/>
  <c r="BC43" i="54"/>
  <c r="AZ43" i="54"/>
  <c r="AW43" i="54"/>
  <c r="AT43" i="54"/>
  <c r="AQ43" i="54"/>
  <c r="AN43" i="54"/>
  <c r="AK43" i="54"/>
  <c r="AH43" i="54"/>
  <c r="AE43" i="54"/>
  <c r="AB43" i="54"/>
  <c r="S43" i="54"/>
  <c r="K43" i="54"/>
  <c r="L43" i="54" s="1"/>
  <c r="P43" i="54" s="1"/>
  <c r="F43" i="54"/>
  <c r="BF42" i="54"/>
  <c r="BC42" i="54"/>
  <c r="AZ42" i="54"/>
  <c r="AW42" i="54"/>
  <c r="AT42" i="54"/>
  <c r="AQ42" i="54"/>
  <c r="AN42" i="54"/>
  <c r="AK42" i="54"/>
  <c r="AH42" i="54"/>
  <c r="AE42" i="54"/>
  <c r="AB42" i="54"/>
  <c r="S42" i="54"/>
  <c r="K42" i="54"/>
  <c r="L42" i="54" s="1"/>
  <c r="F42" i="54"/>
  <c r="BF41" i="54"/>
  <c r="BC41" i="54"/>
  <c r="AZ41" i="54"/>
  <c r="AW41" i="54"/>
  <c r="AT41" i="54"/>
  <c r="AQ41" i="54"/>
  <c r="AN41" i="54"/>
  <c r="AK41" i="54"/>
  <c r="AH41" i="54"/>
  <c r="AE41" i="54"/>
  <c r="AB41" i="54"/>
  <c r="S41" i="54"/>
  <c r="L41" i="54"/>
  <c r="P41" i="54" s="1"/>
  <c r="K41" i="54"/>
  <c r="D41" i="54"/>
  <c r="BF40" i="54"/>
  <c r="BC40" i="54"/>
  <c r="AZ40" i="54"/>
  <c r="AW40" i="54"/>
  <c r="AT40" i="54"/>
  <c r="AQ40" i="54"/>
  <c r="AN40" i="54"/>
  <c r="AK40" i="54"/>
  <c r="AH40" i="54"/>
  <c r="AE40" i="54"/>
  <c r="AB40" i="54"/>
  <c r="S40" i="54"/>
  <c r="K40" i="54"/>
  <c r="L40" i="54" s="1"/>
  <c r="F40" i="54"/>
  <c r="BF39" i="54"/>
  <c r="BC39" i="54"/>
  <c r="AZ39" i="54"/>
  <c r="AW39" i="54"/>
  <c r="AT39" i="54"/>
  <c r="AQ39" i="54"/>
  <c r="AN39" i="54"/>
  <c r="AK39" i="54"/>
  <c r="AH39" i="54"/>
  <c r="AE39" i="54"/>
  <c r="AB39" i="54"/>
  <c r="S39" i="54"/>
  <c r="K39" i="54"/>
  <c r="L39" i="54" s="1"/>
  <c r="P39" i="54" s="1"/>
  <c r="F39" i="54"/>
  <c r="BF38" i="54"/>
  <c r="BC38" i="54"/>
  <c r="AZ38" i="54"/>
  <c r="AW38" i="54"/>
  <c r="AT38" i="54"/>
  <c r="AQ38" i="54"/>
  <c r="AN38" i="54"/>
  <c r="AK38" i="54"/>
  <c r="AH38" i="54"/>
  <c r="AE38" i="54"/>
  <c r="AB38" i="54"/>
  <c r="S38" i="54"/>
  <c r="K38" i="54"/>
  <c r="L38" i="54" s="1"/>
  <c r="F38" i="54"/>
  <c r="BF37" i="54"/>
  <c r="BC37" i="54"/>
  <c r="AZ37" i="54"/>
  <c r="AW37" i="54"/>
  <c r="AT37" i="54"/>
  <c r="AQ37" i="54"/>
  <c r="AN37" i="54"/>
  <c r="AK37" i="54"/>
  <c r="AH37" i="54"/>
  <c r="AE37" i="54"/>
  <c r="AB37" i="54"/>
  <c r="S37" i="54"/>
  <c r="K37" i="54"/>
  <c r="L37" i="54" s="1"/>
  <c r="P37" i="54" s="1"/>
  <c r="F37" i="54"/>
  <c r="BF36" i="54"/>
  <c r="BC36" i="54"/>
  <c r="AZ36" i="54"/>
  <c r="AW36" i="54"/>
  <c r="AT36" i="54"/>
  <c r="AQ36" i="54"/>
  <c r="AN36" i="54"/>
  <c r="AK36" i="54"/>
  <c r="AH36" i="54"/>
  <c r="AE36" i="54"/>
  <c r="AB36" i="54"/>
  <c r="S36" i="54"/>
  <c r="K36" i="54"/>
  <c r="L36" i="54" s="1"/>
  <c r="P36" i="54" s="1"/>
  <c r="F36" i="54"/>
  <c r="A36" i="54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4" i="54" s="1"/>
  <c r="BF35" i="54"/>
  <c r="BC35" i="54"/>
  <c r="AZ35" i="54"/>
  <c r="AW35" i="54"/>
  <c r="AT35" i="54"/>
  <c r="AQ35" i="54"/>
  <c r="AN35" i="54"/>
  <c r="AK35" i="54"/>
  <c r="AH35" i="54"/>
  <c r="AE35" i="54"/>
  <c r="AB35" i="54"/>
  <c r="S35" i="54"/>
  <c r="K35" i="54"/>
  <c r="L35" i="54" s="1"/>
  <c r="P35" i="54" s="1"/>
  <c r="F35" i="54"/>
  <c r="BF34" i="54"/>
  <c r="BC34" i="54"/>
  <c r="AZ34" i="54"/>
  <c r="AZ54" i="54" s="1"/>
  <c r="AF11" i="47" s="1"/>
  <c r="AW34" i="54"/>
  <c r="AT34" i="54"/>
  <c r="AQ34" i="54"/>
  <c r="AN34" i="54"/>
  <c r="AK34" i="54"/>
  <c r="AH34" i="54"/>
  <c r="AE34" i="54"/>
  <c r="AB34" i="54"/>
  <c r="S34" i="54"/>
  <c r="K34" i="54"/>
  <c r="L34" i="54" s="1"/>
  <c r="F34" i="54"/>
  <c r="BF33" i="54"/>
  <c r="BC33" i="54"/>
  <c r="AZ33" i="54"/>
  <c r="AW33" i="54"/>
  <c r="AT33" i="54"/>
  <c r="AQ33" i="54"/>
  <c r="AN33" i="54"/>
  <c r="AK33" i="54"/>
  <c r="AH33" i="54"/>
  <c r="AE33" i="54"/>
  <c r="AB33" i="54"/>
  <c r="S33" i="54"/>
  <c r="L33" i="54"/>
  <c r="P33" i="54" s="1"/>
  <c r="K33" i="54"/>
  <c r="F33" i="54"/>
  <c r="BF32" i="54"/>
  <c r="BC32" i="54"/>
  <c r="AZ32" i="54"/>
  <c r="AW32" i="54"/>
  <c r="AT32" i="54"/>
  <c r="AT54" i="54" s="1"/>
  <c r="AD11" i="47" s="1"/>
  <c r="AQ32" i="54"/>
  <c r="AN32" i="54"/>
  <c r="AK32" i="54"/>
  <c r="AH32" i="54"/>
  <c r="AE32" i="54"/>
  <c r="AB32" i="54"/>
  <c r="S32" i="54"/>
  <c r="K32" i="54"/>
  <c r="L32" i="54" s="1"/>
  <c r="F32" i="54"/>
  <c r="A32" i="54"/>
  <c r="A33" i="54" s="1"/>
  <c r="A34" i="54" s="1"/>
  <c r="A35" i="54" s="1"/>
  <c r="BF31" i="54"/>
  <c r="BC31" i="54"/>
  <c r="AZ31" i="54"/>
  <c r="AW31" i="54"/>
  <c r="AT31" i="54"/>
  <c r="AQ31" i="54"/>
  <c r="AN31" i="54"/>
  <c r="AK31" i="54"/>
  <c r="AH31" i="54"/>
  <c r="AE31" i="54"/>
  <c r="AB31" i="54"/>
  <c r="S31" i="54"/>
  <c r="K31" i="54"/>
  <c r="F31" i="54"/>
  <c r="T30" i="54"/>
  <c r="U30" i="54" s="1"/>
  <c r="BS28" i="54"/>
  <c r="AU10" i="47" s="1"/>
  <c r="BE28" i="54"/>
  <c r="BD28" i="54"/>
  <c r="BB28" i="54"/>
  <c r="BA28" i="54"/>
  <c r="AY28" i="54"/>
  <c r="AX28" i="54"/>
  <c r="AV28" i="54"/>
  <c r="AU28" i="54"/>
  <c r="AS28" i="54"/>
  <c r="AR28" i="54"/>
  <c r="AP28" i="54"/>
  <c r="AO28" i="54"/>
  <c r="AM28" i="54"/>
  <c r="AL28" i="54"/>
  <c r="AJ28" i="54"/>
  <c r="AI28" i="54"/>
  <c r="AG28" i="54"/>
  <c r="AF28" i="54"/>
  <c r="AD28" i="54"/>
  <c r="AA28" i="54"/>
  <c r="Z28" i="54"/>
  <c r="Y28" i="54"/>
  <c r="W10" i="47" s="1"/>
  <c r="X28" i="54"/>
  <c r="V10" i="47" s="1"/>
  <c r="R28" i="54"/>
  <c r="J28" i="54"/>
  <c r="H10" i="47" s="1"/>
  <c r="I28" i="54"/>
  <c r="G10" i="47" s="1"/>
  <c r="H28" i="54"/>
  <c r="F10" i="47" s="1"/>
  <c r="G28" i="54"/>
  <c r="E10" i="47" s="1"/>
  <c r="E28" i="54"/>
  <c r="C10" i="47" s="1"/>
  <c r="BF27" i="54"/>
  <c r="BC27" i="54"/>
  <c r="AZ27" i="54"/>
  <c r="AW27" i="54"/>
  <c r="AT27" i="54"/>
  <c r="AQ27" i="54"/>
  <c r="AN27" i="54"/>
  <c r="AK27" i="54"/>
  <c r="AH27" i="54"/>
  <c r="AE27" i="54"/>
  <c r="BG27" i="54" s="1"/>
  <c r="BI27" i="54" s="1"/>
  <c r="BL27" i="54" s="1"/>
  <c r="AB27" i="54"/>
  <c r="S27" i="54"/>
  <c r="K27" i="54"/>
  <c r="L27" i="54" s="1"/>
  <c r="P27" i="54" s="1"/>
  <c r="F27" i="54"/>
  <c r="BF26" i="54"/>
  <c r="BC26" i="54"/>
  <c r="AZ26" i="54"/>
  <c r="AW26" i="54"/>
  <c r="AT26" i="54"/>
  <c r="AQ26" i="54"/>
  <c r="AN26" i="54"/>
  <c r="AK26" i="54"/>
  <c r="AH26" i="54"/>
  <c r="AE26" i="54"/>
  <c r="AB26" i="54"/>
  <c r="S26" i="54"/>
  <c r="K26" i="54"/>
  <c r="L26" i="54" s="1"/>
  <c r="F26" i="54"/>
  <c r="BF25" i="54"/>
  <c r="BC25" i="54"/>
  <c r="AZ25" i="54"/>
  <c r="AW25" i="54"/>
  <c r="AT25" i="54"/>
  <c r="AQ25" i="54"/>
  <c r="AN25" i="54"/>
  <c r="AK25" i="54"/>
  <c r="AH25" i="54"/>
  <c r="AE25" i="54"/>
  <c r="AB25" i="54"/>
  <c r="V25" i="54"/>
  <c r="V28" i="54" s="1"/>
  <c r="T10" i="47" s="1"/>
  <c r="S25" i="54"/>
  <c r="N25" i="54"/>
  <c r="K25" i="54"/>
  <c r="L25" i="54" s="1"/>
  <c r="P25" i="54" s="1"/>
  <c r="M25" i="54" s="1"/>
  <c r="O25" i="54" s="1"/>
  <c r="F25" i="54"/>
  <c r="BF24" i="54"/>
  <c r="BC24" i="54"/>
  <c r="AZ24" i="54"/>
  <c r="AW24" i="54"/>
  <c r="AT24" i="54"/>
  <c r="AQ24" i="54"/>
  <c r="AN24" i="54"/>
  <c r="AK24" i="54"/>
  <c r="BG24" i="54" s="1"/>
  <c r="BI24" i="54" s="1"/>
  <c r="BL24" i="54" s="1"/>
  <c r="AH24" i="54"/>
  <c r="AE24" i="54"/>
  <c r="AB24" i="54"/>
  <c r="S24" i="54"/>
  <c r="K24" i="54"/>
  <c r="L24" i="54" s="1"/>
  <c r="P24" i="54" s="1"/>
  <c r="F24" i="54"/>
  <c r="BF23" i="54"/>
  <c r="BC23" i="54"/>
  <c r="AZ23" i="54"/>
  <c r="AW23" i="54"/>
  <c r="AT23" i="54"/>
  <c r="AQ23" i="54"/>
  <c r="AN23" i="54"/>
  <c r="AK23" i="54"/>
  <c r="AH23" i="54"/>
  <c r="AE23" i="54"/>
  <c r="AB23" i="54"/>
  <c r="S23" i="54"/>
  <c r="K23" i="54"/>
  <c r="L23" i="54" s="1"/>
  <c r="P23" i="54" s="1"/>
  <c r="F23" i="54"/>
  <c r="BF22" i="54"/>
  <c r="BC22" i="54"/>
  <c r="AZ22" i="54"/>
  <c r="AW22" i="54"/>
  <c r="AT22" i="54"/>
  <c r="AQ22" i="54"/>
  <c r="AN22" i="54"/>
  <c r="AK22" i="54"/>
  <c r="AH22" i="54"/>
  <c r="AE22" i="54"/>
  <c r="AB22" i="54"/>
  <c r="S22" i="54"/>
  <c r="K22" i="54"/>
  <c r="L22" i="54" s="1"/>
  <c r="P22" i="54" s="1"/>
  <c r="M22" i="54" s="1"/>
  <c r="O22" i="54" s="1"/>
  <c r="F22" i="54"/>
  <c r="BF21" i="54"/>
  <c r="BC21" i="54"/>
  <c r="AZ21" i="54"/>
  <c r="AW21" i="54"/>
  <c r="AT21" i="54"/>
  <c r="AQ21" i="54"/>
  <c r="AN21" i="54"/>
  <c r="AK21" i="54"/>
  <c r="AH21" i="54"/>
  <c r="AE21" i="54"/>
  <c r="AB21" i="54"/>
  <c r="T21" i="54"/>
  <c r="U21" i="54" s="1"/>
  <c r="S21" i="54"/>
  <c r="K21" i="54"/>
  <c r="L21" i="54" s="1"/>
  <c r="P21" i="54" s="1"/>
  <c r="M21" i="54" s="1"/>
  <c r="F21" i="54"/>
  <c r="BF20" i="54"/>
  <c r="BC20" i="54"/>
  <c r="AZ20" i="54"/>
  <c r="AW20" i="54"/>
  <c r="AT20" i="54"/>
  <c r="AQ20" i="54"/>
  <c r="AN20" i="54"/>
  <c r="AK20" i="54"/>
  <c r="BG20" i="54" s="1"/>
  <c r="BI20" i="54" s="1"/>
  <c r="BL20" i="54" s="1"/>
  <c r="AH20" i="54"/>
  <c r="AE20" i="54"/>
  <c r="AB20" i="54"/>
  <c r="S20" i="54"/>
  <c r="N20" i="54"/>
  <c r="K20" i="54"/>
  <c r="L20" i="54" s="1"/>
  <c r="P20" i="54" s="1"/>
  <c r="F20" i="54"/>
  <c r="BF19" i="54"/>
  <c r="BC19" i="54"/>
  <c r="AZ19" i="54"/>
  <c r="AW19" i="54"/>
  <c r="AT19" i="54"/>
  <c r="AQ19" i="54"/>
  <c r="AN19" i="54"/>
  <c r="AK19" i="54"/>
  <c r="AH19" i="54"/>
  <c r="AE19" i="54"/>
  <c r="AB19" i="54"/>
  <c r="S19" i="54"/>
  <c r="N19" i="54"/>
  <c r="K19" i="54"/>
  <c r="L19" i="54" s="1"/>
  <c r="P19" i="54" s="1"/>
  <c r="F19" i="54"/>
  <c r="BF18" i="54"/>
  <c r="BC18" i="54"/>
  <c r="AZ18" i="54"/>
  <c r="AW18" i="54"/>
  <c r="AT18" i="54"/>
  <c r="AQ18" i="54"/>
  <c r="AN18" i="54"/>
  <c r="AK18" i="54"/>
  <c r="BG18" i="54" s="1"/>
  <c r="BI18" i="54" s="1"/>
  <c r="BL18" i="54" s="1"/>
  <c r="AH18" i="54"/>
  <c r="AE18" i="54"/>
  <c r="AB18" i="54"/>
  <c r="S18" i="54"/>
  <c r="L18" i="54"/>
  <c r="K18" i="54"/>
  <c r="F18" i="54"/>
  <c r="BF17" i="54"/>
  <c r="BC17" i="54"/>
  <c r="AZ17" i="54"/>
  <c r="AW17" i="54"/>
  <c r="AT17" i="54"/>
  <c r="AQ17" i="54"/>
  <c r="AN17" i="54"/>
  <c r="AK17" i="54"/>
  <c r="AH17" i="54"/>
  <c r="AE17" i="54"/>
  <c r="AB17" i="54"/>
  <c r="S17" i="54"/>
  <c r="N17" i="54"/>
  <c r="K17" i="54"/>
  <c r="L17" i="54" s="1"/>
  <c r="P17" i="54" s="1"/>
  <c r="F17" i="54"/>
  <c r="BF16" i="54"/>
  <c r="BC16" i="54"/>
  <c r="AZ16" i="54"/>
  <c r="AW16" i="54"/>
  <c r="AT16" i="54"/>
  <c r="AQ16" i="54"/>
  <c r="AN16" i="54"/>
  <c r="AK16" i="54"/>
  <c r="AH16" i="54"/>
  <c r="AE16" i="54"/>
  <c r="AB16" i="54"/>
  <c r="S16" i="54"/>
  <c r="N16" i="54"/>
  <c r="K16" i="54"/>
  <c r="L16" i="54" s="1"/>
  <c r="F16" i="54"/>
  <c r="BF15" i="54"/>
  <c r="BC15" i="54"/>
  <c r="AZ15" i="54"/>
  <c r="AW15" i="54"/>
  <c r="AR15" i="54"/>
  <c r="AT15" i="54" s="1"/>
  <c r="AQ15" i="54"/>
  <c r="AN15" i="54"/>
  <c r="AK15" i="54"/>
  <c r="AH15" i="54"/>
  <c r="AC15" i="54"/>
  <c r="AB15" i="54"/>
  <c r="S15" i="54"/>
  <c r="N15" i="54"/>
  <c r="K15" i="54"/>
  <c r="L15" i="54" s="1"/>
  <c r="F15" i="54"/>
  <c r="BF14" i="54"/>
  <c r="BC14" i="54"/>
  <c r="AZ14" i="54"/>
  <c r="AW14" i="54"/>
  <c r="AT14" i="54"/>
  <c r="AQ14" i="54"/>
  <c r="AN14" i="54"/>
  <c r="AK14" i="54"/>
  <c r="AH14" i="54"/>
  <c r="AE14" i="54"/>
  <c r="AB14" i="54"/>
  <c r="S14" i="54"/>
  <c r="N14" i="54"/>
  <c r="K14" i="54"/>
  <c r="L14" i="54" s="1"/>
  <c r="P14" i="54" s="1"/>
  <c r="F14" i="54"/>
  <c r="BF13" i="54"/>
  <c r="BC13" i="54"/>
  <c r="AZ13" i="54"/>
  <c r="AW13" i="54"/>
  <c r="AT13" i="54"/>
  <c r="AQ13" i="54"/>
  <c r="AN13" i="54"/>
  <c r="AK13" i="54"/>
  <c r="AH13" i="54"/>
  <c r="AE13" i="54"/>
  <c r="AB13" i="54"/>
  <c r="Q13" i="54"/>
  <c r="N13" i="54"/>
  <c r="K13" i="54"/>
  <c r="L13" i="54" s="1"/>
  <c r="P13" i="54" s="1"/>
  <c r="F13" i="54"/>
  <c r="BF12" i="54"/>
  <c r="BC12" i="54"/>
  <c r="AZ12" i="54"/>
  <c r="AW12" i="54"/>
  <c r="AT12" i="54"/>
  <c r="AQ12" i="54"/>
  <c r="AN12" i="54"/>
  <c r="AK12" i="54"/>
  <c r="AH12" i="54"/>
  <c r="AE12" i="54"/>
  <c r="AB12" i="54"/>
  <c r="S12" i="54"/>
  <c r="L12" i="54"/>
  <c r="P12" i="54" s="1"/>
  <c r="K12" i="54"/>
  <c r="D12" i="54"/>
  <c r="F12" i="54" s="1"/>
  <c r="BF11" i="54"/>
  <c r="BC11" i="54"/>
  <c r="AZ11" i="54"/>
  <c r="AW11" i="54"/>
  <c r="AT11" i="54"/>
  <c r="AQ11" i="54"/>
  <c r="AN11" i="54"/>
  <c r="AK11" i="54"/>
  <c r="AH11" i="54"/>
  <c r="AE11" i="54"/>
  <c r="AB11" i="54"/>
  <c r="S11" i="54"/>
  <c r="L11" i="54"/>
  <c r="K11" i="54"/>
  <c r="D11" i="54"/>
  <c r="D28" i="54" s="1"/>
  <c r="B10" i="47" s="1"/>
  <c r="BF10" i="54"/>
  <c r="BC10" i="54"/>
  <c r="AZ10" i="54"/>
  <c r="AW10" i="54"/>
  <c r="AT10" i="54"/>
  <c r="AQ10" i="54"/>
  <c r="AN10" i="54"/>
  <c r="AK10" i="54"/>
  <c r="AH10" i="54"/>
  <c r="AE10" i="54"/>
  <c r="AB10" i="54"/>
  <c r="S10" i="54"/>
  <c r="N10" i="54"/>
  <c r="K10" i="54"/>
  <c r="L10" i="54" s="1"/>
  <c r="F10" i="54"/>
  <c r="BF9" i="54"/>
  <c r="BC9" i="54"/>
  <c r="AZ9" i="54"/>
  <c r="AW9" i="54"/>
  <c r="AT9" i="54"/>
  <c r="AQ9" i="54"/>
  <c r="AN9" i="54"/>
  <c r="AK9" i="54"/>
  <c r="BG9" i="54" s="1"/>
  <c r="BI9" i="54" s="1"/>
  <c r="BL9" i="54" s="1"/>
  <c r="AH9" i="54"/>
  <c r="AE9" i="54"/>
  <c r="AB9" i="54"/>
  <c r="S9" i="54"/>
  <c r="P9" i="54"/>
  <c r="K9" i="54"/>
  <c r="L9" i="54" s="1"/>
  <c r="F9" i="54"/>
  <c r="BF8" i="54"/>
  <c r="BC8" i="54"/>
  <c r="AZ8" i="54"/>
  <c r="AW8" i="54"/>
  <c r="AT8" i="54"/>
  <c r="AQ8" i="54"/>
  <c r="AN8" i="54"/>
  <c r="AK8" i="54"/>
  <c r="AH8" i="54"/>
  <c r="AE8" i="54"/>
  <c r="AB8" i="54"/>
  <c r="S8" i="54"/>
  <c r="N8" i="54"/>
  <c r="N28" i="54" s="1"/>
  <c r="L10" i="47" s="1"/>
  <c r="L8" i="54"/>
  <c r="K8" i="54"/>
  <c r="F8" i="54"/>
  <c r="A8" i="54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BF7" i="54"/>
  <c r="BC7" i="54"/>
  <c r="AZ7" i="54"/>
  <c r="AW7" i="54"/>
  <c r="AT7" i="54"/>
  <c r="AQ7" i="54"/>
  <c r="AN7" i="54"/>
  <c r="AK7" i="54"/>
  <c r="AH7" i="54"/>
  <c r="AE7" i="54"/>
  <c r="AB7" i="54"/>
  <c r="S7" i="54"/>
  <c r="N7" i="54"/>
  <c r="K7" i="54"/>
  <c r="L7" i="54" s="1"/>
  <c r="F7" i="54"/>
  <c r="R60" i="53"/>
  <c r="R55" i="53"/>
  <c r="R54" i="53"/>
  <c r="Q52" i="53"/>
  <c r="Q51" i="53"/>
  <c r="Q49" i="53"/>
  <c r="BS43" i="53"/>
  <c r="BE43" i="53"/>
  <c r="BD43" i="53"/>
  <c r="BB43" i="53"/>
  <c r="BA43" i="53"/>
  <c r="AY43" i="53"/>
  <c r="AX43" i="53"/>
  <c r="AV43" i="53"/>
  <c r="AU43" i="53"/>
  <c r="AS43" i="53"/>
  <c r="AR43" i="53"/>
  <c r="AP43" i="53"/>
  <c r="AO43" i="53"/>
  <c r="AM43" i="53"/>
  <c r="AL43" i="53"/>
  <c r="AJ43" i="53"/>
  <c r="AI43" i="53"/>
  <c r="AH43" i="53"/>
  <c r="AG43" i="53"/>
  <c r="AF43" i="53"/>
  <c r="AE43" i="53"/>
  <c r="AE45" i="53" s="1"/>
  <c r="Y9" i="47" s="1"/>
  <c r="AD43" i="53"/>
  <c r="AC43" i="53"/>
  <c r="AB43" i="53"/>
  <c r="AA43" i="53"/>
  <c r="Z43" i="53"/>
  <c r="Y43" i="53"/>
  <c r="X43" i="53"/>
  <c r="V43" i="53"/>
  <c r="R43" i="53"/>
  <c r="Q43" i="53"/>
  <c r="J43" i="53"/>
  <c r="I43" i="53"/>
  <c r="H43" i="53"/>
  <c r="G43" i="53"/>
  <c r="E43" i="53"/>
  <c r="BF42" i="53"/>
  <c r="BC42" i="53"/>
  <c r="AZ42" i="53"/>
  <c r="AW42" i="53"/>
  <c r="AT42" i="53"/>
  <c r="AQ42" i="53"/>
  <c r="AN42" i="53"/>
  <c r="AK42" i="53"/>
  <c r="U42" i="53"/>
  <c r="S42" i="53"/>
  <c r="K42" i="53"/>
  <c r="L42" i="53" s="1"/>
  <c r="F42" i="53"/>
  <c r="BF41" i="53"/>
  <c r="BC41" i="53"/>
  <c r="AZ41" i="53"/>
  <c r="AW41" i="53"/>
  <c r="AT41" i="53"/>
  <c r="AQ41" i="53"/>
  <c r="AN41" i="53"/>
  <c r="AK41" i="53"/>
  <c r="U41" i="53"/>
  <c r="K41" i="53"/>
  <c r="L41" i="53" s="1"/>
  <c r="P41" i="53" s="1"/>
  <c r="M41" i="53" s="1"/>
  <c r="F41" i="53"/>
  <c r="BF40" i="53"/>
  <c r="BC40" i="53"/>
  <c r="AZ40" i="53"/>
  <c r="AW40" i="53"/>
  <c r="AT40" i="53"/>
  <c r="AQ40" i="53"/>
  <c r="AN40" i="53"/>
  <c r="AK40" i="53"/>
  <c r="U40" i="53"/>
  <c r="K40" i="53"/>
  <c r="L40" i="53" s="1"/>
  <c r="F40" i="53"/>
  <c r="BF39" i="53"/>
  <c r="BC39" i="53"/>
  <c r="AZ39" i="53"/>
  <c r="AW39" i="53"/>
  <c r="AT39" i="53"/>
  <c r="AQ39" i="53"/>
  <c r="AN39" i="53"/>
  <c r="AK39" i="53"/>
  <c r="S39" i="53"/>
  <c r="K39" i="53"/>
  <c r="L39" i="53" s="1"/>
  <c r="P39" i="53" s="1"/>
  <c r="M39" i="53" s="1"/>
  <c r="T39" i="53" s="1"/>
  <c r="U39" i="53" s="1"/>
  <c r="D39" i="53"/>
  <c r="F39" i="53" s="1"/>
  <c r="BF38" i="53"/>
  <c r="BC38" i="53"/>
  <c r="AZ38" i="53"/>
  <c r="AW38" i="53"/>
  <c r="AT38" i="53"/>
  <c r="AQ38" i="53"/>
  <c r="AN38" i="53"/>
  <c r="AK38" i="53"/>
  <c r="BG38" i="53" s="1"/>
  <c r="BI38" i="53" s="1"/>
  <c r="BL38" i="53" s="1"/>
  <c r="S38" i="53"/>
  <c r="K38" i="53"/>
  <c r="L38" i="53" s="1"/>
  <c r="P38" i="53" s="1"/>
  <c r="F38" i="53"/>
  <c r="BF37" i="53"/>
  <c r="BC37" i="53"/>
  <c r="AZ37" i="53"/>
  <c r="AW37" i="53"/>
  <c r="AT37" i="53"/>
  <c r="AQ37" i="53"/>
  <c r="AN37" i="53"/>
  <c r="AK37" i="53"/>
  <c r="BG37" i="53" s="1"/>
  <c r="BI37" i="53" s="1"/>
  <c r="BL37" i="53" s="1"/>
  <c r="S37" i="53"/>
  <c r="K37" i="53"/>
  <c r="L37" i="53" s="1"/>
  <c r="P37" i="53" s="1"/>
  <c r="F37" i="53"/>
  <c r="BF36" i="53"/>
  <c r="BC36" i="53"/>
  <c r="AZ36" i="53"/>
  <c r="AW36" i="53"/>
  <c r="AT36" i="53"/>
  <c r="AQ36" i="53"/>
  <c r="AN36" i="53"/>
  <c r="AK36" i="53"/>
  <c r="BG36" i="53" s="1"/>
  <c r="BI36" i="53" s="1"/>
  <c r="BL36" i="53" s="1"/>
  <c r="S36" i="53"/>
  <c r="K36" i="53"/>
  <c r="L36" i="53" s="1"/>
  <c r="F36" i="53"/>
  <c r="BF35" i="53"/>
  <c r="BC35" i="53"/>
  <c r="AZ35" i="53"/>
  <c r="AW35" i="53"/>
  <c r="AT35" i="53"/>
  <c r="AQ35" i="53"/>
  <c r="AN35" i="53"/>
  <c r="AK35" i="53"/>
  <c r="S35" i="53"/>
  <c r="K35" i="53"/>
  <c r="L35" i="53" s="1"/>
  <c r="F35" i="53"/>
  <c r="BF34" i="53"/>
  <c r="BC34" i="53"/>
  <c r="AZ34" i="53"/>
  <c r="AW34" i="53"/>
  <c r="AT34" i="53"/>
  <c r="AQ34" i="53"/>
  <c r="AN34" i="53"/>
  <c r="AK34" i="53"/>
  <c r="BG34" i="53" s="1"/>
  <c r="BI34" i="53" s="1"/>
  <c r="BL34" i="53" s="1"/>
  <c r="S34" i="53"/>
  <c r="N34" i="53"/>
  <c r="K34" i="53"/>
  <c r="L34" i="53" s="1"/>
  <c r="P34" i="53" s="1"/>
  <c r="F34" i="53"/>
  <c r="BF33" i="53"/>
  <c r="BC33" i="53"/>
  <c r="AZ33" i="53"/>
  <c r="AW33" i="53"/>
  <c r="AT33" i="53"/>
  <c r="AQ33" i="53"/>
  <c r="AN33" i="53"/>
  <c r="AK33" i="53"/>
  <c r="S33" i="53"/>
  <c r="K33" i="53"/>
  <c r="L33" i="53" s="1"/>
  <c r="F33" i="53"/>
  <c r="BF32" i="53"/>
  <c r="BC32" i="53"/>
  <c r="AZ32" i="53"/>
  <c r="AW32" i="53"/>
  <c r="AT32" i="53"/>
  <c r="AQ32" i="53"/>
  <c r="AN32" i="53"/>
  <c r="AK32" i="53"/>
  <c r="S32" i="53"/>
  <c r="K32" i="53"/>
  <c r="L32" i="53" s="1"/>
  <c r="P32" i="53" s="1"/>
  <c r="F32" i="53"/>
  <c r="BF31" i="53"/>
  <c r="BC31" i="53"/>
  <c r="AZ31" i="53"/>
  <c r="AW31" i="53"/>
  <c r="AT31" i="53"/>
  <c r="AQ31" i="53"/>
  <c r="AN31" i="53"/>
  <c r="AK31" i="53"/>
  <c r="S31" i="53"/>
  <c r="K31" i="53"/>
  <c r="L31" i="53" s="1"/>
  <c r="P31" i="53" s="1"/>
  <c r="F31" i="53"/>
  <c r="BF30" i="53"/>
  <c r="BC30" i="53"/>
  <c r="AZ30" i="53"/>
  <c r="AW30" i="53"/>
  <c r="AT30" i="53"/>
  <c r="AQ30" i="53"/>
  <c r="AN30" i="53"/>
  <c r="AK30" i="53"/>
  <c r="S30" i="53"/>
  <c r="K30" i="53"/>
  <c r="L30" i="53" s="1"/>
  <c r="P30" i="53" s="1"/>
  <c r="M30" i="53" s="1"/>
  <c r="O30" i="53" s="1"/>
  <c r="D30" i="53"/>
  <c r="F30" i="53" s="1"/>
  <c r="BF29" i="53"/>
  <c r="BC29" i="53"/>
  <c r="AZ29" i="53"/>
  <c r="AW29" i="53"/>
  <c r="AT29" i="53"/>
  <c r="AQ29" i="53"/>
  <c r="AN29" i="53"/>
  <c r="AK29" i="53"/>
  <c r="BG29" i="53" s="1"/>
  <c r="BI29" i="53" s="1"/>
  <c r="BL29" i="53" s="1"/>
  <c r="S29" i="53"/>
  <c r="K29" i="53"/>
  <c r="L29" i="53" s="1"/>
  <c r="F29" i="53"/>
  <c r="BF28" i="53"/>
  <c r="BC28" i="53"/>
  <c r="AZ28" i="53"/>
  <c r="AW28" i="53"/>
  <c r="AT28" i="53"/>
  <c r="AQ28" i="53"/>
  <c r="AN28" i="53"/>
  <c r="AK28" i="53"/>
  <c r="S28" i="53"/>
  <c r="N28" i="53"/>
  <c r="K28" i="53"/>
  <c r="F28" i="53"/>
  <c r="A28" i="53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T27" i="53"/>
  <c r="U27" i="53" s="1"/>
  <c r="BE25" i="53"/>
  <c r="BD25" i="53"/>
  <c r="BB25" i="53"/>
  <c r="BA25" i="53"/>
  <c r="AY25" i="53"/>
  <c r="AY45" i="53" s="1"/>
  <c r="AX25" i="53"/>
  <c r="AV25" i="53"/>
  <c r="AU25" i="53"/>
  <c r="AS25" i="53"/>
  <c r="AR25" i="53"/>
  <c r="AP25" i="53"/>
  <c r="AO25" i="53"/>
  <c r="AM25" i="53"/>
  <c r="AM45" i="53" s="1"/>
  <c r="AL25" i="53"/>
  <c r="AJ25" i="53"/>
  <c r="AI25" i="53"/>
  <c r="AG25" i="53"/>
  <c r="AG45" i="53" s="1"/>
  <c r="AF25" i="53"/>
  <c r="AD25" i="53"/>
  <c r="AC25" i="53"/>
  <c r="AA25" i="53"/>
  <c r="AA45" i="53" s="1"/>
  <c r="Z25" i="53"/>
  <c r="X25" i="53"/>
  <c r="V25" i="53"/>
  <c r="R25" i="53"/>
  <c r="J25" i="53"/>
  <c r="I25" i="53"/>
  <c r="H25" i="53"/>
  <c r="E25" i="53"/>
  <c r="E45" i="53" s="1"/>
  <c r="C9" i="47" s="1"/>
  <c r="D25" i="53"/>
  <c r="BF24" i="53"/>
  <c r="BC24" i="53"/>
  <c r="AZ24" i="53"/>
  <c r="AW24" i="53"/>
  <c r="AT24" i="53"/>
  <c r="AQ24" i="53"/>
  <c r="AN24" i="53"/>
  <c r="AK24" i="53"/>
  <c r="Q24" i="53"/>
  <c r="S24" i="53" s="1"/>
  <c r="K24" i="53"/>
  <c r="L24" i="53" s="1"/>
  <c r="F24" i="53"/>
  <c r="BF23" i="53"/>
  <c r="BC23" i="53"/>
  <c r="AZ23" i="53"/>
  <c r="AW23" i="53"/>
  <c r="AT23" i="53"/>
  <c r="AQ23" i="53"/>
  <c r="AN23" i="53"/>
  <c r="AK23" i="53"/>
  <c r="Q23" i="53"/>
  <c r="S23" i="53" s="1"/>
  <c r="K23" i="53"/>
  <c r="L23" i="53" s="1"/>
  <c r="F23" i="53"/>
  <c r="BF22" i="53"/>
  <c r="BC22" i="53"/>
  <c r="AZ22" i="53"/>
  <c r="AW22" i="53"/>
  <c r="AT22" i="53"/>
  <c r="AQ22" i="53"/>
  <c r="AN22" i="53"/>
  <c r="AK22" i="53"/>
  <c r="Q22" i="53"/>
  <c r="S22" i="53" s="1"/>
  <c r="L22" i="53"/>
  <c r="P22" i="53" s="1"/>
  <c r="K22" i="53"/>
  <c r="F22" i="53"/>
  <c r="BF21" i="53"/>
  <c r="BC21" i="53"/>
  <c r="AZ21" i="53"/>
  <c r="AW21" i="53"/>
  <c r="AT21" i="53"/>
  <c r="AQ21" i="53"/>
  <c r="AN21" i="53"/>
  <c r="AK21" i="53"/>
  <c r="Q21" i="53"/>
  <c r="S21" i="53" s="1"/>
  <c r="L21" i="53"/>
  <c r="K21" i="53"/>
  <c r="F21" i="53"/>
  <c r="BF20" i="53"/>
  <c r="BC20" i="53"/>
  <c r="AZ20" i="53"/>
  <c r="AW20" i="53"/>
  <c r="AT20" i="53"/>
  <c r="AQ20" i="53"/>
  <c r="AN20" i="53"/>
  <c r="AK20" i="53"/>
  <c r="S20" i="53"/>
  <c r="P20" i="53"/>
  <c r="K20" i="53"/>
  <c r="L20" i="53" s="1"/>
  <c r="F20" i="53"/>
  <c r="BF19" i="53"/>
  <c r="BC19" i="53"/>
  <c r="AZ19" i="53"/>
  <c r="AW19" i="53"/>
  <c r="AT19" i="53"/>
  <c r="AQ19" i="53"/>
  <c r="AN19" i="53"/>
  <c r="AK19" i="53"/>
  <c r="Q19" i="53"/>
  <c r="S19" i="53" s="1"/>
  <c r="L19" i="53"/>
  <c r="P19" i="53" s="1"/>
  <c r="K19" i="53"/>
  <c r="F19" i="53"/>
  <c r="BF18" i="53"/>
  <c r="BC18" i="53"/>
  <c r="AZ18" i="53"/>
  <c r="AW18" i="53"/>
  <c r="AT18" i="53"/>
  <c r="AQ18" i="53"/>
  <c r="AN18" i="53"/>
  <c r="AK18" i="53"/>
  <c r="Q18" i="53"/>
  <c r="S18" i="53" s="1"/>
  <c r="K18" i="53"/>
  <c r="L18" i="53" s="1"/>
  <c r="F18" i="53"/>
  <c r="BF17" i="53"/>
  <c r="BC17" i="53"/>
  <c r="AZ17" i="53"/>
  <c r="AW17" i="53"/>
  <c r="AT17" i="53"/>
  <c r="AQ17" i="53"/>
  <c r="AN17" i="53"/>
  <c r="AK17" i="53"/>
  <c r="K17" i="53"/>
  <c r="L17" i="53" s="1"/>
  <c r="G17" i="53"/>
  <c r="Q17" i="53" s="1"/>
  <c r="S17" i="53" s="1"/>
  <c r="F17" i="53"/>
  <c r="BF16" i="53"/>
  <c r="BC16" i="53"/>
  <c r="AZ16" i="53"/>
  <c r="AW16" i="53"/>
  <c r="AT16" i="53"/>
  <c r="AQ16" i="53"/>
  <c r="AN16" i="53"/>
  <c r="AK16" i="53"/>
  <c r="Q16" i="53"/>
  <c r="S16" i="53" s="1"/>
  <c r="K16" i="53"/>
  <c r="L16" i="53" s="1"/>
  <c r="F16" i="53"/>
  <c r="BF15" i="53"/>
  <c r="BC15" i="53"/>
  <c r="AZ15" i="53"/>
  <c r="AW15" i="53"/>
  <c r="AT15" i="53"/>
  <c r="AQ15" i="53"/>
  <c r="AN15" i="53"/>
  <c r="AK15" i="53"/>
  <c r="Q15" i="53"/>
  <c r="S15" i="53" s="1"/>
  <c r="K15" i="53"/>
  <c r="L15" i="53" s="1"/>
  <c r="P15" i="53" s="1"/>
  <c r="F15" i="53"/>
  <c r="A15" i="53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BF14" i="53"/>
  <c r="BC14" i="53"/>
  <c r="AZ14" i="53"/>
  <c r="AW14" i="53"/>
  <c r="AT14" i="53"/>
  <c r="AQ14" i="53"/>
  <c r="AN14" i="53"/>
  <c r="AK14" i="53"/>
  <c r="S14" i="53"/>
  <c r="K14" i="53"/>
  <c r="L14" i="53" s="1"/>
  <c r="F14" i="53"/>
  <c r="BF13" i="53"/>
  <c r="BC13" i="53"/>
  <c r="AZ13" i="53"/>
  <c r="AW13" i="53"/>
  <c r="AT13" i="53"/>
  <c r="AQ13" i="53"/>
  <c r="AN13" i="53"/>
  <c r="AK13" i="53"/>
  <c r="S13" i="53"/>
  <c r="K13" i="53"/>
  <c r="L13" i="53" s="1"/>
  <c r="F13" i="53"/>
  <c r="BF12" i="53"/>
  <c r="BC12" i="53"/>
  <c r="AZ12" i="53"/>
  <c r="AW12" i="53"/>
  <c r="AT12" i="53"/>
  <c r="AQ12" i="53"/>
  <c r="AN12" i="53"/>
  <c r="AK12" i="53"/>
  <c r="Q12" i="53"/>
  <c r="S12" i="53" s="1"/>
  <c r="K12" i="53"/>
  <c r="L12" i="53" s="1"/>
  <c r="F12" i="53"/>
  <c r="BF11" i="53"/>
  <c r="BC11" i="53"/>
  <c r="AZ11" i="53"/>
  <c r="AW11" i="53"/>
  <c r="AT11" i="53"/>
  <c r="AQ11" i="53"/>
  <c r="AN11" i="53"/>
  <c r="AK11" i="53"/>
  <c r="S11" i="53"/>
  <c r="K11" i="53"/>
  <c r="L11" i="53" s="1"/>
  <c r="P11" i="53" s="1"/>
  <c r="F11" i="53"/>
  <c r="BF10" i="53"/>
  <c r="BC10" i="53"/>
  <c r="AZ10" i="53"/>
  <c r="AW10" i="53"/>
  <c r="AT10" i="53"/>
  <c r="AQ10" i="53"/>
  <c r="AN10" i="53"/>
  <c r="AK10" i="53"/>
  <c r="Q10" i="53"/>
  <c r="S10" i="53" s="1"/>
  <c r="K10" i="53"/>
  <c r="L10" i="53" s="1"/>
  <c r="P10" i="53" s="1"/>
  <c r="F10" i="53"/>
  <c r="BF9" i="53"/>
  <c r="BC9" i="53"/>
  <c r="AZ9" i="53"/>
  <c r="AW9" i="53"/>
  <c r="AT9" i="53"/>
  <c r="AQ9" i="53"/>
  <c r="AN9" i="53"/>
  <c r="AK9" i="53"/>
  <c r="Y9" i="53"/>
  <c r="Y25" i="53" s="1"/>
  <c r="Y45" i="53" s="1"/>
  <c r="W9" i="47" s="1"/>
  <c r="S9" i="53"/>
  <c r="N9" i="53"/>
  <c r="N25" i="53" s="1"/>
  <c r="K9" i="53"/>
  <c r="L9" i="53" s="1"/>
  <c r="G9" i="53"/>
  <c r="F9" i="53"/>
  <c r="BF8" i="53"/>
  <c r="BC8" i="53"/>
  <c r="AZ8" i="53"/>
  <c r="AW8" i="53"/>
  <c r="AT8" i="53"/>
  <c r="AQ8" i="53"/>
  <c r="AN8" i="53"/>
  <c r="AK8" i="53"/>
  <c r="S8" i="53"/>
  <c r="Q8" i="53"/>
  <c r="K8" i="53"/>
  <c r="L8" i="53" s="1"/>
  <c r="F8" i="53"/>
  <c r="BF7" i="53"/>
  <c r="BC7" i="53"/>
  <c r="AZ7" i="53"/>
  <c r="AW7" i="53"/>
  <c r="AT7" i="53"/>
  <c r="AQ7" i="53"/>
  <c r="AN7" i="53"/>
  <c r="AK7" i="53"/>
  <c r="AH7" i="53"/>
  <c r="AH25" i="53" s="1"/>
  <c r="AE7" i="53"/>
  <c r="AE25" i="53" s="1"/>
  <c r="AB7" i="53"/>
  <c r="AB25" i="53" s="1"/>
  <c r="Q7" i="53"/>
  <c r="K7" i="53"/>
  <c r="F7" i="53"/>
  <c r="A7" i="53"/>
  <c r="A8" i="53" s="1"/>
  <c r="A9" i="53" s="1"/>
  <c r="A10" i="53" s="1"/>
  <c r="A11" i="53" s="1"/>
  <c r="A12" i="53" s="1"/>
  <c r="A13" i="53" s="1"/>
  <c r="A14" i="53" s="1"/>
  <c r="Q23" i="52"/>
  <c r="Q22" i="52"/>
  <c r="R17" i="52"/>
  <c r="Q15" i="52"/>
  <c r="BE11" i="52"/>
  <c r="AE8" i="47" s="1"/>
  <c r="BD11" i="52"/>
  <c r="BB11" i="52"/>
  <c r="BA11" i="52"/>
  <c r="AY11" i="52"/>
  <c r="AX11" i="52"/>
  <c r="AV11" i="52"/>
  <c r="AU11" i="52"/>
  <c r="AS11" i="52"/>
  <c r="AR11" i="52"/>
  <c r="AP11" i="52"/>
  <c r="AO11" i="52"/>
  <c r="AM11" i="52"/>
  <c r="AL11" i="52"/>
  <c r="AJ11" i="52"/>
  <c r="AI11" i="52"/>
  <c r="AG11" i="52"/>
  <c r="AF11" i="52"/>
  <c r="AD11" i="52"/>
  <c r="AC11" i="52"/>
  <c r="AA11" i="52"/>
  <c r="Z11" i="52"/>
  <c r="Y11" i="52"/>
  <c r="X11" i="52"/>
  <c r="V11" i="52"/>
  <c r="T8" i="47" s="1"/>
  <c r="N11" i="52"/>
  <c r="J11" i="52"/>
  <c r="I11" i="52"/>
  <c r="H11" i="52"/>
  <c r="G11" i="52"/>
  <c r="E11" i="52"/>
  <c r="A11" i="52"/>
  <c r="BF10" i="52"/>
  <c r="BC10" i="52"/>
  <c r="AZ10" i="52"/>
  <c r="AW10" i="52"/>
  <c r="AT10" i="52"/>
  <c r="AQ10" i="52"/>
  <c r="S10" i="52"/>
  <c r="M10" i="52" s="1"/>
  <c r="F10" i="52"/>
  <c r="BF9" i="52"/>
  <c r="BC9" i="52"/>
  <c r="AZ9" i="52"/>
  <c r="AW9" i="52"/>
  <c r="AT9" i="52"/>
  <c r="AQ9" i="52"/>
  <c r="S9" i="52"/>
  <c r="K9" i="52"/>
  <c r="L9" i="52" s="1"/>
  <c r="F9" i="52"/>
  <c r="BF8" i="52"/>
  <c r="BC8" i="52"/>
  <c r="AZ8" i="52"/>
  <c r="AW8" i="52"/>
  <c r="AT8" i="52"/>
  <c r="AQ8" i="52"/>
  <c r="S8" i="52"/>
  <c r="K8" i="52"/>
  <c r="L8" i="52" s="1"/>
  <c r="P8" i="52" s="1"/>
  <c r="F8" i="52"/>
  <c r="A8" i="52"/>
  <c r="A9" i="52" s="1"/>
  <c r="BF7" i="52"/>
  <c r="BC7" i="52"/>
  <c r="AZ7" i="52"/>
  <c r="AW7" i="52"/>
  <c r="AT7" i="52"/>
  <c r="AQ7" i="52"/>
  <c r="AN7" i="52"/>
  <c r="AN11" i="52" s="1"/>
  <c r="AB8" i="47" s="1"/>
  <c r="AK7" i="52"/>
  <c r="AK11" i="52" s="1"/>
  <c r="AA8" i="47" s="1"/>
  <c r="AH7" i="52"/>
  <c r="AH11" i="52" s="1"/>
  <c r="Z8" i="47" s="1"/>
  <c r="AE7" i="52"/>
  <c r="AE11" i="52" s="1"/>
  <c r="Y8" i="47" s="1"/>
  <c r="AB7" i="52"/>
  <c r="AB11" i="52" s="1"/>
  <c r="X8" i="47" s="1"/>
  <c r="R7" i="52"/>
  <c r="R11" i="52" s="1"/>
  <c r="Q7" i="52"/>
  <c r="Q11" i="52" s="1"/>
  <c r="O8" i="47" s="1"/>
  <c r="K7" i="52"/>
  <c r="L7" i="52" s="1"/>
  <c r="D7" i="52"/>
  <c r="D11" i="52" s="1"/>
  <c r="B8" i="47" s="1"/>
  <c r="U108" i="51"/>
  <c r="R99" i="51"/>
  <c r="U109" i="51" s="1"/>
  <c r="Q99" i="51"/>
  <c r="Q98" i="51"/>
  <c r="R96" i="51"/>
  <c r="R92" i="51"/>
  <c r="R91" i="51"/>
  <c r="R90" i="51"/>
  <c r="R88" i="51"/>
  <c r="Q86" i="51"/>
  <c r="BS82" i="51"/>
  <c r="AU7" i="47" s="1"/>
  <c r="BE82" i="51"/>
  <c r="BD82" i="51"/>
  <c r="BB82" i="51"/>
  <c r="BA82" i="51"/>
  <c r="AY82" i="51"/>
  <c r="AX82" i="51"/>
  <c r="AV82" i="51"/>
  <c r="AU82" i="51"/>
  <c r="AS82" i="51"/>
  <c r="AR82" i="51"/>
  <c r="AP82" i="51"/>
  <c r="AM82" i="51"/>
  <c r="AL82" i="51"/>
  <c r="AJ82" i="51"/>
  <c r="AI82" i="51"/>
  <c r="AG82" i="51"/>
  <c r="AF82" i="51"/>
  <c r="AD82" i="51"/>
  <c r="AC82" i="51"/>
  <c r="AA82" i="51"/>
  <c r="Z82" i="51"/>
  <c r="Y82" i="51"/>
  <c r="X82" i="51"/>
  <c r="V7" i="47" s="1"/>
  <c r="H82" i="51"/>
  <c r="F7" i="47" s="1"/>
  <c r="E82" i="51"/>
  <c r="BF81" i="51"/>
  <c r="BC81" i="51"/>
  <c r="AZ81" i="51"/>
  <c r="AW81" i="51"/>
  <c r="AT81" i="51"/>
  <c r="AO81" i="51"/>
  <c r="AQ81" i="51" s="1"/>
  <c r="AN81" i="51"/>
  <c r="AK81" i="51"/>
  <c r="AH81" i="51"/>
  <c r="AE81" i="51"/>
  <c r="AB81" i="51"/>
  <c r="S81" i="51"/>
  <c r="N81" i="51"/>
  <c r="K81" i="51"/>
  <c r="L81" i="51" s="1"/>
  <c r="P81" i="51" s="1"/>
  <c r="M81" i="51" s="1"/>
  <c r="T81" i="51" s="1"/>
  <c r="D81" i="51"/>
  <c r="BF80" i="51"/>
  <c r="BC80" i="51"/>
  <c r="AZ80" i="51"/>
  <c r="AW80" i="51"/>
  <c r="AT80" i="51"/>
  <c r="AQ80" i="51"/>
  <c r="AN80" i="51"/>
  <c r="AK80" i="51"/>
  <c r="AH80" i="51"/>
  <c r="AE80" i="51"/>
  <c r="AB80" i="51"/>
  <c r="S80" i="51"/>
  <c r="K80" i="51"/>
  <c r="L80" i="51" s="1"/>
  <c r="F80" i="51"/>
  <c r="D80" i="51"/>
  <c r="BF79" i="51"/>
  <c r="BC79" i="51"/>
  <c r="AZ79" i="51"/>
  <c r="AW79" i="51"/>
  <c r="AT79" i="51"/>
  <c r="AQ79" i="51"/>
  <c r="AN79" i="51"/>
  <c r="AK79" i="51"/>
  <c r="AH79" i="51"/>
  <c r="AE79" i="51"/>
  <c r="AB79" i="51"/>
  <c r="S79" i="51"/>
  <c r="N79" i="51"/>
  <c r="K79" i="51"/>
  <c r="L79" i="51" s="1"/>
  <c r="P79" i="51" s="1"/>
  <c r="F79" i="51"/>
  <c r="BF78" i="51"/>
  <c r="BC78" i="51"/>
  <c r="AZ78" i="51"/>
  <c r="AW78" i="51"/>
  <c r="AT78" i="51"/>
  <c r="AQ78" i="51"/>
  <c r="AN78" i="51"/>
  <c r="AK78" i="51"/>
  <c r="AH78" i="51"/>
  <c r="AE78" i="51"/>
  <c r="AB78" i="51"/>
  <c r="S78" i="51"/>
  <c r="K78" i="51"/>
  <c r="L78" i="51" s="1"/>
  <c r="P78" i="51" s="1"/>
  <c r="F78" i="51"/>
  <c r="BF77" i="51"/>
  <c r="BC77" i="51"/>
  <c r="AZ77" i="51"/>
  <c r="AW77" i="51"/>
  <c r="AT77" i="51"/>
  <c r="AQ77" i="51"/>
  <c r="AN77" i="51"/>
  <c r="AK77" i="51"/>
  <c r="AH77" i="51"/>
  <c r="AE77" i="51"/>
  <c r="AB77" i="51"/>
  <c r="S77" i="51"/>
  <c r="N77" i="51"/>
  <c r="K77" i="51"/>
  <c r="L77" i="51" s="1"/>
  <c r="P77" i="51" s="1"/>
  <c r="F77" i="51"/>
  <c r="BF76" i="51"/>
  <c r="BC76" i="51"/>
  <c r="AZ76" i="51"/>
  <c r="AW76" i="51"/>
  <c r="AT76" i="51"/>
  <c r="AQ76" i="51"/>
  <c r="AN76" i="51"/>
  <c r="AK76" i="51"/>
  <c r="AH76" i="51"/>
  <c r="AE76" i="51"/>
  <c r="AB76" i="51"/>
  <c r="S76" i="51"/>
  <c r="K76" i="51"/>
  <c r="L76" i="51" s="1"/>
  <c r="P76" i="51" s="1"/>
  <c r="F76" i="51"/>
  <c r="BF75" i="51"/>
  <c r="BC75" i="51"/>
  <c r="AZ75" i="51"/>
  <c r="AW75" i="51"/>
  <c r="AT75" i="51"/>
  <c r="AQ75" i="51"/>
  <c r="AN75" i="51"/>
  <c r="AK75" i="51"/>
  <c r="AH75" i="51"/>
  <c r="AE75" i="51"/>
  <c r="AB75" i="51"/>
  <c r="S75" i="51"/>
  <c r="K75" i="51"/>
  <c r="L75" i="51" s="1"/>
  <c r="F75" i="51"/>
  <c r="BF74" i="51"/>
  <c r="BC74" i="51"/>
  <c r="AZ74" i="51"/>
  <c r="AW74" i="51"/>
  <c r="AT74" i="51"/>
  <c r="AQ74" i="51"/>
  <c r="AN74" i="51"/>
  <c r="AK74" i="51"/>
  <c r="BG74" i="51" s="1"/>
  <c r="BI74" i="51" s="1"/>
  <c r="AH74" i="51"/>
  <c r="AE74" i="51"/>
  <c r="AB74" i="51"/>
  <c r="S74" i="51"/>
  <c r="K74" i="51"/>
  <c r="L74" i="51" s="1"/>
  <c r="F74" i="51"/>
  <c r="BF73" i="51"/>
  <c r="BC73" i="51"/>
  <c r="AZ73" i="51"/>
  <c r="AW73" i="51"/>
  <c r="AT73" i="51"/>
  <c r="AQ73" i="51"/>
  <c r="AN73" i="51"/>
  <c r="AK73" i="51"/>
  <c r="AH73" i="51"/>
  <c r="AE73" i="51"/>
  <c r="AB73" i="51"/>
  <c r="S73" i="51"/>
  <c r="K73" i="51"/>
  <c r="L73" i="51" s="1"/>
  <c r="F73" i="51"/>
  <c r="BF72" i="51"/>
  <c r="BC72" i="51"/>
  <c r="AZ72" i="51"/>
  <c r="AW72" i="51"/>
  <c r="AT72" i="51"/>
  <c r="AQ72" i="51"/>
  <c r="AN72" i="51"/>
  <c r="AK72" i="51"/>
  <c r="AH72" i="51"/>
  <c r="AE72" i="51"/>
  <c r="AB72" i="51"/>
  <c r="R72" i="51"/>
  <c r="S72" i="51" s="1"/>
  <c r="K72" i="51"/>
  <c r="L72" i="51" s="1"/>
  <c r="F72" i="51"/>
  <c r="BF71" i="51"/>
  <c r="BC71" i="51"/>
  <c r="AZ71" i="51"/>
  <c r="AW71" i="51"/>
  <c r="AT71" i="51"/>
  <c r="AQ71" i="51"/>
  <c r="AN71" i="51"/>
  <c r="AK71" i="51"/>
  <c r="AH71" i="51"/>
  <c r="AE71" i="51"/>
  <c r="AB71" i="51"/>
  <c r="S71" i="51"/>
  <c r="K71" i="51"/>
  <c r="L71" i="51" s="1"/>
  <c r="P71" i="51" s="1"/>
  <c r="M71" i="51" s="1"/>
  <c r="F71" i="51"/>
  <c r="BF70" i="51"/>
  <c r="BC70" i="51"/>
  <c r="AZ70" i="51"/>
  <c r="AW70" i="51"/>
  <c r="AT70" i="51"/>
  <c r="AQ70" i="51"/>
  <c r="AN70" i="51"/>
  <c r="AK70" i="51"/>
  <c r="AH70" i="51"/>
  <c r="AE70" i="51"/>
  <c r="AB70" i="51"/>
  <c r="S70" i="51"/>
  <c r="R70" i="51"/>
  <c r="K70" i="51"/>
  <c r="L70" i="51" s="1"/>
  <c r="P70" i="51" s="1"/>
  <c r="F70" i="51"/>
  <c r="BF69" i="51"/>
  <c r="BC69" i="51"/>
  <c r="AZ69" i="51"/>
  <c r="AW69" i="51"/>
  <c r="AT69" i="51"/>
  <c r="AQ69" i="51"/>
  <c r="AN69" i="51"/>
  <c r="AK69" i="51"/>
  <c r="AH69" i="51"/>
  <c r="AE69" i="51"/>
  <c r="AB69" i="51"/>
  <c r="S69" i="51"/>
  <c r="P69" i="51"/>
  <c r="K69" i="51"/>
  <c r="L69" i="51" s="1"/>
  <c r="F69" i="51"/>
  <c r="BF68" i="51"/>
  <c r="BC68" i="51"/>
  <c r="AZ68" i="51"/>
  <c r="AW68" i="51"/>
  <c r="AT68" i="51"/>
  <c r="AQ68" i="51"/>
  <c r="AN68" i="51"/>
  <c r="AK68" i="51"/>
  <c r="AH68" i="51"/>
  <c r="AE68" i="51"/>
  <c r="BG68" i="51" s="1"/>
  <c r="BI68" i="51" s="1"/>
  <c r="AB68" i="51"/>
  <c r="S68" i="51"/>
  <c r="N68" i="51"/>
  <c r="L68" i="51"/>
  <c r="K68" i="51"/>
  <c r="F68" i="51"/>
  <c r="BF67" i="51"/>
  <c r="BC67" i="51"/>
  <c r="AZ67" i="51"/>
  <c r="AW67" i="51"/>
  <c r="AT67" i="51"/>
  <c r="AQ67" i="51"/>
  <c r="AN67" i="51"/>
  <c r="AK67" i="51"/>
  <c r="AH67" i="51"/>
  <c r="AE67" i="51"/>
  <c r="AB67" i="51"/>
  <c r="R67" i="51"/>
  <c r="S67" i="51" s="1"/>
  <c r="K67" i="51"/>
  <c r="L67" i="51" s="1"/>
  <c r="F67" i="51"/>
  <c r="BF66" i="51"/>
  <c r="BC66" i="51"/>
  <c r="AZ66" i="51"/>
  <c r="AW66" i="51"/>
  <c r="AT66" i="51"/>
  <c r="AQ66" i="51"/>
  <c r="AN66" i="51"/>
  <c r="AK66" i="51"/>
  <c r="BG66" i="51" s="1"/>
  <c r="BI66" i="51" s="1"/>
  <c r="AH66" i="51"/>
  <c r="AE66" i="51"/>
  <c r="AB66" i="51"/>
  <c r="S66" i="51"/>
  <c r="K66" i="51"/>
  <c r="L66" i="51" s="1"/>
  <c r="F66" i="51"/>
  <c r="BF65" i="51"/>
  <c r="BC65" i="51"/>
  <c r="AZ65" i="51"/>
  <c r="AW65" i="51"/>
  <c r="AT65" i="51"/>
  <c r="AQ65" i="51"/>
  <c r="AN65" i="51"/>
  <c r="AK65" i="51"/>
  <c r="AH65" i="51"/>
  <c r="AE65" i="51"/>
  <c r="AB65" i="51"/>
  <c r="S65" i="51"/>
  <c r="K65" i="51"/>
  <c r="L65" i="51" s="1"/>
  <c r="F65" i="51"/>
  <c r="BF64" i="51"/>
  <c r="BC64" i="51"/>
  <c r="AZ64" i="51"/>
  <c r="AW64" i="51"/>
  <c r="AT64" i="51"/>
  <c r="AQ64" i="51"/>
  <c r="AN64" i="51"/>
  <c r="AK64" i="51"/>
  <c r="AH64" i="51"/>
  <c r="AE64" i="51"/>
  <c r="AB64" i="51"/>
  <c r="S64" i="51"/>
  <c r="K64" i="51"/>
  <c r="L64" i="51" s="1"/>
  <c r="F64" i="51"/>
  <c r="BF63" i="51"/>
  <c r="BC63" i="51"/>
  <c r="AZ63" i="51"/>
  <c r="AW63" i="51"/>
  <c r="AT63" i="51"/>
  <c r="AQ63" i="51"/>
  <c r="AN63" i="51"/>
  <c r="AK63" i="51"/>
  <c r="AH63" i="51"/>
  <c r="AE63" i="51"/>
  <c r="AB63" i="51"/>
  <c r="S63" i="51"/>
  <c r="L63" i="51"/>
  <c r="K63" i="51"/>
  <c r="G63" i="51"/>
  <c r="F63" i="51"/>
  <c r="BF62" i="51"/>
  <c r="BC62" i="51"/>
  <c r="AZ62" i="51"/>
  <c r="AW62" i="51"/>
  <c r="AT62" i="51"/>
  <c r="AQ62" i="51"/>
  <c r="AN62" i="51"/>
  <c r="AK62" i="51"/>
  <c r="AH62" i="51"/>
  <c r="AE62" i="51"/>
  <c r="AB62" i="51"/>
  <c r="S62" i="51"/>
  <c r="L62" i="51"/>
  <c r="K62" i="51"/>
  <c r="F62" i="51"/>
  <c r="BF61" i="51"/>
  <c r="BC61" i="51"/>
  <c r="AZ61" i="51"/>
  <c r="AW61" i="51"/>
  <c r="AT61" i="51"/>
  <c r="AQ61" i="51"/>
  <c r="AN61" i="51"/>
  <c r="AK61" i="51"/>
  <c r="AH61" i="51"/>
  <c r="AE61" i="51"/>
  <c r="BG61" i="51" s="1"/>
  <c r="BI61" i="51" s="1"/>
  <c r="AB61" i="51"/>
  <c r="S61" i="51"/>
  <c r="K61" i="51"/>
  <c r="L61" i="51" s="1"/>
  <c r="F61" i="51"/>
  <c r="BF60" i="51"/>
  <c r="BC60" i="51"/>
  <c r="AZ60" i="51"/>
  <c r="AW60" i="51"/>
  <c r="AT60" i="51"/>
  <c r="AQ60" i="51"/>
  <c r="AN60" i="51"/>
  <c r="AK60" i="51"/>
  <c r="AH60" i="51"/>
  <c r="AE60" i="51"/>
  <c r="AB60" i="51"/>
  <c r="S60" i="51"/>
  <c r="K60" i="51"/>
  <c r="L60" i="51" s="1"/>
  <c r="P60" i="51" s="1"/>
  <c r="D60" i="51"/>
  <c r="F60" i="51" s="1"/>
  <c r="BF59" i="51"/>
  <c r="BC59" i="51"/>
  <c r="AZ59" i="51"/>
  <c r="AW59" i="51"/>
  <c r="AT59" i="51"/>
  <c r="AQ59" i="51"/>
  <c r="AN59" i="51"/>
  <c r="AK59" i="51"/>
  <c r="AH59" i="51"/>
  <c r="AE59" i="51"/>
  <c r="AB59" i="51"/>
  <c r="S59" i="51"/>
  <c r="K59" i="51"/>
  <c r="L59" i="51" s="1"/>
  <c r="G59" i="51"/>
  <c r="BF58" i="51"/>
  <c r="BC58" i="51"/>
  <c r="AZ58" i="51"/>
  <c r="AW58" i="51"/>
  <c r="AT58" i="51"/>
  <c r="AQ58" i="51"/>
  <c r="AN58" i="51"/>
  <c r="AK58" i="51"/>
  <c r="AH58" i="51"/>
  <c r="AE58" i="51"/>
  <c r="AB58" i="51"/>
  <c r="S58" i="51"/>
  <c r="N58" i="51"/>
  <c r="K58" i="51"/>
  <c r="L58" i="51" s="1"/>
  <c r="F58" i="51"/>
  <c r="BF57" i="51"/>
  <c r="BC57" i="51"/>
  <c r="AZ57" i="51"/>
  <c r="AW57" i="51"/>
  <c r="AT57" i="51"/>
  <c r="AQ57" i="51"/>
  <c r="AN57" i="51"/>
  <c r="AK57" i="51"/>
  <c r="AH57" i="51"/>
  <c r="AE57" i="51"/>
  <c r="AB57" i="51"/>
  <c r="S57" i="51"/>
  <c r="K57" i="51"/>
  <c r="L57" i="51" s="1"/>
  <c r="P57" i="51" s="1"/>
  <c r="D57" i="51"/>
  <c r="BF56" i="51"/>
  <c r="BC56" i="51"/>
  <c r="AZ56" i="51"/>
  <c r="AW56" i="51"/>
  <c r="AT56" i="51"/>
  <c r="AQ56" i="51"/>
  <c r="AN56" i="51"/>
  <c r="AK56" i="51"/>
  <c r="AH56" i="51"/>
  <c r="AE56" i="51"/>
  <c r="AB56" i="51"/>
  <c r="S56" i="51"/>
  <c r="K56" i="51"/>
  <c r="L56" i="51" s="1"/>
  <c r="P56" i="51" s="1"/>
  <c r="D56" i="51"/>
  <c r="F56" i="51" s="1"/>
  <c r="BF55" i="51"/>
  <c r="BC55" i="51"/>
  <c r="AZ55" i="51"/>
  <c r="AW55" i="51"/>
  <c r="AT55" i="51"/>
  <c r="AQ55" i="51"/>
  <c r="AN55" i="51"/>
  <c r="AK55" i="51"/>
  <c r="AH55" i="51"/>
  <c r="AE55" i="51"/>
  <c r="AB55" i="51"/>
  <c r="S55" i="51"/>
  <c r="K55" i="51"/>
  <c r="L55" i="51" s="1"/>
  <c r="F55" i="51"/>
  <c r="BF54" i="51"/>
  <c r="BC54" i="51"/>
  <c r="AZ54" i="51"/>
  <c r="AW54" i="51"/>
  <c r="AT54" i="51"/>
  <c r="AQ54" i="51"/>
  <c r="AN54" i="51"/>
  <c r="AK54" i="51"/>
  <c r="AH54" i="51"/>
  <c r="AE54" i="51"/>
  <c r="AB54" i="51"/>
  <c r="S54" i="51"/>
  <c r="J54" i="51"/>
  <c r="I54" i="51"/>
  <c r="F54" i="51"/>
  <c r="BF53" i="51"/>
  <c r="BC53" i="51"/>
  <c r="AZ53" i="51"/>
  <c r="AW53" i="51"/>
  <c r="AT53" i="51"/>
  <c r="AQ53" i="51"/>
  <c r="AN53" i="51"/>
  <c r="AK53" i="51"/>
  <c r="AH53" i="51"/>
  <c r="AE53" i="51"/>
  <c r="AB53" i="51"/>
  <c r="V53" i="51"/>
  <c r="V82" i="51" s="1"/>
  <c r="T7" i="47" s="1"/>
  <c r="S53" i="51"/>
  <c r="N53" i="51"/>
  <c r="K53" i="51"/>
  <c r="L53" i="51" s="1"/>
  <c r="P53" i="51" s="1"/>
  <c r="F53" i="51"/>
  <c r="BF52" i="51"/>
  <c r="BC52" i="51"/>
  <c r="AZ52" i="51"/>
  <c r="AW52" i="51"/>
  <c r="AT52" i="51"/>
  <c r="AQ52" i="51"/>
  <c r="AN52" i="51"/>
  <c r="AK52" i="51"/>
  <c r="AH52" i="51"/>
  <c r="AE52" i="51"/>
  <c r="AB52" i="51"/>
  <c r="N52" i="51"/>
  <c r="K52" i="51"/>
  <c r="L52" i="51" s="1"/>
  <c r="P52" i="51" s="1"/>
  <c r="F52" i="51"/>
  <c r="BF51" i="51"/>
  <c r="BC51" i="51"/>
  <c r="AZ51" i="51"/>
  <c r="AW51" i="51"/>
  <c r="AT51" i="51"/>
  <c r="AQ51" i="51"/>
  <c r="AN51" i="51"/>
  <c r="AK51" i="51"/>
  <c r="AH51" i="51"/>
  <c r="AE51" i="51"/>
  <c r="AB51" i="51"/>
  <c r="BG51" i="51" s="1"/>
  <c r="BI51" i="51" s="1"/>
  <c r="S51" i="51"/>
  <c r="K51" i="51"/>
  <c r="L51" i="51" s="1"/>
  <c r="P51" i="51" s="1"/>
  <c r="D51" i="51"/>
  <c r="BF50" i="51"/>
  <c r="BC50" i="51"/>
  <c r="AZ50" i="51"/>
  <c r="AW50" i="51"/>
  <c r="AT50" i="51"/>
  <c r="AQ50" i="51"/>
  <c r="AN50" i="51"/>
  <c r="AK50" i="51"/>
  <c r="BG50" i="51" s="1"/>
  <c r="BI50" i="51" s="1"/>
  <c r="AH50" i="51"/>
  <c r="AE50" i="51"/>
  <c r="AB50" i="51"/>
  <c r="S50" i="51"/>
  <c r="K50" i="51"/>
  <c r="L50" i="51" s="1"/>
  <c r="P50" i="51" s="1"/>
  <c r="D50" i="51"/>
  <c r="F50" i="51" s="1"/>
  <c r="BF49" i="51"/>
  <c r="BC49" i="51"/>
  <c r="AZ49" i="51"/>
  <c r="AW49" i="51"/>
  <c r="AT49" i="51"/>
  <c r="AQ49" i="51"/>
  <c r="AN49" i="51"/>
  <c r="AK49" i="51"/>
  <c r="AH49" i="51"/>
  <c r="AE49" i="51"/>
  <c r="AB49" i="51"/>
  <c r="S49" i="51"/>
  <c r="L49" i="51"/>
  <c r="K49" i="51"/>
  <c r="F49" i="51"/>
  <c r="BF48" i="51"/>
  <c r="BC48" i="51"/>
  <c r="AZ48" i="51"/>
  <c r="AW48" i="51"/>
  <c r="AT48" i="51"/>
  <c r="AQ48" i="51"/>
  <c r="AN48" i="51"/>
  <c r="AK48" i="51"/>
  <c r="AH48" i="51"/>
  <c r="AE48" i="51"/>
  <c r="AB48" i="51"/>
  <c r="S48" i="51"/>
  <c r="K48" i="51"/>
  <c r="L48" i="51" s="1"/>
  <c r="P48" i="51" s="1"/>
  <c r="F48" i="51"/>
  <c r="BF47" i="51"/>
  <c r="BC47" i="51"/>
  <c r="AZ47" i="51"/>
  <c r="AW47" i="51"/>
  <c r="AT47" i="51"/>
  <c r="AQ47" i="51"/>
  <c r="AN47" i="51"/>
  <c r="AK47" i="51"/>
  <c r="AH47" i="51"/>
  <c r="AE47" i="51"/>
  <c r="AB47" i="51"/>
  <c r="S47" i="51"/>
  <c r="K47" i="51"/>
  <c r="L47" i="51" s="1"/>
  <c r="P47" i="51" s="1"/>
  <c r="F47" i="51"/>
  <c r="BF46" i="51"/>
  <c r="BC46" i="51"/>
  <c r="AZ46" i="51"/>
  <c r="AW46" i="51"/>
  <c r="AT46" i="51"/>
  <c r="AQ46" i="51"/>
  <c r="AN46" i="51"/>
  <c r="AK46" i="51"/>
  <c r="AH46" i="51"/>
  <c r="AE46" i="51"/>
  <c r="AB46" i="51"/>
  <c r="S46" i="51"/>
  <c r="K46" i="51"/>
  <c r="L46" i="51" s="1"/>
  <c r="F46" i="51"/>
  <c r="BF45" i="51"/>
  <c r="BC45" i="51"/>
  <c r="AZ45" i="51"/>
  <c r="AW45" i="51"/>
  <c r="AT45" i="51"/>
  <c r="AQ45" i="51"/>
  <c r="AN45" i="51"/>
  <c r="AK45" i="51"/>
  <c r="AH45" i="51"/>
  <c r="AE45" i="51"/>
  <c r="AB45" i="51"/>
  <c r="S45" i="51"/>
  <c r="K45" i="51"/>
  <c r="L45" i="51" s="1"/>
  <c r="F45" i="51"/>
  <c r="BF44" i="51"/>
  <c r="BC44" i="51"/>
  <c r="AZ44" i="51"/>
  <c r="AW44" i="51"/>
  <c r="AT44" i="51"/>
  <c r="AQ44" i="51"/>
  <c r="AN44" i="51"/>
  <c r="AK44" i="51"/>
  <c r="AH44" i="51"/>
  <c r="AE44" i="51"/>
  <c r="AB44" i="51"/>
  <c r="S44" i="51"/>
  <c r="L44" i="51"/>
  <c r="P44" i="51" s="1"/>
  <c r="K44" i="51"/>
  <c r="D44" i="51"/>
  <c r="BF43" i="51"/>
  <c r="BC43" i="51"/>
  <c r="AZ43" i="51"/>
  <c r="AW43" i="51"/>
  <c r="AT43" i="51"/>
  <c r="AQ43" i="51"/>
  <c r="AN43" i="51"/>
  <c r="AK43" i="51"/>
  <c r="AH43" i="51"/>
  <c r="AE43" i="51"/>
  <c r="AB43" i="51"/>
  <c r="S43" i="51"/>
  <c r="K43" i="51"/>
  <c r="L43" i="51" s="1"/>
  <c r="P43" i="51" s="1"/>
  <c r="G43" i="51"/>
  <c r="F43" i="51"/>
  <c r="BF42" i="51"/>
  <c r="BC42" i="51"/>
  <c r="AZ42" i="51"/>
  <c r="AW42" i="51"/>
  <c r="AT42" i="51"/>
  <c r="AQ42" i="51"/>
  <c r="AN42" i="51"/>
  <c r="AK42" i="51"/>
  <c r="AH42" i="51"/>
  <c r="AE42" i="51"/>
  <c r="AB42" i="51"/>
  <c r="S42" i="51"/>
  <c r="K42" i="51"/>
  <c r="L42" i="51" s="1"/>
  <c r="P42" i="51" s="1"/>
  <c r="D42" i="51"/>
  <c r="BF41" i="51"/>
  <c r="BC41" i="51"/>
  <c r="AZ41" i="51"/>
  <c r="AW41" i="51"/>
  <c r="AT41" i="51"/>
  <c r="AQ41" i="51"/>
  <c r="AN41" i="51"/>
  <c r="AK41" i="51"/>
  <c r="AH41" i="51"/>
  <c r="AE41" i="51"/>
  <c r="AB41" i="51"/>
  <c r="S41" i="51"/>
  <c r="K41" i="51"/>
  <c r="L41" i="51" s="1"/>
  <c r="P41" i="51" s="1"/>
  <c r="F41" i="51"/>
  <c r="BF40" i="51"/>
  <c r="BC40" i="51"/>
  <c r="AZ40" i="51"/>
  <c r="AW40" i="51"/>
  <c r="AT40" i="51"/>
  <c r="AQ40" i="51"/>
  <c r="AN40" i="51"/>
  <c r="AK40" i="51"/>
  <c r="AH40" i="51"/>
  <c r="AE40" i="51"/>
  <c r="AB40" i="51"/>
  <c r="BG40" i="51" s="1"/>
  <c r="BI40" i="51" s="1"/>
  <c r="R40" i="51"/>
  <c r="K40" i="51"/>
  <c r="L40" i="51" s="1"/>
  <c r="G40" i="51"/>
  <c r="G82" i="51" s="1"/>
  <c r="E7" i="47" s="1"/>
  <c r="D40" i="51"/>
  <c r="F40" i="51" s="1"/>
  <c r="BF39" i="51"/>
  <c r="BC39" i="51"/>
  <c r="AZ39" i="51"/>
  <c r="AW39" i="51"/>
  <c r="AT39" i="51"/>
  <c r="AQ39" i="51"/>
  <c r="AN39" i="51"/>
  <c r="AK39" i="51"/>
  <c r="AH39" i="51"/>
  <c r="AE39" i="51"/>
  <c r="AB39" i="51"/>
  <c r="S39" i="51"/>
  <c r="K39" i="51"/>
  <c r="L39" i="51" s="1"/>
  <c r="P39" i="51" s="1"/>
  <c r="D39" i="51"/>
  <c r="BF38" i="51"/>
  <c r="BC38" i="51"/>
  <c r="AZ38" i="51"/>
  <c r="AW38" i="51"/>
  <c r="AT38" i="51"/>
  <c r="AQ38" i="51"/>
  <c r="AN38" i="51"/>
  <c r="AK38" i="51"/>
  <c r="BG38" i="51" s="1"/>
  <c r="BI38" i="51" s="1"/>
  <c r="AH38" i="51"/>
  <c r="AE38" i="51"/>
  <c r="AB38" i="51"/>
  <c r="S38" i="51"/>
  <c r="K38" i="51"/>
  <c r="L38" i="51" s="1"/>
  <c r="P38" i="51" s="1"/>
  <c r="F38" i="51"/>
  <c r="BF37" i="51"/>
  <c r="BC37" i="51"/>
  <c r="AZ37" i="51"/>
  <c r="AW37" i="51"/>
  <c r="AT37" i="51"/>
  <c r="AQ37" i="51"/>
  <c r="AN37" i="51"/>
  <c r="AK37" i="51"/>
  <c r="AH37" i="51"/>
  <c r="AE37" i="51"/>
  <c r="AB37" i="51"/>
  <c r="S37" i="51"/>
  <c r="K37" i="51"/>
  <c r="L37" i="51" s="1"/>
  <c r="P37" i="51" s="1"/>
  <c r="D37" i="51"/>
  <c r="F37" i="51" s="1"/>
  <c r="BF36" i="51"/>
  <c r="BC36" i="51"/>
  <c r="AZ36" i="51"/>
  <c r="AW36" i="51"/>
  <c r="AT36" i="51"/>
  <c r="AQ36" i="51"/>
  <c r="AN36" i="51"/>
  <c r="AK36" i="51"/>
  <c r="AH36" i="51"/>
  <c r="AE36" i="51"/>
  <c r="AB36" i="51"/>
  <c r="S36" i="51"/>
  <c r="K36" i="51"/>
  <c r="L36" i="51" s="1"/>
  <c r="P36" i="51" s="1"/>
  <c r="D36" i="51"/>
  <c r="BF35" i="51"/>
  <c r="BC35" i="51"/>
  <c r="AZ35" i="51"/>
  <c r="AW35" i="51"/>
  <c r="AT35" i="51"/>
  <c r="AQ35" i="51"/>
  <c r="AN35" i="51"/>
  <c r="AK35" i="51"/>
  <c r="AH35" i="51"/>
  <c r="AE35" i="51"/>
  <c r="AB35" i="51"/>
  <c r="S35" i="51"/>
  <c r="K35" i="51"/>
  <c r="L35" i="51" s="1"/>
  <c r="P35" i="51" s="1"/>
  <c r="F35" i="51"/>
  <c r="D35" i="51"/>
  <c r="BF34" i="51"/>
  <c r="BC34" i="51"/>
  <c r="AZ34" i="51"/>
  <c r="AW34" i="51"/>
  <c r="AT34" i="51"/>
  <c r="AQ34" i="51"/>
  <c r="AN34" i="51"/>
  <c r="AK34" i="51"/>
  <c r="AH34" i="51"/>
  <c r="AE34" i="51"/>
  <c r="AB34" i="51"/>
  <c r="S34" i="51"/>
  <c r="K34" i="51"/>
  <c r="L34" i="51" s="1"/>
  <c r="P34" i="51" s="1"/>
  <c r="F34" i="51"/>
  <c r="BF33" i="51"/>
  <c r="BC33" i="51"/>
  <c r="AZ33" i="51"/>
  <c r="AW33" i="51"/>
  <c r="AT33" i="51"/>
  <c r="AQ33" i="51"/>
  <c r="AN33" i="51"/>
  <c r="AK33" i="51"/>
  <c r="AH33" i="51"/>
  <c r="AE33" i="51"/>
  <c r="AB33" i="51"/>
  <c r="S33" i="51"/>
  <c r="K33" i="51"/>
  <c r="L33" i="51" s="1"/>
  <c r="P33" i="51" s="1"/>
  <c r="F33" i="51"/>
  <c r="BF32" i="51"/>
  <c r="BC32" i="51"/>
  <c r="AZ32" i="51"/>
  <c r="AW32" i="51"/>
  <c r="AT32" i="51"/>
  <c r="AQ32" i="51"/>
  <c r="AN32" i="51"/>
  <c r="AK32" i="51"/>
  <c r="AH32" i="51"/>
  <c r="AE32" i="51"/>
  <c r="AB32" i="51"/>
  <c r="S32" i="51"/>
  <c r="L32" i="51"/>
  <c r="K32" i="51"/>
  <c r="F32" i="51"/>
  <c r="BF31" i="51"/>
  <c r="BC31" i="51"/>
  <c r="AZ31" i="51"/>
  <c r="AW31" i="51"/>
  <c r="AT31" i="51"/>
  <c r="AQ31" i="51"/>
  <c r="AN31" i="51"/>
  <c r="AK31" i="51"/>
  <c r="AH31" i="51"/>
  <c r="AE31" i="51"/>
  <c r="AB31" i="51"/>
  <c r="S31" i="51"/>
  <c r="L31" i="51"/>
  <c r="P31" i="51" s="1"/>
  <c r="K31" i="51"/>
  <c r="F31" i="51"/>
  <c r="BF30" i="51"/>
  <c r="BC30" i="51"/>
  <c r="AZ30" i="51"/>
  <c r="AW30" i="51"/>
  <c r="AT30" i="51"/>
  <c r="AQ30" i="51"/>
  <c r="AN30" i="51"/>
  <c r="AK30" i="51"/>
  <c r="AH30" i="51"/>
  <c r="AE30" i="51"/>
  <c r="AB30" i="51"/>
  <c r="S30" i="51"/>
  <c r="K30" i="51"/>
  <c r="L30" i="51" s="1"/>
  <c r="P30" i="51" s="1"/>
  <c r="D30" i="51"/>
  <c r="F30" i="51" s="1"/>
  <c r="BF29" i="51"/>
  <c r="BC29" i="51"/>
  <c r="AZ29" i="51"/>
  <c r="AW29" i="51"/>
  <c r="AT29" i="51"/>
  <c r="AQ29" i="51"/>
  <c r="AN29" i="51"/>
  <c r="AK29" i="51"/>
  <c r="AH29" i="51"/>
  <c r="AE29" i="51"/>
  <c r="AB29" i="51"/>
  <c r="S29" i="51"/>
  <c r="K29" i="51"/>
  <c r="L29" i="51" s="1"/>
  <c r="P29" i="51" s="1"/>
  <c r="F29" i="51"/>
  <c r="D29" i="51"/>
  <c r="BF28" i="51"/>
  <c r="BC28" i="51"/>
  <c r="AZ28" i="51"/>
  <c r="AW28" i="51"/>
  <c r="AT28" i="51"/>
  <c r="AQ28" i="51"/>
  <c r="AN28" i="51"/>
  <c r="AK28" i="51"/>
  <c r="AH28" i="51"/>
  <c r="AE28" i="51"/>
  <c r="AB28" i="51"/>
  <c r="S28" i="51"/>
  <c r="K28" i="51"/>
  <c r="L28" i="51" s="1"/>
  <c r="F28" i="51"/>
  <c r="BF27" i="51"/>
  <c r="BC27" i="51"/>
  <c r="AZ27" i="51"/>
  <c r="AW27" i="51"/>
  <c r="AT27" i="51"/>
  <c r="AQ27" i="51"/>
  <c r="AN27" i="51"/>
  <c r="AK27" i="51"/>
  <c r="AH27" i="51"/>
  <c r="AE27" i="51"/>
  <c r="AB27" i="51"/>
  <c r="S27" i="51"/>
  <c r="N27" i="51"/>
  <c r="K27" i="51"/>
  <c r="L27" i="51" s="1"/>
  <c r="P27" i="51" s="1"/>
  <c r="M27" i="51" s="1"/>
  <c r="F27" i="51"/>
  <c r="D27" i="51"/>
  <c r="BF26" i="51"/>
  <c r="BC26" i="51"/>
  <c r="AZ26" i="51"/>
  <c r="AW26" i="51"/>
  <c r="AT26" i="51"/>
  <c r="AQ26" i="51"/>
  <c r="AN26" i="51"/>
  <c r="AK26" i="51"/>
  <c r="AH26" i="51"/>
  <c r="AE26" i="51"/>
  <c r="AB26" i="51"/>
  <c r="S26" i="51"/>
  <c r="K26" i="51"/>
  <c r="L26" i="51" s="1"/>
  <c r="F26" i="51"/>
  <c r="BF25" i="51"/>
  <c r="BC25" i="51"/>
  <c r="AZ25" i="51"/>
  <c r="AW25" i="51"/>
  <c r="AT25" i="51"/>
  <c r="AQ25" i="51"/>
  <c r="AN25" i="51"/>
  <c r="AK25" i="51"/>
  <c r="BG25" i="51" s="1"/>
  <c r="BI25" i="51" s="1"/>
  <c r="AH25" i="51"/>
  <c r="AE25" i="51"/>
  <c r="AB25" i="51"/>
  <c r="S25" i="51"/>
  <c r="K25" i="51"/>
  <c r="L25" i="51" s="1"/>
  <c r="P25" i="51" s="1"/>
  <c r="D25" i="51"/>
  <c r="F25" i="51" s="1"/>
  <c r="BF24" i="51"/>
  <c r="BC24" i="51"/>
  <c r="AZ24" i="51"/>
  <c r="AW24" i="51"/>
  <c r="AT24" i="51"/>
  <c r="AQ24" i="51"/>
  <c r="AN24" i="51"/>
  <c r="AK24" i="51"/>
  <c r="AH24" i="51"/>
  <c r="AE24" i="51"/>
  <c r="AB24" i="51"/>
  <c r="S24" i="51"/>
  <c r="P24" i="51"/>
  <c r="M24" i="51" s="1"/>
  <c r="K24" i="51"/>
  <c r="L24" i="51" s="1"/>
  <c r="F24" i="51"/>
  <c r="BF23" i="51"/>
  <c r="BC23" i="51"/>
  <c r="AZ23" i="51"/>
  <c r="AW23" i="51"/>
  <c r="AT23" i="51"/>
  <c r="AQ23" i="51"/>
  <c r="AN23" i="51"/>
  <c r="AK23" i="51"/>
  <c r="AH23" i="51"/>
  <c r="AE23" i="51"/>
  <c r="AB23" i="51"/>
  <c r="S23" i="51"/>
  <c r="L23" i="51"/>
  <c r="P23" i="51" s="1"/>
  <c r="K23" i="51"/>
  <c r="D23" i="51"/>
  <c r="BF22" i="51"/>
  <c r="BC22" i="51"/>
  <c r="AZ22" i="51"/>
  <c r="AW22" i="51"/>
  <c r="AT22" i="51"/>
  <c r="AQ22" i="51"/>
  <c r="AN22" i="51"/>
  <c r="AK22" i="51"/>
  <c r="AH22" i="51"/>
  <c r="AE22" i="51"/>
  <c r="AB22" i="51"/>
  <c r="Q22" i="51"/>
  <c r="S22" i="51" s="1"/>
  <c r="K22" i="51"/>
  <c r="L22" i="51" s="1"/>
  <c r="P22" i="51" s="1"/>
  <c r="G22" i="51"/>
  <c r="D22" i="51"/>
  <c r="BF21" i="51"/>
  <c r="BC21" i="51"/>
  <c r="AZ21" i="51"/>
  <c r="AW21" i="51"/>
  <c r="AT21" i="51"/>
  <c r="AQ21" i="51"/>
  <c r="AN21" i="51"/>
  <c r="AK21" i="51"/>
  <c r="AH21" i="51"/>
  <c r="AE21" i="51"/>
  <c r="AB21" i="51"/>
  <c r="S21" i="51"/>
  <c r="N21" i="51"/>
  <c r="K21" i="51"/>
  <c r="L21" i="51" s="1"/>
  <c r="F21" i="51"/>
  <c r="BF20" i="51"/>
  <c r="BC20" i="51"/>
  <c r="AZ20" i="51"/>
  <c r="AW20" i="51"/>
  <c r="AT20" i="51"/>
  <c r="AQ20" i="51"/>
  <c r="AN20" i="51"/>
  <c r="AK20" i="51"/>
  <c r="AH20" i="51"/>
  <c r="AE20" i="51"/>
  <c r="AB20" i="51"/>
  <c r="S20" i="51"/>
  <c r="K20" i="51"/>
  <c r="L20" i="51" s="1"/>
  <c r="P20" i="51" s="1"/>
  <c r="M20" i="51" s="1"/>
  <c r="T20" i="51" s="1"/>
  <c r="U20" i="51" s="1"/>
  <c r="D20" i="51"/>
  <c r="BF19" i="51"/>
  <c r="BC19" i="51"/>
  <c r="AZ19" i="51"/>
  <c r="AW19" i="51"/>
  <c r="AT19" i="51"/>
  <c r="AQ19" i="51"/>
  <c r="AN19" i="51"/>
  <c r="AK19" i="51"/>
  <c r="AH19" i="51"/>
  <c r="AE19" i="51"/>
  <c r="AB19" i="51"/>
  <c r="S19" i="51"/>
  <c r="K19" i="51"/>
  <c r="L19" i="51" s="1"/>
  <c r="D19" i="51"/>
  <c r="F19" i="51" s="1"/>
  <c r="BF18" i="51"/>
  <c r="BC18" i="51"/>
  <c r="AZ18" i="51"/>
  <c r="AW18" i="51"/>
  <c r="AT18" i="51"/>
  <c r="AQ18" i="51"/>
  <c r="AN18" i="51"/>
  <c r="AK18" i="51"/>
  <c r="AH18" i="51"/>
  <c r="AE18" i="51"/>
  <c r="AB18" i="51"/>
  <c r="S18" i="51"/>
  <c r="K18" i="51"/>
  <c r="L18" i="51" s="1"/>
  <c r="P18" i="51" s="1"/>
  <c r="D18" i="51"/>
  <c r="BF17" i="51"/>
  <c r="BC17" i="51"/>
  <c r="AZ17" i="51"/>
  <c r="AW17" i="51"/>
  <c r="AT17" i="51"/>
  <c r="AQ17" i="51"/>
  <c r="AN17" i="51"/>
  <c r="AK17" i="51"/>
  <c r="AH17" i="51"/>
  <c r="AE17" i="51"/>
  <c r="AB17" i="51"/>
  <c r="K17" i="51"/>
  <c r="L17" i="51" s="1"/>
  <c r="P17" i="51" s="1"/>
  <c r="M17" i="51" s="1"/>
  <c r="O17" i="51" s="1"/>
  <c r="D17" i="51"/>
  <c r="F17" i="51" s="1"/>
  <c r="BF16" i="51"/>
  <c r="BC16" i="51"/>
  <c r="AZ16" i="51"/>
  <c r="AW16" i="51"/>
  <c r="AT16" i="51"/>
  <c r="AQ16" i="51"/>
  <c r="AN16" i="51"/>
  <c r="AK16" i="51"/>
  <c r="AH16" i="51"/>
  <c r="AE16" i="51"/>
  <c r="AB16" i="51"/>
  <c r="BG16" i="51" s="1"/>
  <c r="BI16" i="51" s="1"/>
  <c r="S16" i="51"/>
  <c r="K16" i="51"/>
  <c r="L16" i="51" s="1"/>
  <c r="P16" i="51" s="1"/>
  <c r="M16" i="51" s="1"/>
  <c r="D16" i="51"/>
  <c r="BF15" i="51"/>
  <c r="BC15" i="51"/>
  <c r="AZ15" i="51"/>
  <c r="AW15" i="51"/>
  <c r="AT15" i="51"/>
  <c r="AQ15" i="51"/>
  <c r="AN15" i="51"/>
  <c r="AK15" i="51"/>
  <c r="AH15" i="51"/>
  <c r="AE15" i="51"/>
  <c r="AB15" i="51"/>
  <c r="S15" i="51"/>
  <c r="K15" i="51"/>
  <c r="L15" i="51" s="1"/>
  <c r="D15" i="51"/>
  <c r="F15" i="51" s="1"/>
  <c r="BF14" i="51"/>
  <c r="BC14" i="51"/>
  <c r="AZ14" i="51"/>
  <c r="AW14" i="51"/>
  <c r="AT14" i="51"/>
  <c r="AQ14" i="51"/>
  <c r="AN14" i="51"/>
  <c r="AK14" i="51"/>
  <c r="AH14" i="51"/>
  <c r="AE14" i="51"/>
  <c r="AB14" i="51"/>
  <c r="S14" i="51"/>
  <c r="L14" i="51"/>
  <c r="P14" i="51" s="1"/>
  <c r="K14" i="51"/>
  <c r="D14" i="51"/>
  <c r="BF13" i="51"/>
  <c r="BC13" i="51"/>
  <c r="AZ13" i="51"/>
  <c r="AW13" i="51"/>
  <c r="AT13" i="51"/>
  <c r="AQ13" i="51"/>
  <c r="AN13" i="51"/>
  <c r="AK13" i="51"/>
  <c r="AH13" i="51"/>
  <c r="AE13" i="51"/>
  <c r="AB13" i="51"/>
  <c r="S13" i="51"/>
  <c r="K13" i="51"/>
  <c r="L13" i="51" s="1"/>
  <c r="P13" i="51" s="1"/>
  <c r="M13" i="51" s="1"/>
  <c r="F13" i="51"/>
  <c r="BF12" i="51"/>
  <c r="BC12" i="51"/>
  <c r="AZ12" i="51"/>
  <c r="AW12" i="51"/>
  <c r="AT12" i="51"/>
  <c r="AQ12" i="51"/>
  <c r="AN12" i="51"/>
  <c r="AK12" i="51"/>
  <c r="BG12" i="51" s="1"/>
  <c r="BI12" i="51" s="1"/>
  <c r="AH12" i="51"/>
  <c r="AE12" i="51"/>
  <c r="AB12" i="51"/>
  <c r="S12" i="51"/>
  <c r="N12" i="51"/>
  <c r="K12" i="51"/>
  <c r="L12" i="51" s="1"/>
  <c r="F12" i="51"/>
  <c r="A12" i="5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BF11" i="51"/>
  <c r="BC11" i="51"/>
  <c r="AZ11" i="51"/>
  <c r="AW11" i="51"/>
  <c r="AT11" i="51"/>
  <c r="AQ11" i="51"/>
  <c r="AN11" i="51"/>
  <c r="AK11" i="51"/>
  <c r="AH11" i="51"/>
  <c r="AE11" i="51"/>
  <c r="AB11" i="51"/>
  <c r="S11" i="51"/>
  <c r="K11" i="51"/>
  <c r="L11" i="51" s="1"/>
  <c r="P11" i="51" s="1"/>
  <c r="F11" i="51"/>
  <c r="BF10" i="51"/>
  <c r="BC10" i="51"/>
  <c r="AZ10" i="51"/>
  <c r="AW10" i="51"/>
  <c r="AT10" i="51"/>
  <c r="AQ10" i="51"/>
  <c r="AN10" i="51"/>
  <c r="AK10" i="51"/>
  <c r="AH10" i="51"/>
  <c r="AE10" i="51"/>
  <c r="AB10" i="51"/>
  <c r="S10" i="51"/>
  <c r="N10" i="51"/>
  <c r="K10" i="51"/>
  <c r="L10" i="51" s="1"/>
  <c r="P10" i="51" s="1"/>
  <c r="F10" i="51"/>
  <c r="BF9" i="51"/>
  <c r="BC9" i="51"/>
  <c r="AZ9" i="51"/>
  <c r="AW9" i="51"/>
  <c r="AT9" i="51"/>
  <c r="AQ9" i="51"/>
  <c r="AN9" i="51"/>
  <c r="AK9" i="51"/>
  <c r="BG9" i="51" s="1"/>
  <c r="BI9" i="51" s="1"/>
  <c r="AH9" i="51"/>
  <c r="AE9" i="51"/>
  <c r="AB9" i="51"/>
  <c r="S9" i="51"/>
  <c r="J9" i="51"/>
  <c r="I9" i="51"/>
  <c r="K9" i="51" s="1"/>
  <c r="L9" i="51" s="1"/>
  <c r="P9" i="51" s="1"/>
  <c r="D9" i="51"/>
  <c r="F9" i="51" s="1"/>
  <c r="BF8" i="51"/>
  <c r="BC8" i="51"/>
  <c r="AZ8" i="51"/>
  <c r="AW8" i="51"/>
  <c r="AT8" i="51"/>
  <c r="AQ8" i="51"/>
  <c r="AN8" i="51"/>
  <c r="AK8" i="51"/>
  <c r="BG8" i="51" s="1"/>
  <c r="BI8" i="51" s="1"/>
  <c r="AH8" i="51"/>
  <c r="AE8" i="51"/>
  <c r="AB8" i="51"/>
  <c r="S8" i="51"/>
  <c r="N8" i="51"/>
  <c r="K8" i="51"/>
  <c r="L8" i="51" s="1"/>
  <c r="P8" i="51" s="1"/>
  <c r="D8" i="51"/>
  <c r="F8" i="51" s="1"/>
  <c r="BF7" i="51"/>
  <c r="BC7" i="51"/>
  <c r="AZ7" i="51"/>
  <c r="AW7" i="51"/>
  <c r="AT7" i="51"/>
  <c r="AQ7" i="51"/>
  <c r="AN7" i="51"/>
  <c r="AK7" i="51"/>
  <c r="AH7" i="51"/>
  <c r="AE7" i="51"/>
  <c r="AB7" i="51"/>
  <c r="Q7" i="51"/>
  <c r="S7" i="51" s="1"/>
  <c r="N7" i="51"/>
  <c r="L7" i="51"/>
  <c r="K7" i="51"/>
  <c r="F7" i="51"/>
  <c r="A7" i="51"/>
  <c r="A8" i="51" s="1"/>
  <c r="A9" i="51" s="1"/>
  <c r="A10" i="51" s="1"/>
  <c r="A11" i="51" s="1"/>
  <c r="BF6" i="51"/>
  <c r="BC6" i="51"/>
  <c r="AZ6" i="51"/>
  <c r="AW6" i="51"/>
  <c r="AT6" i="51"/>
  <c r="AQ6" i="51"/>
  <c r="AN6" i="51"/>
  <c r="AK6" i="51"/>
  <c r="AH6" i="51"/>
  <c r="AE6" i="51"/>
  <c r="AB6" i="51"/>
  <c r="S6" i="51"/>
  <c r="K6" i="51"/>
  <c r="F6" i="51"/>
  <c r="J1" i="51"/>
  <c r="R148" i="50"/>
  <c r="Q142" i="50"/>
  <c r="Q141" i="50"/>
  <c r="R136" i="50"/>
  <c r="R133" i="49" s="1"/>
  <c r="R131" i="50"/>
  <c r="R130" i="50"/>
  <c r="BW127" i="50"/>
  <c r="Q127" i="50"/>
  <c r="P127" i="50"/>
  <c r="BW125" i="50"/>
  <c r="X120" i="50"/>
  <c r="P120" i="50"/>
  <c r="BV119" i="50"/>
  <c r="BV121" i="50" s="1"/>
  <c r="Q119" i="50"/>
  <c r="Q120" i="50" s="1"/>
  <c r="Q117" i="50"/>
  <c r="P117" i="50"/>
  <c r="CB111" i="50"/>
  <c r="CB110" i="50"/>
  <c r="CA110" i="50"/>
  <c r="CB109" i="50"/>
  <c r="CA108" i="50"/>
  <c r="BZ108" i="50"/>
  <c r="BY108" i="50"/>
  <c r="BX108" i="50"/>
  <c r="BW108" i="50"/>
  <c r="BV108" i="50"/>
  <c r="BU108" i="50"/>
  <c r="BR108" i="50"/>
  <c r="BE108" i="50"/>
  <c r="BD108" i="50"/>
  <c r="BB108" i="50"/>
  <c r="BA108" i="50"/>
  <c r="AY108" i="50"/>
  <c r="AX108" i="50"/>
  <c r="AV108" i="50"/>
  <c r="AU108" i="50"/>
  <c r="AS108" i="50"/>
  <c r="AR108" i="50"/>
  <c r="AP108" i="50"/>
  <c r="AO108" i="50"/>
  <c r="AM108" i="50"/>
  <c r="AL108" i="50"/>
  <c r="AJ108" i="50"/>
  <c r="AI108" i="50"/>
  <c r="AG108" i="50"/>
  <c r="AF108" i="50"/>
  <c r="AD108" i="50"/>
  <c r="AC108" i="50"/>
  <c r="AA108" i="50"/>
  <c r="Z108" i="50"/>
  <c r="X108" i="50"/>
  <c r="W108" i="50"/>
  <c r="R108" i="50"/>
  <c r="Q108" i="50"/>
  <c r="J108" i="50"/>
  <c r="I108" i="50"/>
  <c r="H108" i="50"/>
  <c r="G108" i="50"/>
  <c r="E108" i="50"/>
  <c r="D108" i="50"/>
  <c r="BF107" i="50"/>
  <c r="BC107" i="50"/>
  <c r="AZ107" i="50"/>
  <c r="AW107" i="50"/>
  <c r="AT107" i="50"/>
  <c r="AQ107" i="50"/>
  <c r="AN107" i="50"/>
  <c r="AK107" i="50"/>
  <c r="AH107" i="50"/>
  <c r="AE107" i="50"/>
  <c r="AB107" i="50"/>
  <c r="U107" i="50"/>
  <c r="O107" i="50"/>
  <c r="F107" i="50"/>
  <c r="BF106" i="50"/>
  <c r="BC106" i="50"/>
  <c r="AZ106" i="50"/>
  <c r="AW106" i="50"/>
  <c r="AT106" i="50"/>
  <c r="AQ106" i="50"/>
  <c r="AN106" i="50"/>
  <c r="AK106" i="50"/>
  <c r="AH106" i="50"/>
  <c r="AE106" i="50"/>
  <c r="AB106" i="50"/>
  <c r="U106" i="50"/>
  <c r="O106" i="50"/>
  <c r="F106" i="50"/>
  <c r="BF105" i="50"/>
  <c r="BC105" i="50"/>
  <c r="AZ105" i="50"/>
  <c r="AW105" i="50"/>
  <c r="AT105" i="50"/>
  <c r="AQ105" i="50"/>
  <c r="AN105" i="50"/>
  <c r="AK105" i="50"/>
  <c r="AH105" i="50"/>
  <c r="AE105" i="50"/>
  <c r="AB105" i="50"/>
  <c r="Y105" i="50"/>
  <c r="U105" i="50"/>
  <c r="O105" i="50"/>
  <c r="F105" i="50"/>
  <c r="BF104" i="50"/>
  <c r="BC104" i="50"/>
  <c r="AZ104" i="50"/>
  <c r="AW104" i="50"/>
  <c r="AT104" i="50"/>
  <c r="AQ104" i="50"/>
  <c r="AN104" i="50"/>
  <c r="AK104" i="50"/>
  <c r="AH104" i="50"/>
  <c r="AE104" i="50"/>
  <c r="AB104" i="50"/>
  <c r="V104" i="50"/>
  <c r="CB104" i="50" s="1"/>
  <c r="U104" i="50"/>
  <c r="O104" i="50"/>
  <c r="F104" i="50"/>
  <c r="BF103" i="50"/>
  <c r="BC103" i="50"/>
  <c r="AZ103" i="50"/>
  <c r="AW103" i="50"/>
  <c r="AT103" i="50"/>
  <c r="AQ103" i="50"/>
  <c r="AN103" i="50"/>
  <c r="AK103" i="50"/>
  <c r="AH103" i="50"/>
  <c r="AE103" i="50"/>
  <c r="AB103" i="50"/>
  <c r="U103" i="50"/>
  <c r="O103" i="50"/>
  <c r="F103" i="50"/>
  <c r="BF102" i="50"/>
  <c r="BC102" i="50"/>
  <c r="AZ102" i="50"/>
  <c r="AW102" i="50"/>
  <c r="AT102" i="50"/>
  <c r="AQ102" i="50"/>
  <c r="AN102" i="50"/>
  <c r="AK102" i="50"/>
  <c r="BG102" i="50" s="1"/>
  <c r="BI102" i="50" s="1"/>
  <c r="BK102" i="50" s="1"/>
  <c r="AH102" i="50"/>
  <c r="AE102" i="50"/>
  <c r="AB102" i="50"/>
  <c r="V102" i="50"/>
  <c r="CB102" i="50" s="1"/>
  <c r="N102" i="50"/>
  <c r="U102" i="50" s="1"/>
  <c r="F102" i="50"/>
  <c r="BF101" i="50"/>
  <c r="BC101" i="50"/>
  <c r="AZ101" i="50"/>
  <c r="AW101" i="50"/>
  <c r="AT101" i="50"/>
  <c r="AQ101" i="50"/>
  <c r="AN101" i="50"/>
  <c r="AK101" i="50"/>
  <c r="AH101" i="50"/>
  <c r="AE101" i="50"/>
  <c r="AB101" i="50"/>
  <c r="S101" i="50"/>
  <c r="T101" i="50" s="1"/>
  <c r="U101" i="50" s="1"/>
  <c r="O101" i="50"/>
  <c r="F101" i="50"/>
  <c r="BF100" i="50"/>
  <c r="BC100" i="50"/>
  <c r="AZ100" i="50"/>
  <c r="AW100" i="50"/>
  <c r="AT100" i="50"/>
  <c r="AQ100" i="50"/>
  <c r="AN100" i="50"/>
  <c r="AK100" i="50"/>
  <c r="AH100" i="50"/>
  <c r="AE100" i="50"/>
  <c r="AB100" i="50"/>
  <c r="S100" i="50"/>
  <c r="L100" i="50"/>
  <c r="K100" i="50"/>
  <c r="F100" i="50"/>
  <c r="BF99" i="50"/>
  <c r="BC99" i="50"/>
  <c r="AZ99" i="50"/>
  <c r="AW99" i="50"/>
  <c r="AT99" i="50"/>
  <c r="AQ99" i="50"/>
  <c r="AN99" i="50"/>
  <c r="AK99" i="50"/>
  <c r="AH99" i="50"/>
  <c r="AE99" i="50"/>
  <c r="AB99" i="50"/>
  <c r="S99" i="50"/>
  <c r="P99" i="50"/>
  <c r="T99" i="50" s="1"/>
  <c r="U99" i="50" s="1"/>
  <c r="O99" i="50"/>
  <c r="N99" i="50"/>
  <c r="M99" i="50"/>
  <c r="F99" i="50"/>
  <c r="BF98" i="50"/>
  <c r="BC98" i="50"/>
  <c r="AZ98" i="50"/>
  <c r="AW98" i="50"/>
  <c r="AT98" i="50"/>
  <c r="AQ98" i="50"/>
  <c r="AN98" i="50"/>
  <c r="AK98" i="50"/>
  <c r="AH98" i="50"/>
  <c r="AE98" i="50"/>
  <c r="AB98" i="50"/>
  <c r="S98" i="50"/>
  <c r="P98" i="50"/>
  <c r="M98" i="50" s="1"/>
  <c r="O98" i="50" s="1"/>
  <c r="K98" i="50"/>
  <c r="L98" i="50" s="1"/>
  <c r="F98" i="50"/>
  <c r="BF97" i="50"/>
  <c r="BC97" i="50"/>
  <c r="AZ97" i="50"/>
  <c r="AW97" i="50"/>
  <c r="AT97" i="50"/>
  <c r="AQ97" i="50"/>
  <c r="AN97" i="50"/>
  <c r="AK97" i="50"/>
  <c r="AH97" i="50"/>
  <c r="AE97" i="50"/>
  <c r="AB97" i="50"/>
  <c r="S97" i="50"/>
  <c r="K97" i="50"/>
  <c r="L97" i="50" s="1"/>
  <c r="F97" i="50"/>
  <c r="BF96" i="50"/>
  <c r="BC96" i="50"/>
  <c r="AZ96" i="50"/>
  <c r="AW96" i="50"/>
  <c r="AT96" i="50"/>
  <c r="AQ96" i="50"/>
  <c r="AN96" i="50"/>
  <c r="AK96" i="50"/>
  <c r="AH96" i="50"/>
  <c r="AE96" i="50"/>
  <c r="AB96" i="50"/>
  <c r="S96" i="50"/>
  <c r="N96" i="50"/>
  <c r="K96" i="50"/>
  <c r="L96" i="50" s="1"/>
  <c r="P96" i="50" s="1"/>
  <c r="M96" i="50" s="1"/>
  <c r="F96" i="50"/>
  <c r="BF95" i="50"/>
  <c r="BC95" i="50"/>
  <c r="AZ95" i="50"/>
  <c r="AW95" i="50"/>
  <c r="AT95" i="50"/>
  <c r="AQ95" i="50"/>
  <c r="AN95" i="50"/>
  <c r="AK95" i="50"/>
  <c r="AH95" i="50"/>
  <c r="AE95" i="50"/>
  <c r="AB95" i="50"/>
  <c r="S95" i="50"/>
  <c r="L95" i="50"/>
  <c r="P95" i="50" s="1"/>
  <c r="K95" i="50"/>
  <c r="F95" i="50"/>
  <c r="BF94" i="50"/>
  <c r="BC94" i="50"/>
  <c r="AZ94" i="50"/>
  <c r="AW94" i="50"/>
  <c r="AT94" i="50"/>
  <c r="AQ94" i="50"/>
  <c r="AN94" i="50"/>
  <c r="AK94" i="50"/>
  <c r="BG94" i="50" s="1"/>
  <c r="BI94" i="50" s="1"/>
  <c r="BK94" i="50" s="1"/>
  <c r="AH94" i="50"/>
  <c r="AE94" i="50"/>
  <c r="AB94" i="50"/>
  <c r="S94" i="50"/>
  <c r="N94" i="50"/>
  <c r="K94" i="50"/>
  <c r="L94" i="50" s="1"/>
  <c r="F94" i="50"/>
  <c r="BF93" i="50"/>
  <c r="BC93" i="50"/>
  <c r="AZ93" i="50"/>
  <c r="AW93" i="50"/>
  <c r="AT93" i="50"/>
  <c r="AQ93" i="50"/>
  <c r="AN93" i="50"/>
  <c r="AK93" i="50"/>
  <c r="AH93" i="50"/>
  <c r="AE93" i="50"/>
  <c r="AB93" i="50"/>
  <c r="Y93" i="50"/>
  <c r="Y108" i="50" s="1"/>
  <c r="S93" i="50"/>
  <c r="M93" i="50" s="1"/>
  <c r="O93" i="50" s="1"/>
  <c r="N93" i="50"/>
  <c r="K93" i="50"/>
  <c r="L93" i="50" s="1"/>
  <c r="P93" i="50" s="1"/>
  <c r="F93" i="50"/>
  <c r="BF92" i="50"/>
  <c r="BC92" i="50"/>
  <c r="AZ92" i="50"/>
  <c r="AW92" i="50"/>
  <c r="AT92" i="50"/>
  <c r="AQ92" i="50"/>
  <c r="AN92" i="50"/>
  <c r="AK92" i="50"/>
  <c r="AH92" i="50"/>
  <c r="AE92" i="50"/>
  <c r="AB92" i="50"/>
  <c r="S92" i="50"/>
  <c r="N92" i="50"/>
  <c r="K92" i="50"/>
  <c r="L92" i="50" s="1"/>
  <c r="F92" i="50"/>
  <c r="BF91" i="50"/>
  <c r="BC91" i="50"/>
  <c r="AZ91" i="50"/>
  <c r="AW91" i="50"/>
  <c r="AT91" i="50"/>
  <c r="AQ91" i="50"/>
  <c r="AN91" i="50"/>
  <c r="AK91" i="50"/>
  <c r="AH91" i="50"/>
  <c r="AE91" i="50"/>
  <c r="AB91" i="50"/>
  <c r="S91" i="50"/>
  <c r="N91" i="50"/>
  <c r="K91" i="50"/>
  <c r="L91" i="50" s="1"/>
  <c r="P91" i="50" s="1"/>
  <c r="M91" i="50" s="1"/>
  <c r="F91" i="50"/>
  <c r="BF90" i="50"/>
  <c r="BC90" i="50"/>
  <c r="AZ90" i="50"/>
  <c r="AW90" i="50"/>
  <c r="AT90" i="50"/>
  <c r="AQ90" i="50"/>
  <c r="AN90" i="50"/>
  <c r="AK90" i="50"/>
  <c r="AH90" i="50"/>
  <c r="AE90" i="50"/>
  <c r="AB90" i="50"/>
  <c r="S90" i="50"/>
  <c r="K90" i="50"/>
  <c r="L90" i="50" s="1"/>
  <c r="F90" i="50"/>
  <c r="BF89" i="50"/>
  <c r="BC89" i="50"/>
  <c r="AZ89" i="50"/>
  <c r="AW89" i="50"/>
  <c r="AT89" i="50"/>
  <c r="AQ89" i="50"/>
  <c r="AN89" i="50"/>
  <c r="AK89" i="50"/>
  <c r="AH89" i="50"/>
  <c r="AE89" i="50"/>
  <c r="AB89" i="50"/>
  <c r="S89" i="50"/>
  <c r="N89" i="50"/>
  <c r="K89" i="50"/>
  <c r="L89" i="50" s="1"/>
  <c r="P89" i="50" s="1"/>
  <c r="M89" i="50" s="1"/>
  <c r="F89" i="50"/>
  <c r="BF88" i="50"/>
  <c r="BC88" i="50"/>
  <c r="AZ88" i="50"/>
  <c r="AW88" i="50"/>
  <c r="AT88" i="50"/>
  <c r="AQ88" i="50"/>
  <c r="AN88" i="50"/>
  <c r="AK88" i="50"/>
  <c r="AH88" i="50"/>
  <c r="AE88" i="50"/>
  <c r="AB88" i="50"/>
  <c r="S88" i="50"/>
  <c r="L88" i="50"/>
  <c r="P88" i="50" s="1"/>
  <c r="K88" i="50"/>
  <c r="F88" i="50"/>
  <c r="BF87" i="50"/>
  <c r="BC87" i="50"/>
  <c r="AZ87" i="50"/>
  <c r="AW87" i="50"/>
  <c r="AT87" i="50"/>
  <c r="AQ87" i="50"/>
  <c r="AN87" i="50"/>
  <c r="AK87" i="50"/>
  <c r="AH87" i="50"/>
  <c r="AE87" i="50"/>
  <c r="AB87" i="50"/>
  <c r="S87" i="50"/>
  <c r="N87" i="50"/>
  <c r="K87" i="50"/>
  <c r="L87" i="50" s="1"/>
  <c r="F87" i="50"/>
  <c r="CB86" i="50"/>
  <c r="CB85" i="50"/>
  <c r="CA84" i="50"/>
  <c r="BS84" i="50"/>
  <c r="BR84" i="50"/>
  <c r="BR110" i="50" s="1"/>
  <c r="AT6" i="47" s="1"/>
  <c r="BE84" i="50"/>
  <c r="BB84" i="50"/>
  <c r="BB110" i="50" s="1"/>
  <c r="BA84" i="50"/>
  <c r="AY84" i="50"/>
  <c r="AX84" i="50"/>
  <c r="AV84" i="50"/>
  <c r="AU84" i="50"/>
  <c r="AS84" i="50"/>
  <c r="AS110" i="50" s="1"/>
  <c r="AR84" i="50"/>
  <c r="AP84" i="50"/>
  <c r="AP110" i="50" s="1"/>
  <c r="AO84" i="50"/>
  <c r="AM84" i="50"/>
  <c r="AM110" i="50" s="1"/>
  <c r="AL84" i="50"/>
  <c r="AJ84" i="50"/>
  <c r="AI84" i="50"/>
  <c r="AG84" i="50"/>
  <c r="AF84" i="50"/>
  <c r="AD84" i="50"/>
  <c r="AD110" i="50" s="1"/>
  <c r="AC84" i="50"/>
  <c r="AA84" i="50"/>
  <c r="Z84" i="50"/>
  <c r="Y84" i="50"/>
  <c r="X84" i="50"/>
  <c r="W84" i="50"/>
  <c r="W110" i="50" s="1"/>
  <c r="U6" i="47" s="1"/>
  <c r="J84" i="50"/>
  <c r="I84" i="50"/>
  <c r="H84" i="50"/>
  <c r="BF83" i="50"/>
  <c r="BC83" i="50"/>
  <c r="AZ83" i="50"/>
  <c r="AW83" i="50"/>
  <c r="AT83" i="50"/>
  <c r="AQ83" i="50"/>
  <c r="AN83" i="50"/>
  <c r="AK83" i="50"/>
  <c r="AH83" i="50"/>
  <c r="AE83" i="50"/>
  <c r="AB83" i="50"/>
  <c r="U83" i="50"/>
  <c r="O83" i="50"/>
  <c r="F83" i="50"/>
  <c r="BF82" i="50"/>
  <c r="BC82" i="50"/>
  <c r="AZ82" i="50"/>
  <c r="AW82" i="50"/>
  <c r="AT82" i="50"/>
  <c r="AQ82" i="50"/>
  <c r="AN82" i="50"/>
  <c r="AK82" i="50"/>
  <c r="AH82" i="50"/>
  <c r="AE82" i="50"/>
  <c r="BG82" i="50" s="1"/>
  <c r="BI82" i="50" s="1"/>
  <c r="BK82" i="50" s="1"/>
  <c r="AB82" i="50"/>
  <c r="O82" i="50"/>
  <c r="N82" i="50"/>
  <c r="U82" i="50" s="1"/>
  <c r="F82" i="50"/>
  <c r="BF81" i="50"/>
  <c r="BC81" i="50"/>
  <c r="AZ81" i="50"/>
  <c r="AW81" i="50"/>
  <c r="AT81" i="50"/>
  <c r="AQ81" i="50"/>
  <c r="AN81" i="50"/>
  <c r="AK81" i="50"/>
  <c r="AH81" i="50"/>
  <c r="AE81" i="50"/>
  <c r="AB81" i="50"/>
  <c r="N81" i="50"/>
  <c r="F81" i="50"/>
  <c r="BF80" i="50"/>
  <c r="BC80" i="50"/>
  <c r="AZ80" i="50"/>
  <c r="AW80" i="50"/>
  <c r="AT80" i="50"/>
  <c r="AQ80" i="50"/>
  <c r="AN80" i="50"/>
  <c r="AK80" i="50"/>
  <c r="AH80" i="50"/>
  <c r="AE80" i="50"/>
  <c r="AB80" i="50"/>
  <c r="U80" i="50"/>
  <c r="O80" i="50"/>
  <c r="F80" i="50"/>
  <c r="BF79" i="50"/>
  <c r="BC79" i="50"/>
  <c r="AZ79" i="50"/>
  <c r="AW79" i="50"/>
  <c r="AT79" i="50"/>
  <c r="AQ79" i="50"/>
  <c r="AN79" i="50"/>
  <c r="AK79" i="50"/>
  <c r="AH79" i="50"/>
  <c r="AE79" i="50"/>
  <c r="AB79" i="50"/>
  <c r="V79" i="50"/>
  <c r="CB79" i="50" s="1"/>
  <c r="N79" i="50"/>
  <c r="U79" i="50" s="1"/>
  <c r="F79" i="50"/>
  <c r="BF78" i="50"/>
  <c r="BC78" i="50"/>
  <c r="AZ78" i="50"/>
  <c r="AW78" i="50"/>
  <c r="AT78" i="50"/>
  <c r="AQ78" i="50"/>
  <c r="AN78" i="50"/>
  <c r="AK78" i="50"/>
  <c r="AH78" i="50"/>
  <c r="AE78" i="50"/>
  <c r="AB78" i="50"/>
  <c r="P78" i="50"/>
  <c r="M78" i="50" s="1"/>
  <c r="O78" i="50" s="1"/>
  <c r="N78" i="50"/>
  <c r="U78" i="50" s="1"/>
  <c r="F78" i="50"/>
  <c r="BF77" i="50"/>
  <c r="BC77" i="50"/>
  <c r="AZ77" i="50"/>
  <c r="AW77" i="50"/>
  <c r="AT77" i="50"/>
  <c r="AQ77" i="50"/>
  <c r="AN77" i="50"/>
  <c r="AK77" i="50"/>
  <c r="AH77" i="50"/>
  <c r="AE77" i="50"/>
  <c r="AB77" i="50"/>
  <c r="S77" i="50"/>
  <c r="K77" i="50"/>
  <c r="L77" i="50" s="1"/>
  <c r="P77" i="50" s="1"/>
  <c r="F77" i="50"/>
  <c r="BF76" i="50"/>
  <c r="BC76" i="50"/>
  <c r="AZ76" i="50"/>
  <c r="AW76" i="50"/>
  <c r="AT76" i="50"/>
  <c r="AQ76" i="50"/>
  <c r="AN76" i="50"/>
  <c r="AK76" i="50"/>
  <c r="AH76" i="50"/>
  <c r="AE76" i="50"/>
  <c r="AB76" i="50"/>
  <c r="S76" i="50"/>
  <c r="K76" i="50"/>
  <c r="L76" i="50" s="1"/>
  <c r="F76" i="50"/>
  <c r="BF75" i="50"/>
  <c r="BC75" i="50"/>
  <c r="AZ75" i="50"/>
  <c r="AW75" i="50"/>
  <c r="AT75" i="50"/>
  <c r="AQ75" i="50"/>
  <c r="AN75" i="50"/>
  <c r="AK75" i="50"/>
  <c r="AH75" i="50"/>
  <c r="AE75" i="50"/>
  <c r="AB75" i="50"/>
  <c r="S75" i="50"/>
  <c r="K75" i="50"/>
  <c r="L75" i="50" s="1"/>
  <c r="F75" i="50"/>
  <c r="BF74" i="50"/>
  <c r="BC74" i="50"/>
  <c r="AZ74" i="50"/>
  <c r="AW74" i="50"/>
  <c r="AT74" i="50"/>
  <c r="AQ74" i="50"/>
  <c r="AN74" i="50"/>
  <c r="AK74" i="50"/>
  <c r="AH74" i="50"/>
  <c r="AE74" i="50"/>
  <c r="AB74" i="50"/>
  <c r="S74" i="50"/>
  <c r="K74" i="50"/>
  <c r="L74" i="50" s="1"/>
  <c r="P74" i="50" s="1"/>
  <c r="M74" i="50" s="1"/>
  <c r="O74" i="50" s="1"/>
  <c r="F74" i="50"/>
  <c r="BF73" i="50"/>
  <c r="BC73" i="50"/>
  <c r="AZ73" i="50"/>
  <c r="AW73" i="50"/>
  <c r="AT73" i="50"/>
  <c r="AQ73" i="50"/>
  <c r="AN73" i="50"/>
  <c r="AK73" i="50"/>
  <c r="AH73" i="50"/>
  <c r="AE73" i="50"/>
  <c r="AB73" i="50"/>
  <c r="S73" i="50"/>
  <c r="L73" i="50"/>
  <c r="K73" i="50"/>
  <c r="F73" i="50"/>
  <c r="BF72" i="50"/>
  <c r="BC72" i="50"/>
  <c r="AZ72" i="50"/>
  <c r="AW72" i="50"/>
  <c r="AT72" i="50"/>
  <c r="AQ72" i="50"/>
  <c r="AN72" i="50"/>
  <c r="AK72" i="50"/>
  <c r="AH72" i="50"/>
  <c r="AE72" i="50"/>
  <c r="AB72" i="50"/>
  <c r="S72" i="50"/>
  <c r="R72" i="50"/>
  <c r="K72" i="50"/>
  <c r="L72" i="50" s="1"/>
  <c r="G72" i="50"/>
  <c r="F72" i="50"/>
  <c r="BF71" i="50"/>
  <c r="BC71" i="50"/>
  <c r="AZ71" i="50"/>
  <c r="AW71" i="50"/>
  <c r="AT71" i="50"/>
  <c r="AQ71" i="50"/>
  <c r="AN71" i="50"/>
  <c r="AK71" i="50"/>
  <c r="AH71" i="50"/>
  <c r="AE71" i="50"/>
  <c r="AB71" i="50"/>
  <c r="S71" i="50"/>
  <c r="R71" i="50"/>
  <c r="K71" i="50"/>
  <c r="L71" i="50" s="1"/>
  <c r="F71" i="50"/>
  <c r="BF70" i="50"/>
  <c r="BC70" i="50"/>
  <c r="AZ70" i="50"/>
  <c r="AW70" i="50"/>
  <c r="AT70" i="50"/>
  <c r="AQ70" i="50"/>
  <c r="AN70" i="50"/>
  <c r="AK70" i="50"/>
  <c r="AH70" i="50"/>
  <c r="AE70" i="50"/>
  <c r="AB70" i="50"/>
  <c r="S70" i="50"/>
  <c r="P70" i="50"/>
  <c r="K70" i="50"/>
  <c r="L70" i="50" s="1"/>
  <c r="F70" i="50"/>
  <c r="BF69" i="50"/>
  <c r="BC69" i="50"/>
  <c r="AZ69" i="50"/>
  <c r="AW69" i="50"/>
  <c r="AT69" i="50"/>
  <c r="AQ69" i="50"/>
  <c r="AN69" i="50"/>
  <c r="AK69" i="50"/>
  <c r="AH69" i="50"/>
  <c r="AE69" i="50"/>
  <c r="AB69" i="50"/>
  <c r="S69" i="50"/>
  <c r="N69" i="50"/>
  <c r="K69" i="50"/>
  <c r="L69" i="50" s="1"/>
  <c r="P69" i="50" s="1"/>
  <c r="F69" i="50"/>
  <c r="BF68" i="50"/>
  <c r="BC68" i="50"/>
  <c r="AZ68" i="50"/>
  <c r="AW68" i="50"/>
  <c r="AT68" i="50"/>
  <c r="AQ68" i="50"/>
  <c r="AN68" i="50"/>
  <c r="AK68" i="50"/>
  <c r="AH68" i="50"/>
  <c r="AE68" i="50"/>
  <c r="AB68" i="50"/>
  <c r="S68" i="50"/>
  <c r="R68" i="50"/>
  <c r="P68" i="50"/>
  <c r="K68" i="50"/>
  <c r="L68" i="50" s="1"/>
  <c r="F68" i="50"/>
  <c r="D68" i="50"/>
  <c r="BF67" i="50"/>
  <c r="BC67" i="50"/>
  <c r="AZ67" i="50"/>
  <c r="AW67" i="50"/>
  <c r="AT67" i="50"/>
  <c r="AQ67" i="50"/>
  <c r="AN67" i="50"/>
  <c r="AK67" i="50"/>
  <c r="AH67" i="50"/>
  <c r="AE67" i="50"/>
  <c r="AB67" i="50"/>
  <c r="S67" i="50"/>
  <c r="L67" i="50"/>
  <c r="P67" i="50" s="1"/>
  <c r="K67" i="50"/>
  <c r="F67" i="50"/>
  <c r="BF66" i="50"/>
  <c r="BC66" i="50"/>
  <c r="AZ66" i="50"/>
  <c r="AW66" i="50"/>
  <c r="AT66" i="50"/>
  <c r="AQ66" i="50"/>
  <c r="AN66" i="50"/>
  <c r="AK66" i="50"/>
  <c r="AH66" i="50"/>
  <c r="AE66" i="50"/>
  <c r="AB66" i="50"/>
  <c r="Q66" i="50"/>
  <c r="S66" i="50" s="1"/>
  <c r="K66" i="50"/>
  <c r="L66" i="50" s="1"/>
  <c r="G66" i="50"/>
  <c r="E66" i="50"/>
  <c r="D66" i="50"/>
  <c r="F66" i="50" s="1"/>
  <c r="BF65" i="50"/>
  <c r="BC65" i="50"/>
  <c r="AZ65" i="50"/>
  <c r="AW65" i="50"/>
  <c r="AT65" i="50"/>
  <c r="AQ65" i="50"/>
  <c r="AN65" i="50"/>
  <c r="AK65" i="50"/>
  <c r="AH65" i="50"/>
  <c r="AE65" i="50"/>
  <c r="AB65" i="50"/>
  <c r="S65" i="50"/>
  <c r="K65" i="50"/>
  <c r="L65" i="50" s="1"/>
  <c r="F65" i="50"/>
  <c r="BF64" i="50"/>
  <c r="BC64" i="50"/>
  <c r="AZ64" i="50"/>
  <c r="AW64" i="50"/>
  <c r="AT64" i="50"/>
  <c r="AQ64" i="50"/>
  <c r="AN64" i="50"/>
  <c r="AK64" i="50"/>
  <c r="AH64" i="50"/>
  <c r="AE64" i="50"/>
  <c r="AB64" i="50"/>
  <c r="S64" i="50"/>
  <c r="K64" i="50"/>
  <c r="L64" i="50" s="1"/>
  <c r="P64" i="50" s="1"/>
  <c r="F64" i="50"/>
  <c r="BF63" i="50"/>
  <c r="BC63" i="50"/>
  <c r="AZ63" i="50"/>
  <c r="AW63" i="50"/>
  <c r="AT63" i="50"/>
  <c r="AQ63" i="50"/>
  <c r="AN63" i="50"/>
  <c r="AK63" i="50"/>
  <c r="AH63" i="50"/>
  <c r="AE63" i="50"/>
  <c r="AB63" i="50"/>
  <c r="S63" i="50"/>
  <c r="N63" i="50"/>
  <c r="K63" i="50"/>
  <c r="L63" i="50" s="1"/>
  <c r="F63" i="50"/>
  <c r="BF62" i="50"/>
  <c r="BC62" i="50"/>
  <c r="AZ62" i="50"/>
  <c r="AW62" i="50"/>
  <c r="AT62" i="50"/>
  <c r="AQ62" i="50"/>
  <c r="AN62" i="50"/>
  <c r="AK62" i="50"/>
  <c r="AH62" i="50"/>
  <c r="AE62" i="50"/>
  <c r="AB62" i="50"/>
  <c r="S62" i="50"/>
  <c r="K62" i="50"/>
  <c r="L62" i="50" s="1"/>
  <c r="F62" i="50"/>
  <c r="BF61" i="50"/>
  <c r="BC61" i="50"/>
  <c r="AZ61" i="50"/>
  <c r="AW61" i="50"/>
  <c r="AT61" i="50"/>
  <c r="AQ61" i="50"/>
  <c r="AN61" i="50"/>
  <c r="AK61" i="50"/>
  <c r="BG61" i="50" s="1"/>
  <c r="BI61" i="50" s="1"/>
  <c r="BK61" i="50" s="1"/>
  <c r="AH61" i="50"/>
  <c r="AE61" i="50"/>
  <c r="AB61" i="50"/>
  <c r="S61" i="50"/>
  <c r="P61" i="50"/>
  <c r="N61" i="50"/>
  <c r="K61" i="50"/>
  <c r="L61" i="50" s="1"/>
  <c r="F61" i="50"/>
  <c r="BF60" i="50"/>
  <c r="BC60" i="50"/>
  <c r="AZ60" i="50"/>
  <c r="AW60" i="50"/>
  <c r="AT60" i="50"/>
  <c r="AQ60" i="50"/>
  <c r="AN60" i="50"/>
  <c r="AK60" i="50"/>
  <c r="AH60" i="50"/>
  <c r="AE60" i="50"/>
  <c r="AB60" i="50"/>
  <c r="S60" i="50"/>
  <c r="N60" i="50"/>
  <c r="K60" i="50"/>
  <c r="L60" i="50" s="1"/>
  <c r="P60" i="50" s="1"/>
  <c r="F60" i="50"/>
  <c r="BF59" i="50"/>
  <c r="BC59" i="50"/>
  <c r="AZ59" i="50"/>
  <c r="AW59" i="50"/>
  <c r="AT59" i="50"/>
  <c r="AQ59" i="50"/>
  <c r="AN59" i="50"/>
  <c r="AK59" i="50"/>
  <c r="AH59" i="50"/>
  <c r="AE59" i="50"/>
  <c r="AB59" i="50"/>
  <c r="S59" i="50"/>
  <c r="N59" i="50"/>
  <c r="K59" i="50"/>
  <c r="L59" i="50" s="1"/>
  <c r="P59" i="50" s="1"/>
  <c r="M59" i="50" s="1"/>
  <c r="T59" i="50" s="1"/>
  <c r="F59" i="50"/>
  <c r="BD58" i="50"/>
  <c r="BF58" i="50" s="1"/>
  <c r="BC58" i="50"/>
  <c r="AZ58" i="50"/>
  <c r="AW58" i="50"/>
  <c r="AT58" i="50"/>
  <c r="AQ58" i="50"/>
  <c r="AN58" i="50"/>
  <c r="AK58" i="50"/>
  <c r="AH58" i="50"/>
  <c r="AE58" i="50"/>
  <c r="AB58" i="50"/>
  <c r="S58" i="50"/>
  <c r="N58" i="50"/>
  <c r="K58" i="50"/>
  <c r="L58" i="50" s="1"/>
  <c r="P58" i="50" s="1"/>
  <c r="D58" i="50"/>
  <c r="F58" i="50" s="1"/>
  <c r="BF57" i="50"/>
  <c r="BC57" i="50"/>
  <c r="AZ57" i="50"/>
  <c r="AW57" i="50"/>
  <c r="AT57" i="50"/>
  <c r="AQ57" i="50"/>
  <c r="AN57" i="50"/>
  <c r="AK57" i="50"/>
  <c r="AH57" i="50"/>
  <c r="AE57" i="50"/>
  <c r="AB57" i="50"/>
  <c r="S57" i="50"/>
  <c r="N57" i="50"/>
  <c r="K57" i="50"/>
  <c r="L57" i="50" s="1"/>
  <c r="P57" i="50" s="1"/>
  <c r="F57" i="50"/>
  <c r="BF56" i="50"/>
  <c r="BC56" i="50"/>
  <c r="AZ56" i="50"/>
  <c r="AW56" i="50"/>
  <c r="AT56" i="50"/>
  <c r="AQ56" i="50"/>
  <c r="AN56" i="50"/>
  <c r="AK56" i="50"/>
  <c r="AH56" i="50"/>
  <c r="AE56" i="50"/>
  <c r="AB56" i="50"/>
  <c r="S56" i="50"/>
  <c r="L56" i="50"/>
  <c r="K56" i="50"/>
  <c r="F56" i="50"/>
  <c r="BF55" i="50"/>
  <c r="BC55" i="50"/>
  <c r="AZ55" i="50"/>
  <c r="AW55" i="50"/>
  <c r="AT55" i="50"/>
  <c r="AQ55" i="50"/>
  <c r="AN55" i="50"/>
  <c r="AK55" i="50"/>
  <c r="AH55" i="50"/>
  <c r="AE55" i="50"/>
  <c r="AB55" i="50"/>
  <c r="S55" i="50"/>
  <c r="M55" i="50" s="1"/>
  <c r="O55" i="50" s="1"/>
  <c r="P55" i="50"/>
  <c r="K55" i="50"/>
  <c r="L55" i="50" s="1"/>
  <c r="F55" i="50"/>
  <c r="BF54" i="50"/>
  <c r="BC54" i="50"/>
  <c r="AZ54" i="50"/>
  <c r="AW54" i="50"/>
  <c r="AT54" i="50"/>
  <c r="AQ54" i="50"/>
  <c r="AN54" i="50"/>
  <c r="AK54" i="50"/>
  <c r="AH54" i="50"/>
  <c r="AE54" i="50"/>
  <c r="AB54" i="50"/>
  <c r="S54" i="50"/>
  <c r="K54" i="50"/>
  <c r="L54" i="50" s="1"/>
  <c r="F54" i="50"/>
  <c r="BF53" i="50"/>
  <c r="BC53" i="50"/>
  <c r="AZ53" i="50"/>
  <c r="AW53" i="50"/>
  <c r="AT53" i="50"/>
  <c r="AQ53" i="50"/>
  <c r="AN53" i="50"/>
  <c r="AK53" i="50"/>
  <c r="AH53" i="50"/>
  <c r="AE53" i="50"/>
  <c r="AB53" i="50"/>
  <c r="S53" i="50"/>
  <c r="K53" i="50"/>
  <c r="L53" i="50" s="1"/>
  <c r="F53" i="50"/>
  <c r="BF52" i="50"/>
  <c r="BC52" i="50"/>
  <c r="AZ52" i="50"/>
  <c r="AW52" i="50"/>
  <c r="AT52" i="50"/>
  <c r="AQ52" i="50"/>
  <c r="AN52" i="50"/>
  <c r="AK52" i="50"/>
  <c r="AH52" i="50"/>
  <c r="AE52" i="50"/>
  <c r="AB52" i="50"/>
  <c r="S52" i="50"/>
  <c r="K52" i="50"/>
  <c r="L52" i="50" s="1"/>
  <c r="F52" i="50"/>
  <c r="BF51" i="50"/>
  <c r="BC51" i="50"/>
  <c r="AZ51" i="50"/>
  <c r="AW51" i="50"/>
  <c r="AT51" i="50"/>
  <c r="AQ51" i="50"/>
  <c r="AN51" i="50"/>
  <c r="AK51" i="50"/>
  <c r="AH51" i="50"/>
  <c r="AE51" i="50"/>
  <c r="AB51" i="50"/>
  <c r="Q51" i="50"/>
  <c r="S51" i="50" s="1"/>
  <c r="K51" i="50"/>
  <c r="L51" i="50" s="1"/>
  <c r="G51" i="50"/>
  <c r="P51" i="50" s="1"/>
  <c r="F51" i="50"/>
  <c r="BF50" i="50"/>
  <c r="BC50" i="50"/>
  <c r="AZ50" i="50"/>
  <c r="AW50" i="50"/>
  <c r="AT50" i="50"/>
  <c r="AQ50" i="50"/>
  <c r="AN50" i="50"/>
  <c r="AK50" i="50"/>
  <c r="AH50" i="50"/>
  <c r="AE50" i="50"/>
  <c r="AB50" i="50"/>
  <c r="S50" i="50"/>
  <c r="K50" i="50"/>
  <c r="L50" i="50" s="1"/>
  <c r="F50" i="50"/>
  <c r="BF49" i="50"/>
  <c r="BC49" i="50"/>
  <c r="AZ49" i="50"/>
  <c r="AW49" i="50"/>
  <c r="AT49" i="50"/>
  <c r="AQ49" i="50"/>
  <c r="AN49" i="50"/>
  <c r="AK49" i="50"/>
  <c r="AH49" i="50"/>
  <c r="AE49" i="50"/>
  <c r="AB49" i="50"/>
  <c r="S49" i="50"/>
  <c r="K49" i="50"/>
  <c r="L49" i="50" s="1"/>
  <c r="P49" i="50" s="1"/>
  <c r="F49" i="50"/>
  <c r="BF48" i="50"/>
  <c r="BC48" i="50"/>
  <c r="AZ48" i="50"/>
  <c r="AW48" i="50"/>
  <c r="AT48" i="50"/>
  <c r="AQ48" i="50"/>
  <c r="AN48" i="50"/>
  <c r="AK48" i="50"/>
  <c r="AH48" i="50"/>
  <c r="AE48" i="50"/>
  <c r="AB48" i="50"/>
  <c r="R48" i="50"/>
  <c r="S48" i="50" s="1"/>
  <c r="K48" i="50"/>
  <c r="L48" i="50" s="1"/>
  <c r="D48" i="50"/>
  <c r="F48" i="50" s="1"/>
  <c r="BF47" i="50"/>
  <c r="BC47" i="50"/>
  <c r="AZ47" i="50"/>
  <c r="AW47" i="50"/>
  <c r="AT47" i="50"/>
  <c r="AQ47" i="50"/>
  <c r="AN47" i="50"/>
  <c r="AK47" i="50"/>
  <c r="AH47" i="50"/>
  <c r="AE47" i="50"/>
  <c r="AB47" i="50"/>
  <c r="Q47" i="50"/>
  <c r="S47" i="50" s="1"/>
  <c r="N47" i="50"/>
  <c r="K47" i="50"/>
  <c r="L47" i="50" s="1"/>
  <c r="G47" i="50"/>
  <c r="F47" i="50"/>
  <c r="BF46" i="50"/>
  <c r="BC46" i="50"/>
  <c r="AZ46" i="50"/>
  <c r="AW46" i="50"/>
  <c r="AT46" i="50"/>
  <c r="AQ46" i="50"/>
  <c r="AN46" i="50"/>
  <c r="AK46" i="50"/>
  <c r="AH46" i="50"/>
  <c r="AE46" i="50"/>
  <c r="AB46" i="50"/>
  <c r="S46" i="50"/>
  <c r="N46" i="50"/>
  <c r="K46" i="50"/>
  <c r="L46" i="50" s="1"/>
  <c r="P46" i="50" s="1"/>
  <c r="F46" i="50"/>
  <c r="BF45" i="50"/>
  <c r="BC45" i="50"/>
  <c r="AZ45" i="50"/>
  <c r="AW45" i="50"/>
  <c r="AT45" i="50"/>
  <c r="AQ45" i="50"/>
  <c r="AN45" i="50"/>
  <c r="AK45" i="50"/>
  <c r="AH45" i="50"/>
  <c r="AE45" i="50"/>
  <c r="AB45" i="50"/>
  <c r="S45" i="50"/>
  <c r="N45" i="50"/>
  <c r="K45" i="50"/>
  <c r="L45" i="50" s="1"/>
  <c r="F45" i="50"/>
  <c r="BF44" i="50"/>
  <c r="BC44" i="50"/>
  <c r="AZ44" i="50"/>
  <c r="AW44" i="50"/>
  <c r="AT44" i="50"/>
  <c r="AQ44" i="50"/>
  <c r="AN44" i="50"/>
  <c r="AK44" i="50"/>
  <c r="AH44" i="50"/>
  <c r="AE44" i="50"/>
  <c r="AB44" i="50"/>
  <c r="S44" i="50"/>
  <c r="K44" i="50"/>
  <c r="L44" i="50" s="1"/>
  <c r="F44" i="50"/>
  <c r="BF43" i="50"/>
  <c r="BC43" i="50"/>
  <c r="AZ43" i="50"/>
  <c r="AW43" i="50"/>
  <c r="AT43" i="50"/>
  <c r="AQ43" i="50"/>
  <c r="AN43" i="50"/>
  <c r="AK43" i="50"/>
  <c r="AH43" i="50"/>
  <c r="AE43" i="50"/>
  <c r="AB43" i="50"/>
  <c r="S43" i="50"/>
  <c r="K43" i="50"/>
  <c r="L43" i="50" s="1"/>
  <c r="P43" i="50" s="1"/>
  <c r="F43" i="50"/>
  <c r="BF42" i="50"/>
  <c r="BC42" i="50"/>
  <c r="AZ42" i="50"/>
  <c r="AW42" i="50"/>
  <c r="AT42" i="50"/>
  <c r="AQ42" i="50"/>
  <c r="AN42" i="50"/>
  <c r="AK42" i="50"/>
  <c r="AH42" i="50"/>
  <c r="AE42" i="50"/>
  <c r="AB42" i="50"/>
  <c r="S42" i="50"/>
  <c r="L42" i="50"/>
  <c r="P42" i="50" s="1"/>
  <c r="M42" i="50" s="1"/>
  <c r="K42" i="50"/>
  <c r="F42" i="50"/>
  <c r="BF41" i="50"/>
  <c r="BC41" i="50"/>
  <c r="AZ41" i="50"/>
  <c r="AW41" i="50"/>
  <c r="AT41" i="50"/>
  <c r="AQ41" i="50"/>
  <c r="AN41" i="50"/>
  <c r="AK41" i="50"/>
  <c r="AH41" i="50"/>
  <c r="AE41" i="50"/>
  <c r="AB41" i="50"/>
  <c r="S41" i="50"/>
  <c r="K41" i="50"/>
  <c r="L41" i="50" s="1"/>
  <c r="P41" i="50" s="1"/>
  <c r="D41" i="50"/>
  <c r="F41" i="50" s="1"/>
  <c r="BF40" i="50"/>
  <c r="BC40" i="50"/>
  <c r="AZ40" i="50"/>
  <c r="AW40" i="50"/>
  <c r="AT40" i="50"/>
  <c r="AQ40" i="50"/>
  <c r="AN40" i="50"/>
  <c r="AK40" i="50"/>
  <c r="AH40" i="50"/>
  <c r="AE40" i="50"/>
  <c r="AB40" i="50"/>
  <c r="S40" i="50"/>
  <c r="L40" i="50"/>
  <c r="P40" i="50" s="1"/>
  <c r="M40" i="50" s="1"/>
  <c r="O40" i="50" s="1"/>
  <c r="K40" i="50"/>
  <c r="F40" i="50"/>
  <c r="BF39" i="50"/>
  <c r="BC39" i="50"/>
  <c r="AZ39" i="50"/>
  <c r="AW39" i="50"/>
  <c r="AT39" i="50"/>
  <c r="AQ39" i="50"/>
  <c r="AN39" i="50"/>
  <c r="AK39" i="50"/>
  <c r="AH39" i="50"/>
  <c r="AE39" i="50"/>
  <c r="AB39" i="50"/>
  <c r="S39" i="50"/>
  <c r="K39" i="50"/>
  <c r="L39" i="50" s="1"/>
  <c r="F39" i="50"/>
  <c r="BF38" i="50"/>
  <c r="BC38" i="50"/>
  <c r="AZ38" i="50"/>
  <c r="AW38" i="50"/>
  <c r="AT38" i="50"/>
  <c r="AQ38" i="50"/>
  <c r="AN38" i="50"/>
  <c r="AK38" i="50"/>
  <c r="AH38" i="50"/>
  <c r="AE38" i="50"/>
  <c r="AB38" i="50"/>
  <c r="S38" i="50"/>
  <c r="N38" i="50"/>
  <c r="K38" i="50"/>
  <c r="L38" i="50" s="1"/>
  <c r="P38" i="50" s="1"/>
  <c r="F38" i="50"/>
  <c r="BF37" i="50"/>
  <c r="BC37" i="50"/>
  <c r="AZ37" i="50"/>
  <c r="AW37" i="50"/>
  <c r="AT37" i="50"/>
  <c r="AQ37" i="50"/>
  <c r="AN37" i="50"/>
  <c r="AK37" i="50"/>
  <c r="BG37" i="50" s="1"/>
  <c r="BI37" i="50" s="1"/>
  <c r="BK37" i="50" s="1"/>
  <c r="AH37" i="50"/>
  <c r="AE37" i="50"/>
  <c r="AB37" i="50"/>
  <c r="S37" i="50"/>
  <c r="N37" i="50"/>
  <c r="K37" i="50"/>
  <c r="L37" i="50" s="1"/>
  <c r="P37" i="50" s="1"/>
  <c r="F37" i="50"/>
  <c r="BF36" i="50"/>
  <c r="BC36" i="50"/>
  <c r="AZ36" i="50"/>
  <c r="AW36" i="50"/>
  <c r="AT36" i="50"/>
  <c r="AQ36" i="50"/>
  <c r="AN36" i="50"/>
  <c r="AK36" i="50"/>
  <c r="AH36" i="50"/>
  <c r="AE36" i="50"/>
  <c r="AB36" i="50"/>
  <c r="Q36" i="50"/>
  <c r="S36" i="50" s="1"/>
  <c r="K36" i="50"/>
  <c r="L36" i="50" s="1"/>
  <c r="G36" i="50"/>
  <c r="P36" i="50" s="1"/>
  <c r="F36" i="50"/>
  <c r="BF35" i="50"/>
  <c r="BC35" i="50"/>
  <c r="AZ35" i="50"/>
  <c r="AW35" i="50"/>
  <c r="AT35" i="50"/>
  <c r="AQ35" i="50"/>
  <c r="AN35" i="50"/>
  <c r="AK35" i="50"/>
  <c r="AH35" i="50"/>
  <c r="AE35" i="50"/>
  <c r="AB35" i="50"/>
  <c r="S35" i="50"/>
  <c r="P35" i="50"/>
  <c r="K35" i="50"/>
  <c r="L35" i="50" s="1"/>
  <c r="F35" i="50"/>
  <c r="BF34" i="50"/>
  <c r="BC34" i="50"/>
  <c r="AZ34" i="50"/>
  <c r="AW34" i="50"/>
  <c r="AT34" i="50"/>
  <c r="AQ34" i="50"/>
  <c r="AN34" i="50"/>
  <c r="AK34" i="50"/>
  <c r="AH34" i="50"/>
  <c r="AE34" i="50"/>
  <c r="AB34" i="50"/>
  <c r="S34" i="50"/>
  <c r="K34" i="50"/>
  <c r="L34" i="50" s="1"/>
  <c r="G34" i="50"/>
  <c r="D34" i="50"/>
  <c r="BF33" i="50"/>
  <c r="BC33" i="50"/>
  <c r="AZ33" i="50"/>
  <c r="AW33" i="50"/>
  <c r="AT33" i="50"/>
  <c r="AQ33" i="50"/>
  <c r="AN33" i="50"/>
  <c r="AK33" i="50"/>
  <c r="AH33" i="50"/>
  <c r="AE33" i="50"/>
  <c r="AB33" i="50"/>
  <c r="S33" i="50"/>
  <c r="N33" i="50"/>
  <c r="K33" i="50"/>
  <c r="L33" i="50" s="1"/>
  <c r="P33" i="50" s="1"/>
  <c r="M33" i="50" s="1"/>
  <c r="O33" i="50" s="1"/>
  <c r="F33" i="50"/>
  <c r="BF32" i="50"/>
  <c r="BC32" i="50"/>
  <c r="AZ32" i="50"/>
  <c r="AW32" i="50"/>
  <c r="AT32" i="50"/>
  <c r="AQ32" i="50"/>
  <c r="AN32" i="50"/>
  <c r="AK32" i="50"/>
  <c r="AH32" i="50"/>
  <c r="AE32" i="50"/>
  <c r="AB32" i="50"/>
  <c r="S32" i="50"/>
  <c r="K32" i="50"/>
  <c r="L32" i="50" s="1"/>
  <c r="F32" i="50"/>
  <c r="BF31" i="50"/>
  <c r="BC31" i="50"/>
  <c r="AZ31" i="50"/>
  <c r="AW31" i="50"/>
  <c r="AT31" i="50"/>
  <c r="AQ31" i="50"/>
  <c r="AN31" i="50"/>
  <c r="AK31" i="50"/>
  <c r="AH31" i="50"/>
  <c r="AE31" i="50"/>
  <c r="AB31" i="50"/>
  <c r="S31" i="50"/>
  <c r="N31" i="50"/>
  <c r="K31" i="50"/>
  <c r="L31" i="50" s="1"/>
  <c r="F31" i="50"/>
  <c r="BF30" i="50"/>
  <c r="BC30" i="50"/>
  <c r="AZ30" i="50"/>
  <c r="AW30" i="50"/>
  <c r="AT30" i="50"/>
  <c r="AQ30" i="50"/>
  <c r="AN30" i="50"/>
  <c r="AK30" i="50"/>
  <c r="AH30" i="50"/>
  <c r="AE30" i="50"/>
  <c r="AB30" i="50"/>
  <c r="S30" i="50"/>
  <c r="N30" i="50"/>
  <c r="K30" i="50"/>
  <c r="L30" i="50" s="1"/>
  <c r="P30" i="50" s="1"/>
  <c r="F30" i="50"/>
  <c r="D30" i="50"/>
  <c r="BF29" i="50"/>
  <c r="BC29" i="50"/>
  <c r="AZ29" i="50"/>
  <c r="AW29" i="50"/>
  <c r="AT29" i="50"/>
  <c r="AQ29" i="50"/>
  <c r="AN29" i="50"/>
  <c r="AK29" i="50"/>
  <c r="AH29" i="50"/>
  <c r="AE29" i="50"/>
  <c r="AB29" i="50"/>
  <c r="S29" i="50"/>
  <c r="L29" i="50"/>
  <c r="P29" i="50" s="1"/>
  <c r="K29" i="50"/>
  <c r="D29" i="50"/>
  <c r="BF28" i="50"/>
  <c r="BC28" i="50"/>
  <c r="AZ28" i="50"/>
  <c r="AW28" i="50"/>
  <c r="AT28" i="50"/>
  <c r="AQ28" i="50"/>
  <c r="AN28" i="50"/>
  <c r="AK28" i="50"/>
  <c r="BG28" i="50" s="1"/>
  <c r="BI28" i="50" s="1"/>
  <c r="BK28" i="50" s="1"/>
  <c r="AH28" i="50"/>
  <c r="AE28" i="50"/>
  <c r="AB28" i="50"/>
  <c r="S28" i="50"/>
  <c r="K28" i="50"/>
  <c r="L28" i="50" s="1"/>
  <c r="F28" i="50"/>
  <c r="BF27" i="50"/>
  <c r="BC27" i="50"/>
  <c r="AZ27" i="50"/>
  <c r="AW27" i="50"/>
  <c r="AT27" i="50"/>
  <c r="AQ27" i="50"/>
  <c r="AN27" i="50"/>
  <c r="AK27" i="50"/>
  <c r="AH27" i="50"/>
  <c r="AE27" i="50"/>
  <c r="AB27" i="50"/>
  <c r="S27" i="50"/>
  <c r="N27" i="50"/>
  <c r="K27" i="50"/>
  <c r="L27" i="50" s="1"/>
  <c r="D27" i="50"/>
  <c r="F27" i="50" s="1"/>
  <c r="BF26" i="50"/>
  <c r="BC26" i="50"/>
  <c r="AZ26" i="50"/>
  <c r="AW26" i="50"/>
  <c r="AT26" i="50"/>
  <c r="AQ26" i="50"/>
  <c r="AN26" i="50"/>
  <c r="AK26" i="50"/>
  <c r="AH26" i="50"/>
  <c r="AE26" i="50"/>
  <c r="AB26" i="50"/>
  <c r="S26" i="50"/>
  <c r="K26" i="50"/>
  <c r="L26" i="50" s="1"/>
  <c r="F26" i="50"/>
  <c r="BF25" i="50"/>
  <c r="BC25" i="50"/>
  <c r="AZ25" i="50"/>
  <c r="AW25" i="50"/>
  <c r="AT25" i="50"/>
  <c r="AQ25" i="50"/>
  <c r="AN25" i="50"/>
  <c r="AK25" i="50"/>
  <c r="AH25" i="50"/>
  <c r="AE25" i="50"/>
  <c r="AB25" i="50"/>
  <c r="S25" i="50"/>
  <c r="K25" i="50"/>
  <c r="L25" i="50" s="1"/>
  <c r="P25" i="50" s="1"/>
  <c r="F25" i="50"/>
  <c r="BF24" i="50"/>
  <c r="BC24" i="50"/>
  <c r="AZ24" i="50"/>
  <c r="AW24" i="50"/>
  <c r="AT24" i="50"/>
  <c r="AQ24" i="50"/>
  <c r="AN24" i="50"/>
  <c r="AK24" i="50"/>
  <c r="AH24" i="50"/>
  <c r="AE24" i="50"/>
  <c r="AB24" i="50"/>
  <c r="S24" i="50"/>
  <c r="P24" i="50"/>
  <c r="K24" i="50"/>
  <c r="L24" i="50" s="1"/>
  <c r="F24" i="50"/>
  <c r="BF23" i="50"/>
  <c r="BC23" i="50"/>
  <c r="AZ23" i="50"/>
  <c r="AW23" i="50"/>
  <c r="AT23" i="50"/>
  <c r="AQ23" i="50"/>
  <c r="AN23" i="50"/>
  <c r="AK23" i="50"/>
  <c r="AH23" i="50"/>
  <c r="AE23" i="50"/>
  <c r="AB23" i="50"/>
  <c r="S23" i="50"/>
  <c r="N23" i="50"/>
  <c r="K23" i="50"/>
  <c r="L23" i="50" s="1"/>
  <c r="P23" i="50" s="1"/>
  <c r="F23" i="50"/>
  <c r="BF22" i="50"/>
  <c r="BC22" i="50"/>
  <c r="AZ22" i="50"/>
  <c r="AW22" i="50"/>
  <c r="AT22" i="50"/>
  <c r="AQ22" i="50"/>
  <c r="AN22" i="50"/>
  <c r="AK22" i="50"/>
  <c r="AH22" i="50"/>
  <c r="AE22" i="50"/>
  <c r="AB22" i="50"/>
  <c r="S22" i="50"/>
  <c r="K22" i="50"/>
  <c r="L22" i="50" s="1"/>
  <c r="P22" i="50" s="1"/>
  <c r="F22" i="50"/>
  <c r="BF21" i="50"/>
  <c r="BC21" i="50"/>
  <c r="AZ21" i="50"/>
  <c r="AW21" i="50"/>
  <c r="AT21" i="50"/>
  <c r="AQ21" i="50"/>
  <c r="AN21" i="50"/>
  <c r="AK21" i="50"/>
  <c r="AH21" i="50"/>
  <c r="AE21" i="50"/>
  <c r="AB21" i="50"/>
  <c r="S21" i="50"/>
  <c r="N21" i="50"/>
  <c r="K21" i="50"/>
  <c r="L21" i="50" s="1"/>
  <c r="F21" i="50"/>
  <c r="BF20" i="50"/>
  <c r="BC20" i="50"/>
  <c r="AZ20" i="50"/>
  <c r="AW20" i="50"/>
  <c r="AT20" i="50"/>
  <c r="AQ20" i="50"/>
  <c r="AN20" i="50"/>
  <c r="AK20" i="50"/>
  <c r="AH20" i="50"/>
  <c r="AE20" i="50"/>
  <c r="AB20" i="50"/>
  <c r="S20" i="50"/>
  <c r="K20" i="50"/>
  <c r="L20" i="50" s="1"/>
  <c r="P20" i="50" s="1"/>
  <c r="F20" i="50"/>
  <c r="BF19" i="50"/>
  <c r="BC19" i="50"/>
  <c r="AZ19" i="50"/>
  <c r="AW19" i="50"/>
  <c r="AT19" i="50"/>
  <c r="AQ19" i="50"/>
  <c r="AN19" i="50"/>
  <c r="AK19" i="50"/>
  <c r="AH19" i="50"/>
  <c r="AE19" i="50"/>
  <c r="AB19" i="50"/>
  <c r="S19" i="50"/>
  <c r="P19" i="50"/>
  <c r="K19" i="50"/>
  <c r="L19" i="50" s="1"/>
  <c r="F19" i="50"/>
  <c r="D19" i="50"/>
  <c r="BF18" i="50"/>
  <c r="BC18" i="50"/>
  <c r="AZ18" i="50"/>
  <c r="AW18" i="50"/>
  <c r="AT18" i="50"/>
  <c r="AQ18" i="50"/>
  <c r="AN18" i="50"/>
  <c r="AK18" i="50"/>
  <c r="AH18" i="50"/>
  <c r="AE18" i="50"/>
  <c r="AB18" i="50"/>
  <c r="S18" i="50"/>
  <c r="N18" i="50"/>
  <c r="K18" i="50"/>
  <c r="L18" i="50" s="1"/>
  <c r="P18" i="50" s="1"/>
  <c r="E18" i="50"/>
  <c r="D18" i="50"/>
  <c r="BF17" i="50"/>
  <c r="BC17" i="50"/>
  <c r="AZ17" i="50"/>
  <c r="AW17" i="50"/>
  <c r="AT17" i="50"/>
  <c r="AQ17" i="50"/>
  <c r="AN17" i="50"/>
  <c r="AK17" i="50"/>
  <c r="AH17" i="50"/>
  <c r="AE17" i="50"/>
  <c r="AB17" i="50"/>
  <c r="S17" i="50"/>
  <c r="N17" i="50"/>
  <c r="K17" i="50"/>
  <c r="L17" i="50" s="1"/>
  <c r="D17" i="50"/>
  <c r="F17" i="50" s="1"/>
  <c r="BF16" i="50"/>
  <c r="BC16" i="50"/>
  <c r="AZ16" i="50"/>
  <c r="AW16" i="50"/>
  <c r="AT16" i="50"/>
  <c r="AQ16" i="50"/>
  <c r="AN16" i="50"/>
  <c r="AK16" i="50"/>
  <c r="AH16" i="50"/>
  <c r="AE16" i="50"/>
  <c r="AB16" i="50"/>
  <c r="Q16" i="50"/>
  <c r="S16" i="50" s="1"/>
  <c r="K16" i="50"/>
  <c r="L16" i="50" s="1"/>
  <c r="G16" i="50"/>
  <c r="P16" i="50" s="1"/>
  <c r="D16" i="50"/>
  <c r="BF15" i="50"/>
  <c r="BC15" i="50"/>
  <c r="AZ15" i="50"/>
  <c r="AW15" i="50"/>
  <c r="AT15" i="50"/>
  <c r="AQ15" i="50"/>
  <c r="AN15" i="50"/>
  <c r="AK15" i="50"/>
  <c r="AH15" i="50"/>
  <c r="AE15" i="50"/>
  <c r="AB15" i="50"/>
  <c r="S15" i="50"/>
  <c r="N15" i="50"/>
  <c r="K15" i="50"/>
  <c r="L15" i="50" s="1"/>
  <c r="P15" i="50" s="1"/>
  <c r="F15" i="50"/>
  <c r="BF14" i="50"/>
  <c r="BC14" i="50"/>
  <c r="AZ14" i="50"/>
  <c r="AW14" i="50"/>
  <c r="AT14" i="50"/>
  <c r="AQ14" i="50"/>
  <c r="AN14" i="50"/>
  <c r="AK14" i="50"/>
  <c r="AH14" i="50"/>
  <c r="AE14" i="50"/>
  <c r="AB14" i="50"/>
  <c r="S14" i="50"/>
  <c r="N14" i="50"/>
  <c r="L14" i="50"/>
  <c r="K14" i="50"/>
  <c r="F14" i="50"/>
  <c r="BF13" i="50"/>
  <c r="BC13" i="50"/>
  <c r="AZ13" i="50"/>
  <c r="AW13" i="50"/>
  <c r="AT13" i="50"/>
  <c r="AQ13" i="50"/>
  <c r="AN13" i="50"/>
  <c r="AK13" i="50"/>
  <c r="AH13" i="50"/>
  <c r="AE13" i="50"/>
  <c r="AB13" i="50"/>
  <c r="S13" i="50"/>
  <c r="Q13" i="50"/>
  <c r="K13" i="50"/>
  <c r="L13" i="50" s="1"/>
  <c r="G13" i="50"/>
  <c r="F13" i="50"/>
  <c r="D13" i="50"/>
  <c r="BF12" i="50"/>
  <c r="BC12" i="50"/>
  <c r="AZ12" i="50"/>
  <c r="AW12" i="50"/>
  <c r="AT12" i="50"/>
  <c r="AQ12" i="50"/>
  <c r="AN12" i="50"/>
  <c r="AK12" i="50"/>
  <c r="AH12" i="50"/>
  <c r="AE12" i="50"/>
  <c r="AB12" i="50"/>
  <c r="Q12" i="50"/>
  <c r="S12" i="50" s="1"/>
  <c r="K12" i="50"/>
  <c r="L12" i="50" s="1"/>
  <c r="G12" i="50"/>
  <c r="F12" i="50"/>
  <c r="BF11" i="50"/>
  <c r="BC11" i="50"/>
  <c r="AZ11" i="50"/>
  <c r="AW11" i="50"/>
  <c r="AT11" i="50"/>
  <c r="AQ11" i="50"/>
  <c r="AN11" i="50"/>
  <c r="AK11" i="50"/>
  <c r="AH11" i="50"/>
  <c r="AE11" i="50"/>
  <c r="AB11" i="50"/>
  <c r="Q11" i="50"/>
  <c r="K11" i="50"/>
  <c r="L11" i="50" s="1"/>
  <c r="G11" i="50"/>
  <c r="F11" i="50"/>
  <c r="BF10" i="50"/>
  <c r="BC10" i="50"/>
  <c r="AZ10" i="50"/>
  <c r="AW10" i="50"/>
  <c r="AT10" i="50"/>
  <c r="AQ10" i="50"/>
  <c r="AN10" i="50"/>
  <c r="AK10" i="50"/>
  <c r="AH10" i="50"/>
  <c r="AE10" i="50"/>
  <c r="AB10" i="50"/>
  <c r="S10" i="50"/>
  <c r="K10" i="50"/>
  <c r="L10" i="50" s="1"/>
  <c r="P10" i="50" s="1"/>
  <c r="D10" i="50"/>
  <c r="F10" i="50" s="1"/>
  <c r="BF9" i="50"/>
  <c r="BC9" i="50"/>
  <c r="AZ9" i="50"/>
  <c r="AW9" i="50"/>
  <c r="AT9" i="50"/>
  <c r="AQ9" i="50"/>
  <c r="AN9" i="50"/>
  <c r="AK9" i="50"/>
  <c r="AH9" i="50"/>
  <c r="AE9" i="50"/>
  <c r="AB9" i="50"/>
  <c r="S9" i="50"/>
  <c r="N9" i="50"/>
  <c r="K9" i="50"/>
  <c r="L9" i="50" s="1"/>
  <c r="P9" i="50" s="1"/>
  <c r="F9" i="50"/>
  <c r="BF8" i="50"/>
  <c r="BC8" i="50"/>
  <c r="AZ8" i="50"/>
  <c r="AW8" i="50"/>
  <c r="AT8" i="50"/>
  <c r="AQ8" i="50"/>
  <c r="AN8" i="50"/>
  <c r="AK8" i="50"/>
  <c r="AH8" i="50"/>
  <c r="AE8" i="50"/>
  <c r="AB8" i="50"/>
  <c r="S8" i="50"/>
  <c r="K8" i="50"/>
  <c r="L8" i="50" s="1"/>
  <c r="P8" i="50" s="1"/>
  <c r="D8" i="50"/>
  <c r="BF7" i="50"/>
  <c r="BC7" i="50"/>
  <c r="AZ7" i="50"/>
  <c r="AW7" i="50"/>
  <c r="AT7" i="50"/>
  <c r="AQ7" i="50"/>
  <c r="AN7" i="50"/>
  <c r="AK7" i="50"/>
  <c r="AH7" i="50"/>
  <c r="AE7" i="50"/>
  <c r="AB7" i="50"/>
  <c r="S7" i="50"/>
  <c r="L7" i="50"/>
  <c r="K7" i="50"/>
  <c r="F7" i="50"/>
  <c r="BF6" i="50"/>
  <c r="BC6" i="50"/>
  <c r="AZ6" i="50"/>
  <c r="AW6" i="50"/>
  <c r="AT6" i="50"/>
  <c r="AQ6" i="50"/>
  <c r="AN6" i="50"/>
  <c r="AK6" i="50"/>
  <c r="AH6" i="50"/>
  <c r="AE6" i="50"/>
  <c r="AB6" i="50"/>
  <c r="S6" i="50"/>
  <c r="N6" i="50"/>
  <c r="K6" i="50"/>
  <c r="L6" i="50" s="1"/>
  <c r="P6" i="50" s="1"/>
  <c r="D6" i="50"/>
  <c r="F6" i="50" s="1"/>
  <c r="A6" i="50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10" i="50" s="1"/>
  <c r="R143" i="49"/>
  <c r="R132" i="49"/>
  <c r="Q131" i="49"/>
  <c r="Q128" i="49"/>
  <c r="Q127" i="49"/>
  <c r="BS120" i="49"/>
  <c r="BE120" i="49"/>
  <c r="BD120" i="49"/>
  <c r="BB120" i="49"/>
  <c r="BA120" i="49"/>
  <c r="AY120" i="49"/>
  <c r="AX120" i="49"/>
  <c r="AV120" i="49"/>
  <c r="AU120" i="49"/>
  <c r="AS120" i="49"/>
  <c r="AR120" i="49"/>
  <c r="AP120" i="49"/>
  <c r="AO120" i="49"/>
  <c r="AM120" i="49"/>
  <c r="AL120" i="49"/>
  <c r="AJ120" i="49"/>
  <c r="AI120" i="49"/>
  <c r="AG120" i="49"/>
  <c r="AF120" i="49"/>
  <c r="AD120" i="49"/>
  <c r="AC120" i="49"/>
  <c r="AA120" i="49"/>
  <c r="Z120" i="49"/>
  <c r="Y120" i="49"/>
  <c r="X120" i="49"/>
  <c r="W120" i="49"/>
  <c r="R120" i="49"/>
  <c r="Q120" i="49"/>
  <c r="N120" i="49"/>
  <c r="J120" i="49"/>
  <c r="I120" i="49"/>
  <c r="H120" i="49"/>
  <c r="E120" i="49"/>
  <c r="D120" i="49"/>
  <c r="BF119" i="49"/>
  <c r="BC119" i="49"/>
  <c r="AZ119" i="49"/>
  <c r="AW119" i="49"/>
  <c r="AT119" i="49"/>
  <c r="AQ119" i="49"/>
  <c r="AN119" i="49"/>
  <c r="AK119" i="49"/>
  <c r="AH119" i="49"/>
  <c r="AE119" i="49"/>
  <c r="AB119" i="49"/>
  <c r="S119" i="49"/>
  <c r="K119" i="49"/>
  <c r="L119" i="49" s="1"/>
  <c r="BF118" i="49"/>
  <c r="BC118" i="49"/>
  <c r="AZ118" i="49"/>
  <c r="AW118" i="49"/>
  <c r="AT118" i="49"/>
  <c r="AQ118" i="49"/>
  <c r="AN118" i="49"/>
  <c r="AK118" i="49"/>
  <c r="AH118" i="49"/>
  <c r="AE118" i="49"/>
  <c r="AB118" i="49"/>
  <c r="S118" i="49"/>
  <c r="K118" i="49"/>
  <c r="L118" i="49" s="1"/>
  <c r="P118" i="49" s="1"/>
  <c r="BF117" i="49"/>
  <c r="BC117" i="49"/>
  <c r="AZ117" i="49"/>
  <c r="AW117" i="49"/>
  <c r="AT117" i="49"/>
  <c r="AQ117" i="49"/>
  <c r="AN117" i="49"/>
  <c r="AK117" i="49"/>
  <c r="AH117" i="49"/>
  <c r="AE117" i="49"/>
  <c r="AB117" i="49"/>
  <c r="S117" i="49"/>
  <c r="K117" i="49"/>
  <c r="L117" i="49" s="1"/>
  <c r="F117" i="49"/>
  <c r="BF116" i="49"/>
  <c r="BC116" i="49"/>
  <c r="AZ116" i="49"/>
  <c r="AW116" i="49"/>
  <c r="AT116" i="49"/>
  <c r="AQ116" i="49"/>
  <c r="AN116" i="49"/>
  <c r="AK116" i="49"/>
  <c r="AH116" i="49"/>
  <c r="AE116" i="49"/>
  <c r="AB116" i="49"/>
  <c r="S116" i="49"/>
  <c r="K116" i="49"/>
  <c r="L116" i="49" s="1"/>
  <c r="P116" i="49" s="1"/>
  <c r="F116" i="49"/>
  <c r="BF115" i="49"/>
  <c r="BC115" i="49"/>
  <c r="AZ115" i="49"/>
  <c r="AW115" i="49"/>
  <c r="AT115" i="49"/>
  <c r="AQ115" i="49"/>
  <c r="AN115" i="49"/>
  <c r="AK115" i="49"/>
  <c r="AH115" i="49"/>
  <c r="AE115" i="49"/>
  <c r="AB115" i="49"/>
  <c r="S115" i="49"/>
  <c r="K115" i="49"/>
  <c r="L115" i="49" s="1"/>
  <c r="F115" i="49"/>
  <c r="BF114" i="49"/>
  <c r="BC114" i="49"/>
  <c r="AZ114" i="49"/>
  <c r="AW114" i="49"/>
  <c r="AT114" i="49"/>
  <c r="AQ114" i="49"/>
  <c r="AN114" i="49"/>
  <c r="AK114" i="49"/>
  <c r="AH114" i="49"/>
  <c r="AE114" i="49"/>
  <c r="AB114" i="49"/>
  <c r="S114" i="49"/>
  <c r="K114" i="49"/>
  <c r="L114" i="49" s="1"/>
  <c r="F114" i="49"/>
  <c r="BF113" i="49"/>
  <c r="BC113" i="49"/>
  <c r="AZ113" i="49"/>
  <c r="AW113" i="49"/>
  <c r="AT113" i="49"/>
  <c r="AQ113" i="49"/>
  <c r="AN113" i="49"/>
  <c r="AK113" i="49"/>
  <c r="AH113" i="49"/>
  <c r="AE113" i="49"/>
  <c r="AB113" i="49"/>
  <c r="S113" i="49"/>
  <c r="K113" i="49"/>
  <c r="L113" i="49" s="1"/>
  <c r="P113" i="49" s="1"/>
  <c r="M113" i="49" s="1"/>
  <c r="F113" i="49"/>
  <c r="BF112" i="49"/>
  <c r="BC112" i="49"/>
  <c r="AZ112" i="49"/>
  <c r="AW112" i="49"/>
  <c r="AT112" i="49"/>
  <c r="AQ112" i="49"/>
  <c r="AN112" i="49"/>
  <c r="AK112" i="49"/>
  <c r="AH112" i="49"/>
  <c r="AE112" i="49"/>
  <c r="AB112" i="49"/>
  <c r="S112" i="49"/>
  <c r="K112" i="49"/>
  <c r="L112" i="49" s="1"/>
  <c r="P112" i="49" s="1"/>
  <c r="F112" i="49"/>
  <c r="BF111" i="49"/>
  <c r="BC111" i="49"/>
  <c r="AZ111" i="49"/>
  <c r="AW111" i="49"/>
  <c r="AT111" i="49"/>
  <c r="AQ111" i="49"/>
  <c r="AN111" i="49"/>
  <c r="AK111" i="49"/>
  <c r="AH111" i="49"/>
  <c r="AE111" i="49"/>
  <c r="AB111" i="49"/>
  <c r="S111" i="49"/>
  <c r="K111" i="49"/>
  <c r="L111" i="49" s="1"/>
  <c r="F111" i="49"/>
  <c r="BF110" i="49"/>
  <c r="BC110" i="49"/>
  <c r="AZ110" i="49"/>
  <c r="AW110" i="49"/>
  <c r="AT110" i="49"/>
  <c r="AQ110" i="49"/>
  <c r="AN110" i="49"/>
  <c r="AK110" i="49"/>
  <c r="AH110" i="49"/>
  <c r="AE110" i="49"/>
  <c r="AB110" i="49"/>
  <c r="S110" i="49"/>
  <c r="K110" i="49"/>
  <c r="L110" i="49" s="1"/>
  <c r="F110" i="49"/>
  <c r="BF109" i="49"/>
  <c r="BC109" i="49"/>
  <c r="AZ109" i="49"/>
  <c r="AW109" i="49"/>
  <c r="AT109" i="49"/>
  <c r="AQ109" i="49"/>
  <c r="AN109" i="49"/>
  <c r="AK109" i="49"/>
  <c r="AH109" i="49"/>
  <c r="AE109" i="49"/>
  <c r="AB109" i="49"/>
  <c r="S109" i="49"/>
  <c r="K109" i="49"/>
  <c r="L109" i="49" s="1"/>
  <c r="G109" i="49"/>
  <c r="F109" i="49"/>
  <c r="BF108" i="49"/>
  <c r="BC108" i="49"/>
  <c r="AZ108" i="49"/>
  <c r="AW108" i="49"/>
  <c r="AT108" i="49"/>
  <c r="AQ108" i="49"/>
  <c r="AN108" i="49"/>
  <c r="AK108" i="49"/>
  <c r="AH108" i="49"/>
  <c r="AE108" i="49"/>
  <c r="AB108" i="49"/>
  <c r="S108" i="49"/>
  <c r="K108" i="49"/>
  <c r="L108" i="49" s="1"/>
  <c r="F108" i="49"/>
  <c r="BF107" i="49"/>
  <c r="BC107" i="49"/>
  <c r="AZ107" i="49"/>
  <c r="AW107" i="49"/>
  <c r="AT107" i="49"/>
  <c r="AQ107" i="49"/>
  <c r="AN107" i="49"/>
  <c r="AK107" i="49"/>
  <c r="AH107" i="49"/>
  <c r="AE107" i="49"/>
  <c r="AB107" i="49"/>
  <c r="S107" i="49"/>
  <c r="K107" i="49"/>
  <c r="L107" i="49" s="1"/>
  <c r="F107" i="49"/>
  <c r="BF106" i="49"/>
  <c r="BC106" i="49"/>
  <c r="AZ106" i="49"/>
  <c r="AW106" i="49"/>
  <c r="AT106" i="49"/>
  <c r="AQ106" i="49"/>
  <c r="AN106" i="49"/>
  <c r="AK106" i="49"/>
  <c r="AH106" i="49"/>
  <c r="AE106" i="49"/>
  <c r="AB106" i="49"/>
  <c r="S106" i="49"/>
  <c r="K106" i="49"/>
  <c r="L106" i="49" s="1"/>
  <c r="P106" i="49" s="1"/>
  <c r="F106" i="49"/>
  <c r="BF105" i="49"/>
  <c r="BC105" i="49"/>
  <c r="AZ105" i="49"/>
  <c r="AW105" i="49"/>
  <c r="AT105" i="49"/>
  <c r="AQ105" i="49"/>
  <c r="AN105" i="49"/>
  <c r="AK105" i="49"/>
  <c r="AH105" i="49"/>
  <c r="AE105" i="49"/>
  <c r="AB105" i="49"/>
  <c r="S105" i="49"/>
  <c r="K105" i="49"/>
  <c r="L105" i="49" s="1"/>
  <c r="G105" i="49"/>
  <c r="F105" i="49"/>
  <c r="BF104" i="49"/>
  <c r="BC104" i="49"/>
  <c r="AZ104" i="49"/>
  <c r="AW104" i="49"/>
  <c r="AT104" i="49"/>
  <c r="AQ104" i="49"/>
  <c r="AN104" i="49"/>
  <c r="AK104" i="49"/>
  <c r="AH104" i="49"/>
  <c r="AE104" i="49"/>
  <c r="AB104" i="49"/>
  <c r="S104" i="49"/>
  <c r="K104" i="49"/>
  <c r="L104" i="49" s="1"/>
  <c r="F104" i="49"/>
  <c r="BS101" i="49"/>
  <c r="BE101" i="49"/>
  <c r="BD101" i="49"/>
  <c r="BB101" i="49"/>
  <c r="BA101" i="49"/>
  <c r="AY101" i="49"/>
  <c r="AX101" i="49"/>
  <c r="AV101" i="49"/>
  <c r="AU101" i="49"/>
  <c r="AS101" i="49"/>
  <c r="AR101" i="49"/>
  <c r="AP101" i="49"/>
  <c r="AO101" i="49"/>
  <c r="AM101" i="49"/>
  <c r="AL101" i="49"/>
  <c r="AJ101" i="49"/>
  <c r="AI101" i="49"/>
  <c r="AG101" i="49"/>
  <c r="AF101" i="49"/>
  <c r="AD101" i="49"/>
  <c r="AC101" i="49"/>
  <c r="AA101" i="49"/>
  <c r="Z101" i="49"/>
  <c r="Y101" i="49"/>
  <c r="X101" i="49"/>
  <c r="W101" i="49"/>
  <c r="R101" i="49"/>
  <c r="Q101" i="49"/>
  <c r="J101" i="49"/>
  <c r="I101" i="49"/>
  <c r="H101" i="49"/>
  <c r="G101" i="49"/>
  <c r="E101" i="49"/>
  <c r="BF100" i="49"/>
  <c r="BC100" i="49"/>
  <c r="AZ100" i="49"/>
  <c r="AW100" i="49"/>
  <c r="AT100" i="49"/>
  <c r="AQ100" i="49"/>
  <c r="AN100" i="49"/>
  <c r="AK100" i="49"/>
  <c r="AH100" i="49"/>
  <c r="AE100" i="49"/>
  <c r="AB100" i="49"/>
  <c r="U100" i="49"/>
  <c r="S100" i="49"/>
  <c r="M100" i="49" s="1"/>
  <c r="O100" i="49"/>
  <c r="F100" i="49"/>
  <c r="BF99" i="49"/>
  <c r="BC99" i="49"/>
  <c r="AZ99" i="49"/>
  <c r="AW99" i="49"/>
  <c r="AT99" i="49"/>
  <c r="AQ99" i="49"/>
  <c r="AN99" i="49"/>
  <c r="AK99" i="49"/>
  <c r="AH99" i="49"/>
  <c r="AE99" i="49"/>
  <c r="AB99" i="49"/>
  <c r="S99" i="49"/>
  <c r="M99" i="49" s="1"/>
  <c r="N99" i="49"/>
  <c r="U99" i="49" s="1"/>
  <c r="F99" i="49"/>
  <c r="BF98" i="49"/>
  <c r="BC98" i="49"/>
  <c r="AZ98" i="49"/>
  <c r="AW98" i="49"/>
  <c r="AT98" i="49"/>
  <c r="AQ98" i="49"/>
  <c r="AN98" i="49"/>
  <c r="AK98" i="49"/>
  <c r="AH98" i="49"/>
  <c r="AE98" i="49"/>
  <c r="AB98" i="49"/>
  <c r="S98" i="49"/>
  <c r="M98" i="49" s="1"/>
  <c r="N98" i="49"/>
  <c r="U98" i="49" s="1"/>
  <c r="F98" i="49"/>
  <c r="BF97" i="49"/>
  <c r="BC97" i="49"/>
  <c r="AZ97" i="49"/>
  <c r="AW97" i="49"/>
  <c r="AT97" i="49"/>
  <c r="AQ97" i="49"/>
  <c r="AN97" i="49"/>
  <c r="AK97" i="49"/>
  <c r="AH97" i="49"/>
  <c r="AE97" i="49"/>
  <c r="AB97" i="49"/>
  <c r="U97" i="49"/>
  <c r="S97" i="49"/>
  <c r="M97" i="49" s="1"/>
  <c r="O97" i="49" s="1"/>
  <c r="F97" i="49"/>
  <c r="BF96" i="49"/>
  <c r="BC96" i="49"/>
  <c r="AZ96" i="49"/>
  <c r="AW96" i="49"/>
  <c r="AT96" i="49"/>
  <c r="AQ96" i="49"/>
  <c r="AN96" i="49"/>
  <c r="AK96" i="49"/>
  <c r="AH96" i="49"/>
  <c r="AE96" i="49"/>
  <c r="AB96" i="49"/>
  <c r="S96" i="49"/>
  <c r="K96" i="49"/>
  <c r="L96" i="49" s="1"/>
  <c r="P96" i="49" s="1"/>
  <c r="BF95" i="49"/>
  <c r="BC95" i="49"/>
  <c r="AZ95" i="49"/>
  <c r="AW95" i="49"/>
  <c r="AT95" i="49"/>
  <c r="AQ95" i="49"/>
  <c r="AN95" i="49"/>
  <c r="AK95" i="49"/>
  <c r="AH95" i="49"/>
  <c r="AE95" i="49"/>
  <c r="AB95" i="49"/>
  <c r="S95" i="49"/>
  <c r="K95" i="49"/>
  <c r="L95" i="49" s="1"/>
  <c r="BF94" i="49"/>
  <c r="BC94" i="49"/>
  <c r="AZ94" i="49"/>
  <c r="AW94" i="49"/>
  <c r="AT94" i="49"/>
  <c r="AQ94" i="49"/>
  <c r="AN94" i="49"/>
  <c r="AK94" i="49"/>
  <c r="AH94" i="49"/>
  <c r="AE94" i="49"/>
  <c r="AB94" i="49"/>
  <c r="S94" i="49"/>
  <c r="K94" i="49"/>
  <c r="L94" i="49" s="1"/>
  <c r="F94" i="49"/>
  <c r="BF93" i="49"/>
  <c r="BM93" i="49" s="1"/>
  <c r="BC93" i="49"/>
  <c r="AZ93" i="49"/>
  <c r="AW93" i="49"/>
  <c r="AT93" i="49"/>
  <c r="AQ93" i="49"/>
  <c r="AN93" i="49"/>
  <c r="AK93" i="49"/>
  <c r="AH93" i="49"/>
  <c r="AE93" i="49"/>
  <c r="AB93" i="49"/>
  <c r="S93" i="49"/>
  <c r="K93" i="49"/>
  <c r="L93" i="49" s="1"/>
  <c r="P93" i="49" s="1"/>
  <c r="F93" i="49"/>
  <c r="BF92" i="49"/>
  <c r="BC92" i="49"/>
  <c r="AZ92" i="49"/>
  <c r="AW92" i="49"/>
  <c r="AT92" i="49"/>
  <c r="AQ92" i="49"/>
  <c r="AN92" i="49"/>
  <c r="AK92" i="49"/>
  <c r="AH92" i="49"/>
  <c r="AE92" i="49"/>
  <c r="AB92" i="49"/>
  <c r="S92" i="49"/>
  <c r="K92" i="49"/>
  <c r="L92" i="49" s="1"/>
  <c r="F92" i="49"/>
  <c r="BF91" i="49"/>
  <c r="BC91" i="49"/>
  <c r="AZ91" i="49"/>
  <c r="AW91" i="49"/>
  <c r="AT91" i="49"/>
  <c r="AQ91" i="49"/>
  <c r="AN91" i="49"/>
  <c r="AK91" i="49"/>
  <c r="AH91" i="49"/>
  <c r="AE91" i="49"/>
  <c r="AB91" i="49"/>
  <c r="S91" i="49"/>
  <c r="K91" i="49"/>
  <c r="L91" i="49" s="1"/>
  <c r="F91" i="49"/>
  <c r="BF90" i="49"/>
  <c r="BC90" i="49"/>
  <c r="AZ90" i="49"/>
  <c r="AW90" i="49"/>
  <c r="AT90" i="49"/>
  <c r="AQ90" i="49"/>
  <c r="AN90" i="49"/>
  <c r="AK90" i="49"/>
  <c r="AH90" i="49"/>
  <c r="AE90" i="49"/>
  <c r="AB90" i="49"/>
  <c r="S90" i="49"/>
  <c r="K90" i="49"/>
  <c r="L90" i="49" s="1"/>
  <c r="P90" i="49" s="1"/>
  <c r="F90" i="49"/>
  <c r="BF89" i="49"/>
  <c r="BC89" i="49"/>
  <c r="AZ89" i="49"/>
  <c r="AW89" i="49"/>
  <c r="AT89" i="49"/>
  <c r="AQ89" i="49"/>
  <c r="AN89" i="49"/>
  <c r="AK89" i="49"/>
  <c r="AH89" i="49"/>
  <c r="AE89" i="49"/>
  <c r="AB89" i="49"/>
  <c r="S89" i="49"/>
  <c r="K89" i="49"/>
  <c r="L89" i="49" s="1"/>
  <c r="F89" i="49"/>
  <c r="BF88" i="49"/>
  <c r="BC88" i="49"/>
  <c r="AZ88" i="49"/>
  <c r="AW88" i="49"/>
  <c r="AT88" i="49"/>
  <c r="AQ88" i="49"/>
  <c r="AN88" i="49"/>
  <c r="AK88" i="49"/>
  <c r="AH88" i="49"/>
  <c r="AE88" i="49"/>
  <c r="AB88" i="49"/>
  <c r="S88" i="49"/>
  <c r="K88" i="49"/>
  <c r="L88" i="49" s="1"/>
  <c r="P88" i="49" s="1"/>
  <c r="F88" i="49"/>
  <c r="BF87" i="49"/>
  <c r="BC87" i="49"/>
  <c r="AZ87" i="49"/>
  <c r="AW87" i="49"/>
  <c r="AT87" i="49"/>
  <c r="AQ87" i="49"/>
  <c r="AN87" i="49"/>
  <c r="AK87" i="49"/>
  <c r="AH87" i="49"/>
  <c r="AE87" i="49"/>
  <c r="AB87" i="49"/>
  <c r="S87" i="49"/>
  <c r="P87" i="49"/>
  <c r="M87" i="49"/>
  <c r="O87" i="49" s="1"/>
  <c r="K87" i="49"/>
  <c r="L87" i="49" s="1"/>
  <c r="F87" i="49"/>
  <c r="BF86" i="49"/>
  <c r="BC86" i="49"/>
  <c r="AZ86" i="49"/>
  <c r="AW86" i="49"/>
  <c r="AT86" i="49"/>
  <c r="AQ86" i="49"/>
  <c r="AN86" i="49"/>
  <c r="AK86" i="49"/>
  <c r="AH86" i="49"/>
  <c r="AE86" i="49"/>
  <c r="AB86" i="49"/>
  <c r="S86" i="49"/>
  <c r="K86" i="49"/>
  <c r="L86" i="49" s="1"/>
  <c r="F86" i="49"/>
  <c r="BF85" i="49"/>
  <c r="BC85" i="49"/>
  <c r="AZ85" i="49"/>
  <c r="AW85" i="49"/>
  <c r="AT85" i="49"/>
  <c r="AQ85" i="49"/>
  <c r="AN85" i="49"/>
  <c r="AK85" i="49"/>
  <c r="AH85" i="49"/>
  <c r="AE85" i="49"/>
  <c r="AB85" i="49"/>
  <c r="S85" i="49"/>
  <c r="K85" i="49"/>
  <c r="L85" i="49" s="1"/>
  <c r="F85" i="49"/>
  <c r="BF84" i="49"/>
  <c r="BC84" i="49"/>
  <c r="AZ84" i="49"/>
  <c r="AW84" i="49"/>
  <c r="AT84" i="49"/>
  <c r="AQ84" i="49"/>
  <c r="AN84" i="49"/>
  <c r="AK84" i="49"/>
  <c r="AH84" i="49"/>
  <c r="AE84" i="49"/>
  <c r="AB84" i="49"/>
  <c r="S84" i="49"/>
  <c r="K84" i="49"/>
  <c r="L84" i="49" s="1"/>
  <c r="P84" i="49" s="1"/>
  <c r="M84" i="49" s="1"/>
  <c r="O84" i="49" s="1"/>
  <c r="F84" i="49"/>
  <c r="BF83" i="49"/>
  <c r="BC83" i="49"/>
  <c r="AZ83" i="49"/>
  <c r="AW83" i="49"/>
  <c r="AT83" i="49"/>
  <c r="AQ83" i="49"/>
  <c r="AN83" i="49"/>
  <c r="AK83" i="49"/>
  <c r="AH83" i="49"/>
  <c r="AE83" i="49"/>
  <c r="AB83" i="49"/>
  <c r="S83" i="49"/>
  <c r="K83" i="49"/>
  <c r="L83" i="49" s="1"/>
  <c r="P83" i="49" s="1"/>
  <c r="F83" i="49"/>
  <c r="BF82" i="49"/>
  <c r="BC82" i="49"/>
  <c r="AZ82" i="49"/>
  <c r="AW82" i="49"/>
  <c r="AT82" i="49"/>
  <c r="AQ82" i="49"/>
  <c r="AN82" i="49"/>
  <c r="AK82" i="49"/>
  <c r="AH82" i="49"/>
  <c r="AE82" i="49"/>
  <c r="AB82" i="49"/>
  <c r="S82" i="49"/>
  <c r="K82" i="49"/>
  <c r="L82" i="49" s="1"/>
  <c r="F82" i="49"/>
  <c r="BF81" i="49"/>
  <c r="BC81" i="49"/>
  <c r="AZ81" i="49"/>
  <c r="AW81" i="49"/>
  <c r="AT81" i="49"/>
  <c r="AQ81" i="49"/>
  <c r="AN81" i="49"/>
  <c r="AK81" i="49"/>
  <c r="AH81" i="49"/>
  <c r="AE81" i="49"/>
  <c r="AB81" i="49"/>
  <c r="S81" i="49"/>
  <c r="N81" i="49"/>
  <c r="K81" i="49"/>
  <c r="L81" i="49" s="1"/>
  <c r="P81" i="49" s="1"/>
  <c r="F81" i="49"/>
  <c r="BF80" i="49"/>
  <c r="BC80" i="49"/>
  <c r="AZ80" i="49"/>
  <c r="AW80" i="49"/>
  <c r="AT80" i="49"/>
  <c r="AQ80" i="49"/>
  <c r="AN80" i="49"/>
  <c r="AK80" i="49"/>
  <c r="AH80" i="49"/>
  <c r="AE80" i="49"/>
  <c r="AB80" i="49"/>
  <c r="S80" i="49"/>
  <c r="N80" i="49"/>
  <c r="K80" i="49"/>
  <c r="L80" i="49" s="1"/>
  <c r="F80" i="49"/>
  <c r="BF79" i="49"/>
  <c r="BC79" i="49"/>
  <c r="AZ79" i="49"/>
  <c r="AW79" i="49"/>
  <c r="AT79" i="49"/>
  <c r="AQ79" i="49"/>
  <c r="AN79" i="49"/>
  <c r="AK79" i="49"/>
  <c r="AH79" i="49"/>
  <c r="AE79" i="49"/>
  <c r="AB79" i="49"/>
  <c r="S79" i="49"/>
  <c r="K79" i="49"/>
  <c r="L79" i="49" s="1"/>
  <c r="P79" i="49" s="1"/>
  <c r="D79" i="49"/>
  <c r="BF78" i="49"/>
  <c r="BC78" i="49"/>
  <c r="AZ78" i="49"/>
  <c r="AW78" i="49"/>
  <c r="AT78" i="49"/>
  <c r="AQ78" i="49"/>
  <c r="AN78" i="49"/>
  <c r="AK78" i="49"/>
  <c r="AH78" i="49"/>
  <c r="AE78" i="49"/>
  <c r="AB78" i="49"/>
  <c r="S78" i="49"/>
  <c r="K78" i="49"/>
  <c r="F78" i="49"/>
  <c r="BF77" i="49"/>
  <c r="BC77" i="49"/>
  <c r="AZ77" i="49"/>
  <c r="AW77" i="49"/>
  <c r="AT77" i="49"/>
  <c r="AQ77" i="49"/>
  <c r="AN77" i="49"/>
  <c r="AK77" i="49"/>
  <c r="AH77" i="49"/>
  <c r="AE77" i="49"/>
  <c r="AB77" i="49"/>
  <c r="S77" i="49"/>
  <c r="K77" i="49"/>
  <c r="L77" i="49" s="1"/>
  <c r="P77" i="49" s="1"/>
  <c r="D77" i="49"/>
  <c r="F77" i="49" s="1"/>
  <c r="BF76" i="49"/>
  <c r="BC76" i="49"/>
  <c r="AZ76" i="49"/>
  <c r="AW76" i="49"/>
  <c r="AT76" i="49"/>
  <c r="AQ76" i="49"/>
  <c r="AN76" i="49"/>
  <c r="AK76" i="49"/>
  <c r="AH76" i="49"/>
  <c r="AE76" i="49"/>
  <c r="AB76" i="49"/>
  <c r="S76" i="49"/>
  <c r="K76" i="49"/>
  <c r="L76" i="49" s="1"/>
  <c r="D76" i="49"/>
  <c r="BS73" i="49"/>
  <c r="BE73" i="49"/>
  <c r="BD73" i="49"/>
  <c r="BB73" i="49"/>
  <c r="BA73" i="49"/>
  <c r="AY73" i="49"/>
  <c r="AX73" i="49"/>
  <c r="AV73" i="49"/>
  <c r="AU73" i="49"/>
  <c r="AS73" i="49"/>
  <c r="AR73" i="49"/>
  <c r="AP73" i="49"/>
  <c r="AO73" i="49"/>
  <c r="AM73" i="49"/>
  <c r="AL73" i="49"/>
  <c r="AJ73" i="49"/>
  <c r="AI73" i="49"/>
  <c r="AG73" i="49"/>
  <c r="AF73" i="49"/>
  <c r="AD73" i="49"/>
  <c r="AC73" i="49"/>
  <c r="AA73" i="49"/>
  <c r="Z73" i="49"/>
  <c r="X73" i="49"/>
  <c r="W73" i="49"/>
  <c r="R73" i="49"/>
  <c r="Q73" i="49"/>
  <c r="J73" i="49"/>
  <c r="I73" i="49"/>
  <c r="H73" i="49"/>
  <c r="E73" i="49"/>
  <c r="BF72" i="49"/>
  <c r="BC72" i="49"/>
  <c r="AZ72" i="49"/>
  <c r="AW72" i="49"/>
  <c r="AT72" i="49"/>
  <c r="AQ72" i="49"/>
  <c r="AN72" i="49"/>
  <c r="AK72" i="49"/>
  <c r="AH72" i="49"/>
  <c r="AE72" i="49"/>
  <c r="AB72" i="49"/>
  <c r="U72" i="49"/>
  <c r="O72" i="49"/>
  <c r="F72" i="49"/>
  <c r="BF71" i="49"/>
  <c r="BC71" i="49"/>
  <c r="AZ71" i="49"/>
  <c r="AW71" i="49"/>
  <c r="AT71" i="49"/>
  <c r="AQ71" i="49"/>
  <c r="AN71" i="49"/>
  <c r="AK71" i="49"/>
  <c r="AH71" i="49"/>
  <c r="AE71" i="49"/>
  <c r="AB71" i="49"/>
  <c r="U71" i="49"/>
  <c r="S71" i="49"/>
  <c r="P71" i="49"/>
  <c r="D71" i="49"/>
  <c r="F71" i="49" s="1"/>
  <c r="BF70" i="49"/>
  <c r="BC70" i="49"/>
  <c r="AZ70" i="49"/>
  <c r="AW70" i="49"/>
  <c r="AT70" i="49"/>
  <c r="AQ70" i="49"/>
  <c r="AN70" i="49"/>
  <c r="AK70" i="49"/>
  <c r="AH70" i="49"/>
  <c r="AE70" i="49"/>
  <c r="AB70" i="49"/>
  <c r="U70" i="49"/>
  <c r="S70" i="49"/>
  <c r="M70" i="49" s="1"/>
  <c r="D70" i="49"/>
  <c r="F70" i="49" s="1"/>
  <c r="BF69" i="49"/>
  <c r="BC69" i="49"/>
  <c r="AZ69" i="49"/>
  <c r="AW69" i="49"/>
  <c r="AT69" i="49"/>
  <c r="AQ69" i="49"/>
  <c r="AN69" i="49"/>
  <c r="AK69" i="49"/>
  <c r="AH69" i="49"/>
  <c r="AE69" i="49"/>
  <c r="AB69" i="49"/>
  <c r="S69" i="49"/>
  <c r="K69" i="49"/>
  <c r="L69" i="49" s="1"/>
  <c r="P69" i="49" s="1"/>
  <c r="F69" i="49"/>
  <c r="BF68" i="49"/>
  <c r="BC68" i="49"/>
  <c r="AZ68" i="49"/>
  <c r="AW68" i="49"/>
  <c r="AT68" i="49"/>
  <c r="AQ68" i="49"/>
  <c r="AN68" i="49"/>
  <c r="AK68" i="49"/>
  <c r="AH68" i="49"/>
  <c r="AE68" i="49"/>
  <c r="AB68" i="49"/>
  <c r="S68" i="49"/>
  <c r="K68" i="49"/>
  <c r="L68" i="49" s="1"/>
  <c r="G68" i="49"/>
  <c r="BF67" i="49"/>
  <c r="BC67" i="49"/>
  <c r="AZ67" i="49"/>
  <c r="AW67" i="49"/>
  <c r="AT67" i="49"/>
  <c r="AQ67" i="49"/>
  <c r="AN67" i="49"/>
  <c r="AK67" i="49"/>
  <c r="AH67" i="49"/>
  <c r="AE67" i="49"/>
  <c r="AB67" i="49"/>
  <c r="S67" i="49"/>
  <c r="K67" i="49"/>
  <c r="L67" i="49" s="1"/>
  <c r="BF66" i="49"/>
  <c r="BC66" i="49"/>
  <c r="AZ66" i="49"/>
  <c r="AW66" i="49"/>
  <c r="AT66" i="49"/>
  <c r="AQ66" i="49"/>
  <c r="AN66" i="49"/>
  <c r="AK66" i="49"/>
  <c r="AH66" i="49"/>
  <c r="AE66" i="49"/>
  <c r="AB66" i="49"/>
  <c r="S66" i="49"/>
  <c r="K66" i="49"/>
  <c r="L66" i="49" s="1"/>
  <c r="P66" i="49" s="1"/>
  <c r="D66" i="49"/>
  <c r="BF65" i="49"/>
  <c r="BC65" i="49"/>
  <c r="AZ65" i="49"/>
  <c r="AW65" i="49"/>
  <c r="AT65" i="49"/>
  <c r="AQ65" i="49"/>
  <c r="AN65" i="49"/>
  <c r="AK65" i="49"/>
  <c r="AH65" i="49"/>
  <c r="AE65" i="49"/>
  <c r="AB65" i="49"/>
  <c r="S65" i="49"/>
  <c r="K65" i="49"/>
  <c r="L65" i="49" s="1"/>
  <c r="P65" i="49" s="1"/>
  <c r="F65" i="49"/>
  <c r="BF64" i="49"/>
  <c r="BC64" i="49"/>
  <c r="AZ64" i="49"/>
  <c r="AW64" i="49"/>
  <c r="AT64" i="49"/>
  <c r="AQ64" i="49"/>
  <c r="AN64" i="49"/>
  <c r="AK64" i="49"/>
  <c r="AH64" i="49"/>
  <c r="AE64" i="49"/>
  <c r="AB64" i="49"/>
  <c r="S64" i="49"/>
  <c r="K64" i="49"/>
  <c r="L64" i="49" s="1"/>
  <c r="D64" i="49"/>
  <c r="F64" i="49" s="1"/>
  <c r="BF63" i="49"/>
  <c r="BC63" i="49"/>
  <c r="AZ63" i="49"/>
  <c r="AW63" i="49"/>
  <c r="AT63" i="49"/>
  <c r="AQ63" i="49"/>
  <c r="AN63" i="49"/>
  <c r="AK63" i="49"/>
  <c r="AH63" i="49"/>
  <c r="AE63" i="49"/>
  <c r="AB63" i="49"/>
  <c r="S63" i="49"/>
  <c r="K63" i="49"/>
  <c r="L63" i="49" s="1"/>
  <c r="P63" i="49" s="1"/>
  <c r="F63" i="49"/>
  <c r="BF62" i="49"/>
  <c r="BC62" i="49"/>
  <c r="AZ62" i="49"/>
  <c r="AW62" i="49"/>
  <c r="AT62" i="49"/>
  <c r="AQ62" i="49"/>
  <c r="AN62" i="49"/>
  <c r="AK62" i="49"/>
  <c r="AH62" i="49"/>
  <c r="AE62" i="49"/>
  <c r="AB62" i="49"/>
  <c r="S62" i="49"/>
  <c r="K62" i="49"/>
  <c r="L62" i="49" s="1"/>
  <c r="P62" i="49" s="1"/>
  <c r="F62" i="49"/>
  <c r="BF61" i="49"/>
  <c r="BC61" i="49"/>
  <c r="AZ61" i="49"/>
  <c r="AW61" i="49"/>
  <c r="AT61" i="49"/>
  <c r="AQ61" i="49"/>
  <c r="AN61" i="49"/>
  <c r="AK61" i="49"/>
  <c r="AH61" i="49"/>
  <c r="AE61" i="49"/>
  <c r="AB61" i="49"/>
  <c r="S61" i="49"/>
  <c r="K61" i="49"/>
  <c r="L61" i="49" s="1"/>
  <c r="F61" i="49"/>
  <c r="BF60" i="49"/>
  <c r="BC60" i="49"/>
  <c r="AZ60" i="49"/>
  <c r="AW60" i="49"/>
  <c r="AT60" i="49"/>
  <c r="AQ60" i="49"/>
  <c r="AN60" i="49"/>
  <c r="AK60" i="49"/>
  <c r="AH60" i="49"/>
  <c r="AE60" i="49"/>
  <c r="AB60" i="49"/>
  <c r="S60" i="49"/>
  <c r="K60" i="49"/>
  <c r="L60" i="49" s="1"/>
  <c r="P60" i="49" s="1"/>
  <c r="D60" i="49"/>
  <c r="BF59" i="49"/>
  <c r="BC59" i="49"/>
  <c r="AZ59" i="49"/>
  <c r="AW59" i="49"/>
  <c r="AT59" i="49"/>
  <c r="AQ59" i="49"/>
  <c r="AN59" i="49"/>
  <c r="AK59" i="49"/>
  <c r="AH59" i="49"/>
  <c r="AE59" i="49"/>
  <c r="AB59" i="49"/>
  <c r="S59" i="49"/>
  <c r="K59" i="49"/>
  <c r="L59" i="49" s="1"/>
  <c r="P59" i="49" s="1"/>
  <c r="F59" i="49"/>
  <c r="BF58" i="49"/>
  <c r="BC58" i="49"/>
  <c r="AZ58" i="49"/>
  <c r="AW58" i="49"/>
  <c r="AT58" i="49"/>
  <c r="AQ58" i="49"/>
  <c r="AN58" i="49"/>
  <c r="AK58" i="49"/>
  <c r="AH58" i="49"/>
  <c r="AE58" i="49"/>
  <c r="AB58" i="49"/>
  <c r="S58" i="49"/>
  <c r="K58" i="49"/>
  <c r="L58" i="49" s="1"/>
  <c r="F58" i="49"/>
  <c r="BF57" i="49"/>
  <c r="BC57" i="49"/>
  <c r="AZ57" i="49"/>
  <c r="AW57" i="49"/>
  <c r="AT57" i="49"/>
  <c r="AQ57" i="49"/>
  <c r="AN57" i="49"/>
  <c r="AK57" i="49"/>
  <c r="AH57" i="49"/>
  <c r="AE57" i="49"/>
  <c r="AB57" i="49"/>
  <c r="S57" i="49"/>
  <c r="K57" i="49"/>
  <c r="L57" i="49" s="1"/>
  <c r="F57" i="49"/>
  <c r="BF56" i="49"/>
  <c r="BC56" i="49"/>
  <c r="AZ56" i="49"/>
  <c r="AW56" i="49"/>
  <c r="AT56" i="49"/>
  <c r="AQ56" i="49"/>
  <c r="AN56" i="49"/>
  <c r="AK56" i="49"/>
  <c r="AH56" i="49"/>
  <c r="AE56" i="49"/>
  <c r="AB56" i="49"/>
  <c r="S56" i="49"/>
  <c r="K56" i="49"/>
  <c r="L56" i="49" s="1"/>
  <c r="P56" i="49" s="1"/>
  <c r="M56" i="49" s="1"/>
  <c r="D56" i="49"/>
  <c r="BF55" i="49"/>
  <c r="BC55" i="49"/>
  <c r="AZ55" i="49"/>
  <c r="AW55" i="49"/>
  <c r="AT55" i="49"/>
  <c r="AQ55" i="49"/>
  <c r="AN55" i="49"/>
  <c r="AK55" i="49"/>
  <c r="AH55" i="49"/>
  <c r="AE55" i="49"/>
  <c r="AB55" i="49"/>
  <c r="S55" i="49"/>
  <c r="K55" i="49"/>
  <c r="L55" i="49" s="1"/>
  <c r="D55" i="49"/>
  <c r="F55" i="49" s="1"/>
  <c r="BF54" i="49"/>
  <c r="BC54" i="49"/>
  <c r="AZ54" i="49"/>
  <c r="AW54" i="49"/>
  <c r="AT54" i="49"/>
  <c r="AQ54" i="49"/>
  <c r="AN54" i="49"/>
  <c r="AK54" i="49"/>
  <c r="AH54" i="49"/>
  <c r="AE54" i="49"/>
  <c r="AB54" i="49"/>
  <c r="S54" i="49"/>
  <c r="K54" i="49"/>
  <c r="L54" i="49" s="1"/>
  <c r="P54" i="49" s="1"/>
  <c r="F54" i="49"/>
  <c r="BF53" i="49"/>
  <c r="BC53" i="49"/>
  <c r="AZ53" i="49"/>
  <c r="AW53" i="49"/>
  <c r="AT53" i="49"/>
  <c r="AQ53" i="49"/>
  <c r="AN53" i="49"/>
  <c r="AK53" i="49"/>
  <c r="AH53" i="49"/>
  <c r="AE53" i="49"/>
  <c r="AB53" i="49"/>
  <c r="S53" i="49"/>
  <c r="K53" i="49"/>
  <c r="L53" i="49" s="1"/>
  <c r="P53" i="49" s="1"/>
  <c r="F53" i="49"/>
  <c r="BF52" i="49"/>
  <c r="BC52" i="49"/>
  <c r="AZ52" i="49"/>
  <c r="AW52" i="49"/>
  <c r="AT52" i="49"/>
  <c r="AQ52" i="49"/>
  <c r="AN52" i="49"/>
  <c r="AK52" i="49"/>
  <c r="AH52" i="49"/>
  <c r="AE52" i="49"/>
  <c r="AB52" i="49"/>
  <c r="S52" i="49"/>
  <c r="K52" i="49"/>
  <c r="L52" i="49" s="1"/>
  <c r="P52" i="49" s="1"/>
  <c r="F52" i="49"/>
  <c r="BF51" i="49"/>
  <c r="BC51" i="49"/>
  <c r="AZ51" i="49"/>
  <c r="AW51" i="49"/>
  <c r="AT51" i="49"/>
  <c r="AQ51" i="49"/>
  <c r="AN51" i="49"/>
  <c r="AK51" i="49"/>
  <c r="AH51" i="49"/>
  <c r="AE51" i="49"/>
  <c r="AB51" i="49"/>
  <c r="S51" i="49"/>
  <c r="K51" i="49"/>
  <c r="L51" i="49" s="1"/>
  <c r="F51" i="49"/>
  <c r="BF50" i="49"/>
  <c r="BC50" i="49"/>
  <c r="AZ50" i="49"/>
  <c r="AW50" i="49"/>
  <c r="AT50" i="49"/>
  <c r="AQ50" i="49"/>
  <c r="AN50" i="49"/>
  <c r="AK50" i="49"/>
  <c r="AH50" i="49"/>
  <c r="AE50" i="49"/>
  <c r="AB50" i="49"/>
  <c r="S50" i="49"/>
  <c r="K50" i="49"/>
  <c r="L50" i="49" s="1"/>
  <c r="P50" i="49" s="1"/>
  <c r="M50" i="49" s="1"/>
  <c r="O50" i="49" s="1"/>
  <c r="F50" i="49"/>
  <c r="BF49" i="49"/>
  <c r="BC49" i="49"/>
  <c r="AZ49" i="49"/>
  <c r="AW49" i="49"/>
  <c r="AT49" i="49"/>
  <c r="AQ49" i="49"/>
  <c r="AN49" i="49"/>
  <c r="AK49" i="49"/>
  <c r="AH49" i="49"/>
  <c r="AE49" i="49"/>
  <c r="AB49" i="49"/>
  <c r="S49" i="49"/>
  <c r="K49" i="49"/>
  <c r="L49" i="49" s="1"/>
  <c r="P49" i="49" s="1"/>
  <c r="F49" i="49"/>
  <c r="BF48" i="49"/>
  <c r="BC48" i="49"/>
  <c r="AZ48" i="49"/>
  <c r="AW48" i="49"/>
  <c r="AT48" i="49"/>
  <c r="AQ48" i="49"/>
  <c r="AN48" i="49"/>
  <c r="AK48" i="49"/>
  <c r="AH48" i="49"/>
  <c r="AE48" i="49"/>
  <c r="AB48" i="49"/>
  <c r="S48" i="49"/>
  <c r="K48" i="49"/>
  <c r="L48" i="49" s="1"/>
  <c r="D48" i="49"/>
  <c r="F48" i="49" s="1"/>
  <c r="BF47" i="49"/>
  <c r="BC47" i="49"/>
  <c r="AZ47" i="49"/>
  <c r="AW47" i="49"/>
  <c r="AT47" i="49"/>
  <c r="AQ47" i="49"/>
  <c r="AN47" i="49"/>
  <c r="AK47" i="49"/>
  <c r="AH47" i="49"/>
  <c r="AE47" i="49"/>
  <c r="AB47" i="49"/>
  <c r="Y47" i="49"/>
  <c r="Y73" i="49" s="1"/>
  <c r="S47" i="49"/>
  <c r="N47" i="49"/>
  <c r="K47" i="49"/>
  <c r="L47" i="49" s="1"/>
  <c r="G47" i="49"/>
  <c r="F47" i="49"/>
  <c r="BF46" i="49"/>
  <c r="BC46" i="49"/>
  <c r="AZ46" i="49"/>
  <c r="AW46" i="49"/>
  <c r="AT46" i="49"/>
  <c r="AQ46" i="49"/>
  <c r="AN46" i="49"/>
  <c r="AK46" i="49"/>
  <c r="AH46" i="49"/>
  <c r="AE46" i="49"/>
  <c r="AB46" i="49"/>
  <c r="S46" i="49"/>
  <c r="K46" i="49"/>
  <c r="L46" i="49" s="1"/>
  <c r="F46" i="49"/>
  <c r="BF45" i="49"/>
  <c r="BM45" i="49" s="1"/>
  <c r="BC45" i="49"/>
  <c r="AZ45" i="49"/>
  <c r="AW45" i="49"/>
  <c r="AT45" i="49"/>
  <c r="AQ45" i="49"/>
  <c r="AN45" i="49"/>
  <c r="AK45" i="49"/>
  <c r="AH45" i="49"/>
  <c r="AE45" i="49"/>
  <c r="AB45" i="49"/>
  <c r="S45" i="49"/>
  <c r="N45" i="49"/>
  <c r="K45" i="49"/>
  <c r="L45" i="49" s="1"/>
  <c r="F45" i="49"/>
  <c r="BF44" i="49"/>
  <c r="BC44" i="49"/>
  <c r="AZ44" i="49"/>
  <c r="AW44" i="49"/>
  <c r="AT44" i="49"/>
  <c r="AQ44" i="49"/>
  <c r="AN44" i="49"/>
  <c r="AK44" i="49"/>
  <c r="AH44" i="49"/>
  <c r="AE44" i="49"/>
  <c r="AB44" i="49"/>
  <c r="S44" i="49"/>
  <c r="K44" i="49"/>
  <c r="L44" i="49" s="1"/>
  <c r="P44" i="49" s="1"/>
  <c r="D44" i="49"/>
  <c r="BF43" i="49"/>
  <c r="BC43" i="49"/>
  <c r="AZ43" i="49"/>
  <c r="AW43" i="49"/>
  <c r="AT43" i="49"/>
  <c r="AQ43" i="49"/>
  <c r="AN43" i="49"/>
  <c r="AK43" i="49"/>
  <c r="AH43" i="49"/>
  <c r="AE43" i="49"/>
  <c r="AB43" i="49"/>
  <c r="S43" i="49"/>
  <c r="N43" i="49"/>
  <c r="K43" i="49"/>
  <c r="L43" i="49" s="1"/>
  <c r="P43" i="49" s="1"/>
  <c r="D43" i="49"/>
  <c r="F43" i="49" s="1"/>
  <c r="BF42" i="49"/>
  <c r="BC42" i="49"/>
  <c r="AZ42" i="49"/>
  <c r="AW42" i="49"/>
  <c r="AT42" i="49"/>
  <c r="AQ42" i="49"/>
  <c r="AN42" i="49"/>
  <c r="AK42" i="49"/>
  <c r="AH42" i="49"/>
  <c r="AE42" i="49"/>
  <c r="AB42" i="49"/>
  <c r="S42" i="49"/>
  <c r="K42" i="49"/>
  <c r="L42" i="49" s="1"/>
  <c r="P42" i="49" s="1"/>
  <c r="M42" i="49" s="1"/>
  <c r="D42" i="49"/>
  <c r="BF41" i="49"/>
  <c r="BC41" i="49"/>
  <c r="AZ41" i="49"/>
  <c r="AW41" i="49"/>
  <c r="AT41" i="49"/>
  <c r="AQ41" i="49"/>
  <c r="AN41" i="49"/>
  <c r="AK41" i="49"/>
  <c r="AH41" i="49"/>
  <c r="AE41" i="49"/>
  <c r="AB41" i="49"/>
  <c r="S41" i="49"/>
  <c r="K41" i="49"/>
  <c r="L41" i="49" s="1"/>
  <c r="P41" i="49" s="1"/>
  <c r="F41" i="49"/>
  <c r="BF40" i="49"/>
  <c r="BC40" i="49"/>
  <c r="AZ40" i="49"/>
  <c r="AW40" i="49"/>
  <c r="AT40" i="49"/>
  <c r="AQ40" i="49"/>
  <c r="AN40" i="49"/>
  <c r="AK40" i="49"/>
  <c r="AH40" i="49"/>
  <c r="AE40" i="49"/>
  <c r="AB40" i="49"/>
  <c r="S40" i="49"/>
  <c r="K40" i="49"/>
  <c r="L40" i="49" s="1"/>
  <c r="F40" i="49"/>
  <c r="BF39" i="49"/>
  <c r="BC39" i="49"/>
  <c r="AZ39" i="49"/>
  <c r="AW39" i="49"/>
  <c r="AT39" i="49"/>
  <c r="AQ39" i="49"/>
  <c r="AN39" i="49"/>
  <c r="AK39" i="49"/>
  <c r="AH39" i="49"/>
  <c r="AE39" i="49"/>
  <c r="AB39" i="49"/>
  <c r="S39" i="49"/>
  <c r="K39" i="49"/>
  <c r="L39" i="49" s="1"/>
  <c r="F39" i="49"/>
  <c r="BF38" i="49"/>
  <c r="BC38" i="49"/>
  <c r="AZ38" i="49"/>
  <c r="AW38" i="49"/>
  <c r="AT38" i="49"/>
  <c r="AQ38" i="49"/>
  <c r="AN38" i="49"/>
  <c r="AK38" i="49"/>
  <c r="AH38" i="49"/>
  <c r="AE38" i="49"/>
  <c r="AB38" i="49"/>
  <c r="S38" i="49"/>
  <c r="K38" i="49"/>
  <c r="L38" i="49" s="1"/>
  <c r="P38" i="49" s="1"/>
  <c r="D38" i="49"/>
  <c r="F38" i="49" s="1"/>
  <c r="BF37" i="49"/>
  <c r="BC37" i="49"/>
  <c r="AZ37" i="49"/>
  <c r="AW37" i="49"/>
  <c r="AT37" i="49"/>
  <c r="AQ37" i="49"/>
  <c r="AN37" i="49"/>
  <c r="AK37" i="49"/>
  <c r="AH37" i="49"/>
  <c r="AE37" i="49"/>
  <c r="AB37" i="49"/>
  <c r="S37" i="49"/>
  <c r="K37" i="49"/>
  <c r="L37" i="49" s="1"/>
  <c r="P37" i="49" s="1"/>
  <c r="D37" i="49"/>
  <c r="BF36" i="49"/>
  <c r="BC36" i="49"/>
  <c r="AZ36" i="49"/>
  <c r="AW36" i="49"/>
  <c r="AT36" i="49"/>
  <c r="AQ36" i="49"/>
  <c r="AN36" i="49"/>
  <c r="AK36" i="49"/>
  <c r="AH36" i="49"/>
  <c r="AE36" i="49"/>
  <c r="AB36" i="49"/>
  <c r="S36" i="49"/>
  <c r="K36" i="49"/>
  <c r="L36" i="49" s="1"/>
  <c r="P36" i="49" s="1"/>
  <c r="F36" i="49"/>
  <c r="BF35" i="49"/>
  <c r="BC35" i="49"/>
  <c r="AZ35" i="49"/>
  <c r="AW35" i="49"/>
  <c r="AT35" i="49"/>
  <c r="AQ35" i="49"/>
  <c r="AN35" i="49"/>
  <c r="AK35" i="49"/>
  <c r="AH35" i="49"/>
  <c r="AE35" i="49"/>
  <c r="AB35" i="49"/>
  <c r="S35" i="49"/>
  <c r="K35" i="49"/>
  <c r="L35" i="49" s="1"/>
  <c r="D35" i="49"/>
  <c r="F35" i="49" s="1"/>
  <c r="BF34" i="49"/>
  <c r="BC34" i="49"/>
  <c r="AZ34" i="49"/>
  <c r="AW34" i="49"/>
  <c r="AT34" i="49"/>
  <c r="AQ34" i="49"/>
  <c r="AN34" i="49"/>
  <c r="AK34" i="49"/>
  <c r="AH34" i="49"/>
  <c r="AE34" i="49"/>
  <c r="AB34" i="49"/>
  <c r="S34" i="49"/>
  <c r="N34" i="49"/>
  <c r="K34" i="49"/>
  <c r="L34" i="49" s="1"/>
  <c r="G34" i="49"/>
  <c r="F34" i="49"/>
  <c r="BF33" i="49"/>
  <c r="BC33" i="49"/>
  <c r="AZ33" i="49"/>
  <c r="AW33" i="49"/>
  <c r="AT33" i="49"/>
  <c r="AQ33" i="49"/>
  <c r="AN33" i="49"/>
  <c r="AK33" i="49"/>
  <c r="AH33" i="49"/>
  <c r="AE33" i="49"/>
  <c r="AB33" i="49"/>
  <c r="S33" i="49"/>
  <c r="K33" i="49"/>
  <c r="L33" i="49" s="1"/>
  <c r="P33" i="49" s="1"/>
  <c r="M33" i="49" s="1"/>
  <c r="F33" i="49"/>
  <c r="BF32" i="49"/>
  <c r="BC32" i="49"/>
  <c r="AZ32" i="49"/>
  <c r="AW32" i="49"/>
  <c r="AT32" i="49"/>
  <c r="AQ32" i="49"/>
  <c r="AN32" i="49"/>
  <c r="AK32" i="49"/>
  <c r="AH32" i="49"/>
  <c r="AE32" i="49"/>
  <c r="AB32" i="49"/>
  <c r="S32" i="49"/>
  <c r="K32" i="49"/>
  <c r="L32" i="49" s="1"/>
  <c r="G32" i="49"/>
  <c r="D32" i="49"/>
  <c r="BF31" i="49"/>
  <c r="BC31" i="49"/>
  <c r="AZ31" i="49"/>
  <c r="AW31" i="49"/>
  <c r="AT31" i="49"/>
  <c r="AQ31" i="49"/>
  <c r="AN31" i="49"/>
  <c r="AK31" i="49"/>
  <c r="AH31" i="49"/>
  <c r="AE31" i="49"/>
  <c r="AB31" i="49"/>
  <c r="S31" i="49"/>
  <c r="K31" i="49"/>
  <c r="L31" i="49" s="1"/>
  <c r="P31" i="49" s="1"/>
  <c r="D31" i="49"/>
  <c r="BF30" i="49"/>
  <c r="BC30" i="49"/>
  <c r="AZ30" i="49"/>
  <c r="AW30" i="49"/>
  <c r="AT30" i="49"/>
  <c r="AQ30" i="49"/>
  <c r="AN30" i="49"/>
  <c r="AK30" i="49"/>
  <c r="AH30" i="49"/>
  <c r="AE30" i="49"/>
  <c r="AB30" i="49"/>
  <c r="S30" i="49"/>
  <c r="N30" i="49"/>
  <c r="K30" i="49"/>
  <c r="L30" i="49" s="1"/>
  <c r="F30" i="49"/>
  <c r="BF29" i="49"/>
  <c r="BC29" i="49"/>
  <c r="AZ29" i="49"/>
  <c r="AW29" i="49"/>
  <c r="AT29" i="49"/>
  <c r="AQ29" i="49"/>
  <c r="AN29" i="49"/>
  <c r="AK29" i="49"/>
  <c r="AH29" i="49"/>
  <c r="AE29" i="49"/>
  <c r="AB29" i="49"/>
  <c r="S29" i="49"/>
  <c r="K29" i="49"/>
  <c r="L29" i="49" s="1"/>
  <c r="P29" i="49" s="1"/>
  <c r="D29" i="49"/>
  <c r="BF28" i="49"/>
  <c r="BC28" i="49"/>
  <c r="AZ28" i="49"/>
  <c r="AW28" i="49"/>
  <c r="AT28" i="49"/>
  <c r="AQ28" i="49"/>
  <c r="AN28" i="49"/>
  <c r="AK28" i="49"/>
  <c r="AH28" i="49"/>
  <c r="AE28" i="49"/>
  <c r="AB28" i="49"/>
  <c r="S28" i="49"/>
  <c r="K28" i="49"/>
  <c r="L28" i="49" s="1"/>
  <c r="P28" i="49" s="1"/>
  <c r="M28" i="49" s="1"/>
  <c r="T28" i="49" s="1"/>
  <c r="U28" i="49" s="1"/>
  <c r="D28" i="49"/>
  <c r="F28" i="49" s="1"/>
  <c r="BF27" i="49"/>
  <c r="BC27" i="49"/>
  <c r="AZ27" i="49"/>
  <c r="AW27" i="49"/>
  <c r="AT27" i="49"/>
  <c r="AQ27" i="49"/>
  <c r="AN27" i="49"/>
  <c r="AK27" i="49"/>
  <c r="AH27" i="49"/>
  <c r="AE27" i="49"/>
  <c r="AB27" i="49"/>
  <c r="S27" i="49"/>
  <c r="K27" i="49"/>
  <c r="L27" i="49" s="1"/>
  <c r="F27" i="49"/>
  <c r="BF26" i="49"/>
  <c r="BC26" i="49"/>
  <c r="AZ26" i="49"/>
  <c r="AW26" i="49"/>
  <c r="AT26" i="49"/>
  <c r="AQ26" i="49"/>
  <c r="AN26" i="49"/>
  <c r="AK26" i="49"/>
  <c r="AH26" i="49"/>
  <c r="AE26" i="49"/>
  <c r="AB26" i="49"/>
  <c r="S26" i="49"/>
  <c r="K26" i="49"/>
  <c r="L26" i="49" s="1"/>
  <c r="P26" i="49" s="1"/>
  <c r="D26" i="49"/>
  <c r="BF25" i="49"/>
  <c r="BC25" i="49"/>
  <c r="AZ25" i="49"/>
  <c r="AW25" i="49"/>
  <c r="AT25" i="49"/>
  <c r="AQ25" i="49"/>
  <c r="AN25" i="49"/>
  <c r="AK25" i="49"/>
  <c r="AH25" i="49"/>
  <c r="AE25" i="49"/>
  <c r="AB25" i="49"/>
  <c r="S25" i="49"/>
  <c r="K25" i="49"/>
  <c r="L25" i="49" s="1"/>
  <c r="D25" i="49"/>
  <c r="F25" i="49" s="1"/>
  <c r="BF24" i="49"/>
  <c r="BC24" i="49"/>
  <c r="AZ24" i="49"/>
  <c r="AW24" i="49"/>
  <c r="AT24" i="49"/>
  <c r="AQ24" i="49"/>
  <c r="AN24" i="49"/>
  <c r="AK24" i="49"/>
  <c r="AH24" i="49"/>
  <c r="AE24" i="49"/>
  <c r="AB24" i="49"/>
  <c r="S24" i="49"/>
  <c r="N24" i="49"/>
  <c r="K24" i="49"/>
  <c r="L24" i="49" s="1"/>
  <c r="F24" i="49"/>
  <c r="BF23" i="49"/>
  <c r="BC23" i="49"/>
  <c r="AZ23" i="49"/>
  <c r="AW23" i="49"/>
  <c r="AT23" i="49"/>
  <c r="AQ23" i="49"/>
  <c r="AN23" i="49"/>
  <c r="AK23" i="49"/>
  <c r="AH23" i="49"/>
  <c r="AE23" i="49"/>
  <c r="AB23" i="49"/>
  <c r="S23" i="49"/>
  <c r="N23" i="49"/>
  <c r="K23" i="49"/>
  <c r="L23" i="49" s="1"/>
  <c r="F23" i="49"/>
  <c r="BF22" i="49"/>
  <c r="BC22" i="49"/>
  <c r="AZ22" i="49"/>
  <c r="AW22" i="49"/>
  <c r="AT22" i="49"/>
  <c r="AQ22" i="49"/>
  <c r="AN22" i="49"/>
  <c r="AK22" i="49"/>
  <c r="AH22" i="49"/>
  <c r="AE22" i="49"/>
  <c r="AB22" i="49"/>
  <c r="S22" i="49"/>
  <c r="K22" i="49"/>
  <c r="L22" i="49" s="1"/>
  <c r="P22" i="49" s="1"/>
  <c r="F22" i="49"/>
  <c r="BF21" i="49"/>
  <c r="BC21" i="49"/>
  <c r="AZ21" i="49"/>
  <c r="AW21" i="49"/>
  <c r="AT21" i="49"/>
  <c r="AQ21" i="49"/>
  <c r="AN21" i="49"/>
  <c r="AK21" i="49"/>
  <c r="AH21" i="49"/>
  <c r="AE21" i="49"/>
  <c r="AB21" i="49"/>
  <c r="S21" i="49"/>
  <c r="K21" i="49"/>
  <c r="L21" i="49" s="1"/>
  <c r="P21" i="49" s="1"/>
  <c r="F21" i="49"/>
  <c r="BF20" i="49"/>
  <c r="BC20" i="49"/>
  <c r="AZ20" i="49"/>
  <c r="AW20" i="49"/>
  <c r="AT20" i="49"/>
  <c r="AQ20" i="49"/>
  <c r="AN20" i="49"/>
  <c r="AK20" i="49"/>
  <c r="AH20" i="49"/>
  <c r="AE20" i="49"/>
  <c r="AB20" i="49"/>
  <c r="S20" i="49"/>
  <c r="K20" i="49"/>
  <c r="L20" i="49" s="1"/>
  <c r="P20" i="49" s="1"/>
  <c r="F20" i="49"/>
  <c r="BF19" i="49"/>
  <c r="BC19" i="49"/>
  <c r="AZ19" i="49"/>
  <c r="AW19" i="49"/>
  <c r="AT19" i="49"/>
  <c r="AQ19" i="49"/>
  <c r="AN19" i="49"/>
  <c r="AK19" i="49"/>
  <c r="AH19" i="49"/>
  <c r="AE19" i="49"/>
  <c r="AB19" i="49"/>
  <c r="S19" i="49"/>
  <c r="K19" i="49"/>
  <c r="L19" i="49" s="1"/>
  <c r="F19" i="49"/>
  <c r="BF18" i="49"/>
  <c r="BC18" i="49"/>
  <c r="AZ18" i="49"/>
  <c r="AW18" i="49"/>
  <c r="AT18" i="49"/>
  <c r="AQ18" i="49"/>
  <c r="AN18" i="49"/>
  <c r="AK18" i="49"/>
  <c r="AH18" i="49"/>
  <c r="AE18" i="49"/>
  <c r="AB18" i="49"/>
  <c r="S18" i="49"/>
  <c r="K18" i="49"/>
  <c r="L18" i="49" s="1"/>
  <c r="P18" i="49" s="1"/>
  <c r="F18" i="49"/>
  <c r="BF17" i="49"/>
  <c r="BC17" i="49"/>
  <c r="AZ17" i="49"/>
  <c r="AW17" i="49"/>
  <c r="AT17" i="49"/>
  <c r="AQ17" i="49"/>
  <c r="AN17" i="49"/>
  <c r="AK17" i="49"/>
  <c r="AH17" i="49"/>
  <c r="AE17" i="49"/>
  <c r="AB17" i="49"/>
  <c r="S17" i="49"/>
  <c r="K17" i="49"/>
  <c r="L17" i="49" s="1"/>
  <c r="P17" i="49" s="1"/>
  <c r="F17" i="49"/>
  <c r="BF16" i="49"/>
  <c r="BC16" i="49"/>
  <c r="AZ16" i="49"/>
  <c r="AW16" i="49"/>
  <c r="AT16" i="49"/>
  <c r="AQ16" i="49"/>
  <c r="AN16" i="49"/>
  <c r="AK16" i="49"/>
  <c r="AH16" i="49"/>
  <c r="AE16" i="49"/>
  <c r="AB16" i="49"/>
  <c r="S16" i="49"/>
  <c r="K16" i="49"/>
  <c r="L16" i="49" s="1"/>
  <c r="F16" i="49"/>
  <c r="BF15" i="49"/>
  <c r="BM15" i="49" s="1"/>
  <c r="BC15" i="49"/>
  <c r="AZ15" i="49"/>
  <c r="AW15" i="49"/>
  <c r="AT15" i="49"/>
  <c r="AQ15" i="49"/>
  <c r="AN15" i="49"/>
  <c r="AK15" i="49"/>
  <c r="AH15" i="49"/>
  <c r="AE15" i="49"/>
  <c r="AB15" i="49"/>
  <c r="S15" i="49"/>
  <c r="K15" i="49"/>
  <c r="L15" i="49" s="1"/>
  <c r="F15" i="49"/>
  <c r="BF14" i="49"/>
  <c r="BC14" i="49"/>
  <c r="AZ14" i="49"/>
  <c r="AW14" i="49"/>
  <c r="AT14" i="49"/>
  <c r="AQ14" i="49"/>
  <c r="AN14" i="49"/>
  <c r="AK14" i="49"/>
  <c r="AH14" i="49"/>
  <c r="AE14" i="49"/>
  <c r="AB14" i="49"/>
  <c r="S14" i="49"/>
  <c r="N14" i="49"/>
  <c r="K14" i="49"/>
  <c r="L14" i="49" s="1"/>
  <c r="F14" i="49"/>
  <c r="BF13" i="49"/>
  <c r="BC13" i="49"/>
  <c r="AZ13" i="49"/>
  <c r="AW13" i="49"/>
  <c r="AT13" i="49"/>
  <c r="AQ13" i="49"/>
  <c r="AN13" i="49"/>
  <c r="AK13" i="49"/>
  <c r="AH13" i="49"/>
  <c r="AE13" i="49"/>
  <c r="AB13" i="49"/>
  <c r="S13" i="49"/>
  <c r="K13" i="49"/>
  <c r="L13" i="49" s="1"/>
  <c r="P13" i="49" s="1"/>
  <c r="F13" i="49"/>
  <c r="BF12" i="49"/>
  <c r="BC12" i="49"/>
  <c r="AZ12" i="49"/>
  <c r="AW12" i="49"/>
  <c r="AT12" i="49"/>
  <c r="AQ12" i="49"/>
  <c r="AN12" i="49"/>
  <c r="AK12" i="49"/>
  <c r="AH12" i="49"/>
  <c r="AE12" i="49"/>
  <c r="AB12" i="49"/>
  <c r="S12" i="49"/>
  <c r="K12" i="49"/>
  <c r="L12" i="49" s="1"/>
  <c r="F12" i="49"/>
  <c r="BF11" i="49"/>
  <c r="BC11" i="49"/>
  <c r="AZ11" i="49"/>
  <c r="AW11" i="49"/>
  <c r="AT11" i="49"/>
  <c r="AQ11" i="49"/>
  <c r="AN11" i="49"/>
  <c r="AK11" i="49"/>
  <c r="AH11" i="49"/>
  <c r="AE11" i="49"/>
  <c r="AB11" i="49"/>
  <c r="S11" i="49"/>
  <c r="K11" i="49"/>
  <c r="L11" i="49" s="1"/>
  <c r="P11" i="49" s="1"/>
  <c r="F11" i="49"/>
  <c r="BF10" i="49"/>
  <c r="BC10" i="49"/>
  <c r="AZ10" i="49"/>
  <c r="AW10" i="49"/>
  <c r="AT10" i="49"/>
  <c r="AQ10" i="49"/>
  <c r="AN10" i="49"/>
  <c r="AK10" i="49"/>
  <c r="AH10" i="49"/>
  <c r="AE10" i="49"/>
  <c r="AB10" i="49"/>
  <c r="S10" i="49"/>
  <c r="K10" i="49"/>
  <c r="L10" i="49" s="1"/>
  <c r="P10" i="49" s="1"/>
  <c r="M10" i="49" s="1"/>
  <c r="F10" i="49"/>
  <c r="BF9" i="49"/>
  <c r="BC9" i="49"/>
  <c r="AZ9" i="49"/>
  <c r="AW9" i="49"/>
  <c r="AT9" i="49"/>
  <c r="AQ9" i="49"/>
  <c r="AN9" i="49"/>
  <c r="AK9" i="49"/>
  <c r="AH9" i="49"/>
  <c r="AE9" i="49"/>
  <c r="AB9" i="49"/>
  <c r="S9" i="49"/>
  <c r="K9" i="49"/>
  <c r="L9" i="49" s="1"/>
  <c r="D9" i="49"/>
  <c r="F9" i="49" s="1"/>
  <c r="BF8" i="49"/>
  <c r="BC8" i="49"/>
  <c r="AZ8" i="49"/>
  <c r="AW8" i="49"/>
  <c r="AT8" i="49"/>
  <c r="AQ8" i="49"/>
  <c r="AN8" i="49"/>
  <c r="AK8" i="49"/>
  <c r="AH8" i="49"/>
  <c r="AE8" i="49"/>
  <c r="AB8" i="49"/>
  <c r="S8" i="49"/>
  <c r="K8" i="49"/>
  <c r="L8" i="49" s="1"/>
  <c r="F8" i="49"/>
  <c r="BF7" i="49"/>
  <c r="BC7" i="49"/>
  <c r="AZ7" i="49"/>
  <c r="AW7" i="49"/>
  <c r="AT7" i="49"/>
  <c r="AQ7" i="49"/>
  <c r="AN7" i="49"/>
  <c r="AK7" i="49"/>
  <c r="AH7" i="49"/>
  <c r="AE7" i="49"/>
  <c r="AB7" i="49"/>
  <c r="S7" i="49"/>
  <c r="K7" i="49"/>
  <c r="F7" i="49"/>
  <c r="A7" i="49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2" i="49" s="1"/>
  <c r="W17" i="47"/>
  <c r="V17" i="47"/>
  <c r="O17" i="47"/>
  <c r="H17" i="47"/>
  <c r="E17" i="47"/>
  <c r="C17" i="47"/>
  <c r="Z16" i="47"/>
  <c r="W16" i="47"/>
  <c r="P16" i="47"/>
  <c r="O16" i="47"/>
  <c r="L16" i="47"/>
  <c r="I16" i="47"/>
  <c r="H16" i="47"/>
  <c r="G16" i="47"/>
  <c r="F16" i="47"/>
  <c r="E16" i="47"/>
  <c r="C16" i="47"/>
  <c r="W15" i="47"/>
  <c r="V15" i="47"/>
  <c r="U15" i="47"/>
  <c r="P15" i="47"/>
  <c r="O15" i="47"/>
  <c r="L15" i="47"/>
  <c r="F15" i="47"/>
  <c r="E15" i="47"/>
  <c r="B15" i="47"/>
  <c r="W14" i="47"/>
  <c r="T14" i="47"/>
  <c r="O14" i="47"/>
  <c r="L14" i="47"/>
  <c r="E14" i="47"/>
  <c r="C14" i="47"/>
  <c r="B14" i="47"/>
  <c r="W13" i="47"/>
  <c r="V13" i="47"/>
  <c r="O13" i="47"/>
  <c r="H13" i="47"/>
  <c r="G13" i="47"/>
  <c r="E13" i="47"/>
  <c r="C13" i="47"/>
  <c r="W12" i="47"/>
  <c r="V12" i="47"/>
  <c r="T12" i="47"/>
  <c r="P12" i="47"/>
  <c r="O12" i="47"/>
  <c r="L12" i="47"/>
  <c r="H12" i="47"/>
  <c r="G12" i="47"/>
  <c r="E12" i="47"/>
  <c r="L11" i="47"/>
  <c r="P10" i="47"/>
  <c r="W8" i="47"/>
  <c r="V8" i="47"/>
  <c r="L8" i="47"/>
  <c r="H8" i="47"/>
  <c r="G8" i="47"/>
  <c r="F8" i="47"/>
  <c r="C8" i="47"/>
  <c r="W7" i="47"/>
  <c r="C7" i="47"/>
  <c r="P13" i="59" l="1"/>
  <c r="AH19" i="59"/>
  <c r="Z17" i="47" s="1"/>
  <c r="M13" i="59"/>
  <c r="O13" i="59" s="1"/>
  <c r="S19" i="59"/>
  <c r="Q17" i="47" s="1"/>
  <c r="AH16" i="59"/>
  <c r="BD19" i="59"/>
  <c r="P17" i="47"/>
  <c r="AE19" i="59"/>
  <c r="Y17" i="47" s="1"/>
  <c r="BG10" i="59"/>
  <c r="BI10" i="59" s="1"/>
  <c r="BK10" i="59" s="1"/>
  <c r="BG16" i="59"/>
  <c r="BI16" i="59" s="1"/>
  <c r="N19" i="59"/>
  <c r="L17" i="47" s="1"/>
  <c r="M16" i="59"/>
  <c r="T16" i="59" s="1"/>
  <c r="U16" i="59" s="1"/>
  <c r="BK6" i="58"/>
  <c r="BK9" i="58" s="1"/>
  <c r="AM16" i="47" s="1"/>
  <c r="AQ9" i="58"/>
  <c r="AC16" i="47" s="1"/>
  <c r="AB9" i="58"/>
  <c r="X16" i="47" s="1"/>
  <c r="BG8" i="58"/>
  <c r="BI8" i="58" s="1"/>
  <c r="AW9" i="58"/>
  <c r="AE16" i="47" s="1"/>
  <c r="S9" i="58"/>
  <c r="Q16" i="47" s="1"/>
  <c r="BG19" i="57"/>
  <c r="BI19" i="57" s="1"/>
  <c r="BK19" i="57" s="1"/>
  <c r="BG20" i="57"/>
  <c r="BI20" i="57" s="1"/>
  <c r="BK20" i="57" s="1"/>
  <c r="T17" i="57"/>
  <c r="U17" i="57" s="1"/>
  <c r="S23" i="57"/>
  <c r="Q15" i="47" s="1"/>
  <c r="BG12" i="57"/>
  <c r="BI12" i="57" s="1"/>
  <c r="BK12" i="57" s="1"/>
  <c r="BG9" i="57"/>
  <c r="BI9" i="57" s="1"/>
  <c r="BK9" i="57" s="1"/>
  <c r="T10" i="57"/>
  <c r="U10" i="57" s="1"/>
  <c r="BG13" i="57"/>
  <c r="BI13" i="57" s="1"/>
  <c r="BK13" i="57" s="1"/>
  <c r="BG14" i="57"/>
  <c r="BI14" i="57" s="1"/>
  <c r="BK14" i="57" s="1"/>
  <c r="BJ7" i="55"/>
  <c r="BQ7" i="55" s="1"/>
  <c r="O7" i="55"/>
  <c r="BG8" i="55"/>
  <c r="BI8" i="55" s="1"/>
  <c r="BK8" i="55" s="1"/>
  <c r="BG9" i="55"/>
  <c r="BI9" i="55" s="1"/>
  <c r="BK9" i="55" s="1"/>
  <c r="P14" i="56"/>
  <c r="BG10" i="56"/>
  <c r="BI10" i="56" s="1"/>
  <c r="BL10" i="56" s="1"/>
  <c r="AW17" i="56"/>
  <c r="AE14" i="47" s="1"/>
  <c r="BG12" i="56"/>
  <c r="BI12" i="56" s="1"/>
  <c r="BL12" i="56" s="1"/>
  <c r="BC17" i="56"/>
  <c r="AG14" i="47" s="1"/>
  <c r="M14" i="56"/>
  <c r="O14" i="56" s="1"/>
  <c r="BG9" i="56"/>
  <c r="BI9" i="56" s="1"/>
  <c r="BL9" i="56" s="1"/>
  <c r="AN17" i="56"/>
  <c r="AB14" i="47" s="1"/>
  <c r="AE17" i="56"/>
  <c r="Y14" i="47" s="1"/>
  <c r="S12" i="56"/>
  <c r="S17" i="56" s="1"/>
  <c r="Q14" i="47" s="1"/>
  <c r="BG16" i="56"/>
  <c r="BI16" i="56" s="1"/>
  <c r="BL16" i="56" s="1"/>
  <c r="M37" i="54"/>
  <c r="O37" i="54" s="1"/>
  <c r="T63" i="54"/>
  <c r="U63" i="54" s="1"/>
  <c r="W63" i="54" s="1"/>
  <c r="BC67" i="54"/>
  <c r="AG12" i="47" s="1"/>
  <c r="M12" i="54"/>
  <c r="O12" i="54" s="1"/>
  <c r="BG17" i="54"/>
  <c r="BI17" i="54" s="1"/>
  <c r="BL17" i="54" s="1"/>
  <c r="BG23" i="54"/>
  <c r="BI23" i="54" s="1"/>
  <c r="BL23" i="54" s="1"/>
  <c r="BG25" i="54"/>
  <c r="BI25" i="54" s="1"/>
  <c r="BL25" i="54" s="1"/>
  <c r="BG41" i="54"/>
  <c r="BI41" i="54" s="1"/>
  <c r="BL41" i="54" s="1"/>
  <c r="M44" i="54"/>
  <c r="O44" i="54" s="1"/>
  <c r="BG45" i="54"/>
  <c r="BI45" i="54" s="1"/>
  <c r="BL45" i="54" s="1"/>
  <c r="BG46" i="54"/>
  <c r="BI46" i="54" s="1"/>
  <c r="BL46" i="54" s="1"/>
  <c r="BG51" i="54"/>
  <c r="BI51" i="54" s="1"/>
  <c r="BL51" i="54" s="1"/>
  <c r="BG60" i="54"/>
  <c r="BI60" i="54" s="1"/>
  <c r="BG61" i="54"/>
  <c r="BI61" i="54" s="1"/>
  <c r="AT67" i="54"/>
  <c r="AD12" i="47" s="1"/>
  <c r="M63" i="54"/>
  <c r="O63" i="54" s="1"/>
  <c r="Q87" i="54"/>
  <c r="F11" i="54"/>
  <c r="AN28" i="54"/>
  <c r="AB10" i="47" s="1"/>
  <c r="AB67" i="54"/>
  <c r="X12" i="47" s="1"/>
  <c r="AN67" i="54"/>
  <c r="AB12" i="47" s="1"/>
  <c r="AZ67" i="54"/>
  <c r="AF12" i="47" s="1"/>
  <c r="M61" i="54"/>
  <c r="O61" i="54" s="1"/>
  <c r="BG64" i="54"/>
  <c r="BI64" i="54" s="1"/>
  <c r="T44" i="54"/>
  <c r="U44" i="54" s="1"/>
  <c r="BG8" i="54"/>
  <c r="BI8" i="54" s="1"/>
  <c r="BL8" i="54" s="1"/>
  <c r="BG14" i="54"/>
  <c r="BI14" i="54" s="1"/>
  <c r="BL14" i="54" s="1"/>
  <c r="BG36" i="54"/>
  <c r="BI36" i="54" s="1"/>
  <c r="BL36" i="54" s="1"/>
  <c r="BG38" i="54"/>
  <c r="BI38" i="54" s="1"/>
  <c r="BL38" i="54" s="1"/>
  <c r="AQ54" i="54"/>
  <c r="AC11" i="47" s="1"/>
  <c r="BC54" i="54"/>
  <c r="AG11" i="47" s="1"/>
  <c r="BG39" i="54"/>
  <c r="BI39" i="54" s="1"/>
  <c r="BL39" i="54" s="1"/>
  <c r="BJ66" i="54"/>
  <c r="BR66" i="54" s="1"/>
  <c r="BL66" i="54"/>
  <c r="F43" i="53"/>
  <c r="D43" i="53"/>
  <c r="D45" i="53" s="1"/>
  <c r="B9" i="47" s="1"/>
  <c r="BG14" i="53"/>
  <c r="BI14" i="53" s="1"/>
  <c r="BL14" i="53" s="1"/>
  <c r="AI45" i="53"/>
  <c r="AO45" i="53"/>
  <c r="AU45" i="53"/>
  <c r="AZ43" i="53"/>
  <c r="BG10" i="53"/>
  <c r="BI10" i="53" s="1"/>
  <c r="BL10" i="53" s="1"/>
  <c r="AW25" i="53"/>
  <c r="BG11" i="53"/>
  <c r="BI11" i="53" s="1"/>
  <c r="BL11" i="53" s="1"/>
  <c r="BG23" i="53"/>
  <c r="BI23" i="53" s="1"/>
  <c r="BL23" i="53" s="1"/>
  <c r="W42" i="53"/>
  <c r="AB45" i="53"/>
  <c r="X9" i="47" s="1"/>
  <c r="BG15" i="53"/>
  <c r="BI15" i="53" s="1"/>
  <c r="BL15" i="53" s="1"/>
  <c r="I45" i="53"/>
  <c r="G9" i="47" s="1"/>
  <c r="AV45" i="53"/>
  <c r="BG31" i="53"/>
  <c r="BI31" i="53" s="1"/>
  <c r="BL31" i="53" s="1"/>
  <c r="N43" i="53"/>
  <c r="W41" i="53"/>
  <c r="S7" i="52"/>
  <c r="S11" i="52" s="1"/>
  <c r="Q8" i="47" s="1"/>
  <c r="AW11" i="52"/>
  <c r="M10" i="51"/>
  <c r="T10" i="51"/>
  <c r="M56" i="51"/>
  <c r="O56" i="51" s="1"/>
  <c r="T56" i="51"/>
  <c r="U56" i="51" s="1"/>
  <c r="M38" i="51"/>
  <c r="T38" i="51" s="1"/>
  <c r="U38" i="51" s="1"/>
  <c r="M18" i="51"/>
  <c r="T18" i="51" s="1"/>
  <c r="U18" i="51" s="1"/>
  <c r="W18" i="51" s="1"/>
  <c r="BL8" i="51"/>
  <c r="BL9" i="51"/>
  <c r="M11" i="51"/>
  <c r="O11" i="51" s="1"/>
  <c r="BL12" i="51"/>
  <c r="BJ16" i="51"/>
  <c r="BR16" i="51" s="1"/>
  <c r="BL16" i="51"/>
  <c r="BL25" i="51"/>
  <c r="BL38" i="51"/>
  <c r="BL40" i="51"/>
  <c r="BL50" i="51"/>
  <c r="BL51" i="51"/>
  <c r="BL61" i="51"/>
  <c r="BL66" i="51"/>
  <c r="BL68" i="51"/>
  <c r="BL74" i="51"/>
  <c r="O18" i="51"/>
  <c r="BG49" i="51"/>
  <c r="BI49" i="51" s="1"/>
  <c r="BG55" i="51"/>
  <c r="BI55" i="51" s="1"/>
  <c r="BG69" i="51"/>
  <c r="BI69" i="51" s="1"/>
  <c r="BG71" i="51"/>
  <c r="BI71" i="51" s="1"/>
  <c r="BG24" i="51"/>
  <c r="BI24" i="51" s="1"/>
  <c r="BG29" i="51"/>
  <c r="BI29" i="51" s="1"/>
  <c r="BG39" i="51"/>
  <c r="BI39" i="51" s="1"/>
  <c r="M42" i="51"/>
  <c r="O42" i="51" s="1"/>
  <c r="BG53" i="51"/>
  <c r="BI53" i="51" s="1"/>
  <c r="BG57" i="51"/>
  <c r="BI57" i="51" s="1"/>
  <c r="P63" i="51"/>
  <c r="T63" i="51" s="1"/>
  <c r="U63" i="51" s="1"/>
  <c r="BG14" i="51"/>
  <c r="BI14" i="51" s="1"/>
  <c r="T16" i="51"/>
  <c r="U16" i="51" s="1"/>
  <c r="W16" i="51" s="1"/>
  <c r="O27" i="51"/>
  <c r="BG31" i="51"/>
  <c r="BI31" i="51" s="1"/>
  <c r="M34" i="51"/>
  <c r="O34" i="51" s="1"/>
  <c r="BG37" i="51"/>
  <c r="BI37" i="51" s="1"/>
  <c r="BG41" i="51"/>
  <c r="BI41" i="51" s="1"/>
  <c r="BG45" i="51"/>
  <c r="BI45" i="51" s="1"/>
  <c r="K54" i="51"/>
  <c r="L54" i="51" s="1"/>
  <c r="P54" i="51" s="1"/>
  <c r="BG58" i="51"/>
  <c r="BI58" i="51" s="1"/>
  <c r="BG64" i="51"/>
  <c r="BI64" i="51" s="1"/>
  <c r="BG72" i="51"/>
  <c r="BI72" i="51" s="1"/>
  <c r="BG77" i="51"/>
  <c r="BI77" i="51" s="1"/>
  <c r="BJ82" i="50"/>
  <c r="BQ82" i="50" s="1"/>
  <c r="V82" i="50"/>
  <c r="CB82" i="50" s="1"/>
  <c r="V78" i="50"/>
  <c r="CB78" i="50" s="1"/>
  <c r="P44" i="50"/>
  <c r="M44" i="50" s="1"/>
  <c r="O44" i="50"/>
  <c r="V99" i="50"/>
  <c r="CB99" i="50" s="1"/>
  <c r="P65" i="50"/>
  <c r="M65" i="50" s="1"/>
  <c r="O65" i="50"/>
  <c r="L84" i="50"/>
  <c r="BG17" i="50"/>
  <c r="BI17" i="50" s="1"/>
  <c r="BK17" i="50" s="1"/>
  <c r="BG31" i="50"/>
  <c r="BI31" i="50" s="1"/>
  <c r="BK31" i="50" s="1"/>
  <c r="T33" i="50"/>
  <c r="U33" i="50" s="1"/>
  <c r="BJ33" i="50" s="1"/>
  <c r="BQ33" i="50" s="1"/>
  <c r="BG8" i="50"/>
  <c r="BI8" i="50" s="1"/>
  <c r="BK8" i="50" s="1"/>
  <c r="BG10" i="50"/>
  <c r="BI10" i="50" s="1"/>
  <c r="BK10" i="50" s="1"/>
  <c r="BG11" i="50"/>
  <c r="BI11" i="50" s="1"/>
  <c r="BK11" i="50" s="1"/>
  <c r="BG23" i="50"/>
  <c r="BI23" i="50" s="1"/>
  <c r="BK23" i="50" s="1"/>
  <c r="BG41" i="50"/>
  <c r="BI41" i="50" s="1"/>
  <c r="BK41" i="50" s="1"/>
  <c r="BG45" i="50"/>
  <c r="BI45" i="50" s="1"/>
  <c r="BK45" i="50" s="1"/>
  <c r="BG46" i="50"/>
  <c r="BI46" i="50" s="1"/>
  <c r="BK46" i="50" s="1"/>
  <c r="BG51" i="50"/>
  <c r="BI51" i="50" s="1"/>
  <c r="BK51" i="50" s="1"/>
  <c r="BG54" i="50"/>
  <c r="BI54" i="50" s="1"/>
  <c r="BK54" i="50" s="1"/>
  <c r="T67" i="50"/>
  <c r="U67" i="50" s="1"/>
  <c r="BG69" i="50"/>
  <c r="BI69" i="50" s="1"/>
  <c r="BK69" i="50" s="1"/>
  <c r="BG70" i="50"/>
  <c r="BI70" i="50" s="1"/>
  <c r="BK70" i="50" s="1"/>
  <c r="BG79" i="50"/>
  <c r="BI79" i="50" s="1"/>
  <c r="BK79" i="50" s="1"/>
  <c r="BG81" i="50"/>
  <c r="BI81" i="50" s="1"/>
  <c r="BK81" i="50" s="1"/>
  <c r="BJ102" i="50"/>
  <c r="BQ102" i="50" s="1"/>
  <c r="P13" i="50"/>
  <c r="M29" i="50"/>
  <c r="T29" i="50" s="1"/>
  <c r="U29" i="50" s="1"/>
  <c r="BG36" i="50"/>
  <c r="BI36" i="50" s="1"/>
  <c r="BK36" i="50" s="1"/>
  <c r="BG43" i="50"/>
  <c r="BI43" i="50" s="1"/>
  <c r="BK43" i="50" s="1"/>
  <c r="BG56" i="50"/>
  <c r="BI56" i="50" s="1"/>
  <c r="BK56" i="50" s="1"/>
  <c r="BG62" i="50"/>
  <c r="BI62" i="50" s="1"/>
  <c r="BK62" i="50" s="1"/>
  <c r="BG64" i="50"/>
  <c r="BI64" i="50" s="1"/>
  <c r="BK64" i="50" s="1"/>
  <c r="P66" i="50"/>
  <c r="M67" i="50"/>
  <c r="O67" i="50" s="1"/>
  <c r="J110" i="50"/>
  <c r="H6" i="47" s="1"/>
  <c r="Z110" i="50"/>
  <c r="AL110" i="50"/>
  <c r="AX110" i="50"/>
  <c r="S108" i="50"/>
  <c r="BG90" i="50"/>
  <c r="BI90" i="50" s="1"/>
  <c r="BK90" i="50" s="1"/>
  <c r="BG92" i="50"/>
  <c r="BI92" i="50" s="1"/>
  <c r="BK92" i="50" s="1"/>
  <c r="BG97" i="50"/>
  <c r="BI97" i="50" s="1"/>
  <c r="BK97" i="50" s="1"/>
  <c r="O102" i="50"/>
  <c r="V103" i="50"/>
  <c r="CB103" i="50" s="1"/>
  <c r="BG103" i="50"/>
  <c r="BI103" i="50" s="1"/>
  <c r="BK103" i="50" s="1"/>
  <c r="BG104" i="50"/>
  <c r="BI104" i="50" s="1"/>
  <c r="BK104" i="50" s="1"/>
  <c r="BJ107" i="50"/>
  <c r="BQ107" i="50" s="1"/>
  <c r="M66" i="50"/>
  <c r="T66" i="50" s="1"/>
  <c r="U66" i="50" s="1"/>
  <c r="BJ66" i="50" s="1"/>
  <c r="BQ66" i="50" s="1"/>
  <c r="BG14" i="50"/>
  <c r="BI14" i="50" s="1"/>
  <c r="BK14" i="50" s="1"/>
  <c r="BG15" i="50"/>
  <c r="BI15" i="50" s="1"/>
  <c r="BK15" i="50" s="1"/>
  <c r="BG19" i="50"/>
  <c r="BI19" i="50" s="1"/>
  <c r="BK19" i="50" s="1"/>
  <c r="BG20" i="50"/>
  <c r="BI20" i="50" s="1"/>
  <c r="BK20" i="50" s="1"/>
  <c r="BG22" i="50"/>
  <c r="BI22" i="50" s="1"/>
  <c r="BK22" i="50" s="1"/>
  <c r="BG24" i="50"/>
  <c r="BI24" i="50" s="1"/>
  <c r="BK24" i="50" s="1"/>
  <c r="BG25" i="50"/>
  <c r="BI25" i="50" s="1"/>
  <c r="BK25" i="50" s="1"/>
  <c r="BG26" i="50"/>
  <c r="BI26" i="50" s="1"/>
  <c r="BK26" i="50" s="1"/>
  <c r="BG32" i="50"/>
  <c r="BI32" i="50" s="1"/>
  <c r="BK32" i="50" s="1"/>
  <c r="BG47" i="50"/>
  <c r="BI47" i="50" s="1"/>
  <c r="BK47" i="50" s="1"/>
  <c r="BG48" i="50"/>
  <c r="BI48" i="50" s="1"/>
  <c r="BK48" i="50" s="1"/>
  <c r="BG49" i="50"/>
  <c r="BI49" i="50" s="1"/>
  <c r="BK49" i="50" s="1"/>
  <c r="BG50" i="50"/>
  <c r="BI50" i="50" s="1"/>
  <c r="BK50" i="50" s="1"/>
  <c r="BG52" i="50"/>
  <c r="BI52" i="50" s="1"/>
  <c r="BK52" i="50" s="1"/>
  <c r="BG53" i="50"/>
  <c r="BI53" i="50" s="1"/>
  <c r="BK53" i="50" s="1"/>
  <c r="BG58" i="50"/>
  <c r="BI58" i="50" s="1"/>
  <c r="BK58" i="50" s="1"/>
  <c r="BG59" i="50"/>
  <c r="BI59" i="50" s="1"/>
  <c r="BK59" i="50" s="1"/>
  <c r="BG75" i="50"/>
  <c r="BI75" i="50" s="1"/>
  <c r="BK75" i="50" s="1"/>
  <c r="BG76" i="50"/>
  <c r="BI76" i="50" s="1"/>
  <c r="BK76" i="50" s="1"/>
  <c r="BJ79" i="50"/>
  <c r="BQ79" i="50" s="1"/>
  <c r="V80" i="50"/>
  <c r="CB80" i="50" s="1"/>
  <c r="BG80" i="50"/>
  <c r="BI80" i="50" s="1"/>
  <c r="BK80" i="50" s="1"/>
  <c r="AU110" i="50"/>
  <c r="BJ101" i="50"/>
  <c r="BQ101" i="50" s="1"/>
  <c r="V105" i="50"/>
  <c r="CB105" i="50" s="1"/>
  <c r="V106" i="50"/>
  <c r="CB106" i="50" s="1"/>
  <c r="BG106" i="50"/>
  <c r="BI106" i="50" s="1"/>
  <c r="BK106" i="50" s="1"/>
  <c r="O99" i="49"/>
  <c r="M11" i="49"/>
  <c r="O11" i="49" s="1"/>
  <c r="M18" i="49"/>
  <c r="O18" i="49" s="1"/>
  <c r="BM84" i="49"/>
  <c r="BG84" i="49"/>
  <c r="BI84" i="49" s="1"/>
  <c r="BM11" i="49"/>
  <c r="BG11" i="49"/>
  <c r="BI11" i="49" s="1"/>
  <c r="BK11" i="49" s="1"/>
  <c r="BM17" i="49"/>
  <c r="BG17" i="49"/>
  <c r="BI17" i="49" s="1"/>
  <c r="BG28" i="49"/>
  <c r="BI28" i="49" s="1"/>
  <c r="BG32" i="49"/>
  <c r="BI32" i="49" s="1"/>
  <c r="BG33" i="49"/>
  <c r="BI33" i="49" s="1"/>
  <c r="BG37" i="49"/>
  <c r="BI37" i="49" s="1"/>
  <c r="BM40" i="49"/>
  <c r="BG40" i="49"/>
  <c r="BI40" i="49" s="1"/>
  <c r="BG43" i="49"/>
  <c r="BI43" i="49" s="1"/>
  <c r="BG49" i="49"/>
  <c r="BI49" i="49" s="1"/>
  <c r="BG56" i="49"/>
  <c r="BI56" i="49" s="1"/>
  <c r="BK56" i="49" s="1"/>
  <c r="BM58" i="49"/>
  <c r="BG58" i="49"/>
  <c r="BI58" i="49" s="1"/>
  <c r="BK58" i="49" s="1"/>
  <c r="BG61" i="49"/>
  <c r="BI61" i="49" s="1"/>
  <c r="BG66" i="49"/>
  <c r="BI66" i="49" s="1"/>
  <c r="BM69" i="49"/>
  <c r="BG69" i="49"/>
  <c r="BI69" i="49" s="1"/>
  <c r="BK69" i="49" s="1"/>
  <c r="BM72" i="49"/>
  <c r="BG72" i="49"/>
  <c r="BI72" i="49" s="1"/>
  <c r="BK72" i="49" s="1"/>
  <c r="BG81" i="49"/>
  <c r="BI81" i="49" s="1"/>
  <c r="BM90" i="49"/>
  <c r="BG90" i="49"/>
  <c r="BI90" i="49" s="1"/>
  <c r="BG99" i="49"/>
  <c r="BI99" i="49" s="1"/>
  <c r="V100" i="49"/>
  <c r="BG106" i="49"/>
  <c r="BI106" i="49" s="1"/>
  <c r="BM108" i="49"/>
  <c r="BG108" i="49"/>
  <c r="BI108" i="49" s="1"/>
  <c r="BK108" i="49" s="1"/>
  <c r="BG116" i="49"/>
  <c r="BI116" i="49" s="1"/>
  <c r="BG119" i="49"/>
  <c r="BI119" i="49" s="1"/>
  <c r="BG14" i="49"/>
  <c r="BI14" i="49" s="1"/>
  <c r="BM20" i="49"/>
  <c r="BG20" i="49"/>
  <c r="BI20" i="49" s="1"/>
  <c r="BG24" i="49"/>
  <c r="BI24" i="49" s="1"/>
  <c r="BM25" i="49"/>
  <c r="BG25" i="49"/>
  <c r="BI25" i="49" s="1"/>
  <c r="BK25" i="49" s="1"/>
  <c r="BM31" i="49"/>
  <c r="BG31" i="49"/>
  <c r="BI31" i="49" s="1"/>
  <c r="BM33" i="49"/>
  <c r="BM34" i="49"/>
  <c r="BG34" i="49"/>
  <c r="BI34" i="49" s="1"/>
  <c r="BM37" i="49"/>
  <c r="BM42" i="49"/>
  <c r="BG42" i="49"/>
  <c r="BI42" i="49" s="1"/>
  <c r="BK42" i="49" s="1"/>
  <c r="BM52" i="49"/>
  <c r="BG52" i="49"/>
  <c r="BI52" i="49" s="1"/>
  <c r="BG54" i="49"/>
  <c r="BI54" i="49" s="1"/>
  <c r="BM55" i="49"/>
  <c r="BG55" i="49"/>
  <c r="BI55" i="49" s="1"/>
  <c r="BM60" i="49"/>
  <c r="BG60" i="49"/>
  <c r="BI60" i="49" s="1"/>
  <c r="BK60" i="49" s="1"/>
  <c r="BG63" i="49"/>
  <c r="BI63" i="49" s="1"/>
  <c r="BM66" i="49"/>
  <c r="BG68" i="49"/>
  <c r="BI68" i="49" s="1"/>
  <c r="BM77" i="49"/>
  <c r="BG77" i="49"/>
  <c r="BI77" i="49" s="1"/>
  <c r="BK77" i="49" s="1"/>
  <c r="BG80" i="49"/>
  <c r="BI80" i="49" s="1"/>
  <c r="BM81" i="49"/>
  <c r="BG83" i="49"/>
  <c r="BI83" i="49" s="1"/>
  <c r="BM86" i="49"/>
  <c r="BG86" i="49"/>
  <c r="BI86" i="49" s="1"/>
  <c r="BM87" i="49"/>
  <c r="BG87" i="49"/>
  <c r="BI87" i="49" s="1"/>
  <c r="BK87" i="49" s="1"/>
  <c r="BG89" i="49"/>
  <c r="BI89" i="49" s="1"/>
  <c r="BK89" i="49" s="1"/>
  <c r="BG92" i="49"/>
  <c r="BI92" i="49" s="1"/>
  <c r="BM96" i="49"/>
  <c r="BG96" i="49"/>
  <c r="BI96" i="49" s="1"/>
  <c r="BK96" i="49" s="1"/>
  <c r="V98" i="49"/>
  <c r="BM98" i="49"/>
  <c r="BG98" i="49"/>
  <c r="BI98" i="49" s="1"/>
  <c r="BK98" i="49" s="1"/>
  <c r="BM110" i="49"/>
  <c r="BG110" i="49"/>
  <c r="BI110" i="49" s="1"/>
  <c r="BG113" i="49"/>
  <c r="BI113" i="49" s="1"/>
  <c r="BM115" i="49"/>
  <c r="BG115" i="49"/>
  <c r="BI115" i="49" s="1"/>
  <c r="BK115" i="49" s="1"/>
  <c r="BG8" i="49"/>
  <c r="BI8" i="49" s="1"/>
  <c r="BM9" i="49"/>
  <c r="BG9" i="49"/>
  <c r="BI9" i="49" s="1"/>
  <c r="BK9" i="49" s="1"/>
  <c r="BG10" i="49"/>
  <c r="BI10" i="49" s="1"/>
  <c r="BM13" i="49"/>
  <c r="BG13" i="49"/>
  <c r="BI13" i="49" s="1"/>
  <c r="BG16" i="49"/>
  <c r="BI16" i="49" s="1"/>
  <c r="BM19" i="49"/>
  <c r="BG19" i="49"/>
  <c r="BI19" i="49" s="1"/>
  <c r="BM22" i="49"/>
  <c r="BG22" i="49"/>
  <c r="BI22" i="49" s="1"/>
  <c r="BK22" i="49" s="1"/>
  <c r="BG23" i="49"/>
  <c r="BI23" i="49" s="1"/>
  <c r="BK23" i="49" s="1"/>
  <c r="BM27" i="49"/>
  <c r="BG27" i="49"/>
  <c r="BI27" i="49" s="1"/>
  <c r="BG29" i="49"/>
  <c r="BI29" i="49" s="1"/>
  <c r="BG30" i="49"/>
  <c r="BI30" i="49" s="1"/>
  <c r="BG36" i="49"/>
  <c r="BI36" i="49" s="1"/>
  <c r="BG39" i="49"/>
  <c r="BI39" i="49" s="1"/>
  <c r="BG46" i="49"/>
  <c r="BI46" i="49" s="1"/>
  <c r="BM48" i="49"/>
  <c r="BG48" i="49"/>
  <c r="BI48" i="49" s="1"/>
  <c r="BK48" i="49" s="1"/>
  <c r="BM51" i="49"/>
  <c r="BG51" i="49"/>
  <c r="BI51" i="49" s="1"/>
  <c r="BK51" i="49" s="1"/>
  <c r="BM54" i="49"/>
  <c r="BM57" i="49"/>
  <c r="BG57" i="49"/>
  <c r="BI57" i="49" s="1"/>
  <c r="BG62" i="49"/>
  <c r="BI62" i="49" s="1"/>
  <c r="BM65" i="49"/>
  <c r="BG65" i="49"/>
  <c r="BI65" i="49" s="1"/>
  <c r="BK65" i="49" s="1"/>
  <c r="BG67" i="49"/>
  <c r="BI67" i="49" s="1"/>
  <c r="BG70" i="49"/>
  <c r="BI70" i="49" s="1"/>
  <c r="BM71" i="49"/>
  <c r="BG71" i="49"/>
  <c r="BI71" i="49" s="1"/>
  <c r="BK71" i="49" s="1"/>
  <c r="BM79" i="49"/>
  <c r="BG79" i="49"/>
  <c r="BI79" i="49" s="1"/>
  <c r="BK79" i="49" s="1"/>
  <c r="BM89" i="49"/>
  <c r="BG91" i="49"/>
  <c r="BI91" i="49" s="1"/>
  <c r="BG94" i="49"/>
  <c r="BI94" i="49" s="1"/>
  <c r="BM105" i="49"/>
  <c r="BG105" i="49"/>
  <c r="BI105" i="49" s="1"/>
  <c r="BM107" i="49"/>
  <c r="BG107" i="49"/>
  <c r="BI107" i="49" s="1"/>
  <c r="BM112" i="49"/>
  <c r="BG112" i="49"/>
  <c r="BI112" i="49" s="1"/>
  <c r="BM117" i="49"/>
  <c r="BG117" i="49"/>
  <c r="BI117" i="49" s="1"/>
  <c r="BM8" i="49"/>
  <c r="BM12" i="49"/>
  <c r="BG12" i="49"/>
  <c r="BI12" i="49" s="1"/>
  <c r="BK12" i="49" s="1"/>
  <c r="BG15" i="49"/>
  <c r="BI15" i="49" s="1"/>
  <c r="BK15" i="49" s="1"/>
  <c r="BM18" i="49"/>
  <c r="BG18" i="49"/>
  <c r="BI18" i="49" s="1"/>
  <c r="BG21" i="49"/>
  <c r="BI21" i="49" s="1"/>
  <c r="BM26" i="49"/>
  <c r="BG26" i="49"/>
  <c r="BI26" i="49" s="1"/>
  <c r="BK26" i="49" s="1"/>
  <c r="BM29" i="49"/>
  <c r="BM30" i="49"/>
  <c r="BG35" i="49"/>
  <c r="BI35" i="49" s="1"/>
  <c r="BM38" i="49"/>
  <c r="BG38" i="49"/>
  <c r="BI38" i="49" s="1"/>
  <c r="BM41" i="49"/>
  <c r="BG41" i="49"/>
  <c r="BI41" i="49" s="1"/>
  <c r="BM44" i="49"/>
  <c r="BG44" i="49"/>
  <c r="BI44" i="49" s="1"/>
  <c r="BG45" i="49"/>
  <c r="BI45" i="49" s="1"/>
  <c r="BK45" i="49" s="1"/>
  <c r="BG47" i="49"/>
  <c r="BI47" i="49" s="1"/>
  <c r="BM50" i="49"/>
  <c r="BG50" i="49"/>
  <c r="BI50" i="49" s="1"/>
  <c r="M53" i="49"/>
  <c r="O53" i="49" s="1"/>
  <c r="BM53" i="49"/>
  <c r="BG53" i="49"/>
  <c r="BI53" i="49" s="1"/>
  <c r="BK53" i="49" s="1"/>
  <c r="BG59" i="49"/>
  <c r="BI59" i="49" s="1"/>
  <c r="BM62" i="49"/>
  <c r="BG64" i="49"/>
  <c r="BI64" i="49" s="1"/>
  <c r="BM67" i="49"/>
  <c r="V70" i="49"/>
  <c r="V71" i="49"/>
  <c r="I122" i="49"/>
  <c r="G5" i="47" s="1"/>
  <c r="AG122" i="49"/>
  <c r="BE122" i="49"/>
  <c r="BG76" i="49"/>
  <c r="BI76" i="49" s="1"/>
  <c r="BG78" i="49"/>
  <c r="BI78" i="49" s="1"/>
  <c r="BM82" i="49"/>
  <c r="BG82" i="49"/>
  <c r="BI82" i="49" s="1"/>
  <c r="BK82" i="49" s="1"/>
  <c r="BM85" i="49"/>
  <c r="BG85" i="49"/>
  <c r="BI85" i="49" s="1"/>
  <c r="M88" i="49"/>
  <c r="O88" i="49" s="1"/>
  <c r="BM88" i="49"/>
  <c r="BG88" i="49"/>
  <c r="BI88" i="49" s="1"/>
  <c r="BG93" i="49"/>
  <c r="BI93" i="49" s="1"/>
  <c r="BK93" i="49" s="1"/>
  <c r="BM95" i="49"/>
  <c r="BG95" i="49"/>
  <c r="BI95" i="49" s="1"/>
  <c r="BK95" i="49" s="1"/>
  <c r="BM97" i="49"/>
  <c r="BG97" i="49"/>
  <c r="BI97" i="49" s="1"/>
  <c r="BJ97" i="49" s="1"/>
  <c r="BQ97" i="49" s="1"/>
  <c r="BM100" i="49"/>
  <c r="BG100" i="49"/>
  <c r="BI100" i="49" s="1"/>
  <c r="BK100" i="49" s="1"/>
  <c r="BM104" i="49"/>
  <c r="BG104" i="49"/>
  <c r="BI104" i="49" s="1"/>
  <c r="BG109" i="49"/>
  <c r="BI109" i="49" s="1"/>
  <c r="BG111" i="49"/>
  <c r="BI111" i="49" s="1"/>
  <c r="BM114" i="49"/>
  <c r="BG114" i="49"/>
  <c r="BI114" i="49" s="1"/>
  <c r="M118" i="49"/>
  <c r="O118" i="49" s="1"/>
  <c r="BM118" i="49"/>
  <c r="BG118" i="49"/>
  <c r="BI118" i="49" s="1"/>
  <c r="Q122" i="49"/>
  <c r="O5" i="47" s="1"/>
  <c r="Q128" i="50"/>
  <c r="R56" i="53"/>
  <c r="Q29" i="56"/>
  <c r="Q30" i="56" s="1"/>
  <c r="Q82" i="54"/>
  <c r="Q129" i="49"/>
  <c r="Q100" i="51"/>
  <c r="Q53" i="53"/>
  <c r="Q18" i="58"/>
  <c r="G70" i="54"/>
  <c r="J70" i="54"/>
  <c r="Y70" i="54"/>
  <c r="I70" i="54"/>
  <c r="E70" i="54"/>
  <c r="AF45" i="53"/>
  <c r="BA45" i="53"/>
  <c r="X45" i="53"/>
  <c r="V9" i="47" s="1"/>
  <c r="AJ45" i="53"/>
  <c r="AR45" i="53"/>
  <c r="BD45" i="53"/>
  <c r="H45" i="53"/>
  <c r="F9" i="47" s="1"/>
  <c r="Z45" i="53"/>
  <c r="BE45" i="53"/>
  <c r="M8" i="52"/>
  <c r="T8" i="52" s="1"/>
  <c r="U8" i="52" s="1"/>
  <c r="BJ8" i="52" s="1"/>
  <c r="BR8" i="52" s="1"/>
  <c r="P8" i="47"/>
  <c r="R20" i="52"/>
  <c r="K11" i="52"/>
  <c r="I8" i="47" s="1"/>
  <c r="AQ11" i="52"/>
  <c r="AC8" i="47" s="1"/>
  <c r="BC11" i="52"/>
  <c r="AG8" i="47" s="1"/>
  <c r="F7" i="52"/>
  <c r="F11" i="52" s="1"/>
  <c r="D8" i="47" s="1"/>
  <c r="AT11" i="52"/>
  <c r="AD8" i="47" s="1"/>
  <c r="Q24" i="52"/>
  <c r="Q144" i="50"/>
  <c r="BE110" i="50"/>
  <c r="Y110" i="50"/>
  <c r="W6" i="47" s="1"/>
  <c r="AJ110" i="50"/>
  <c r="AR110" i="50"/>
  <c r="I110" i="50"/>
  <c r="G6" i="47" s="1"/>
  <c r="AA110" i="50"/>
  <c r="AG110" i="50"/>
  <c r="AY110" i="50"/>
  <c r="P128" i="50"/>
  <c r="AC110" i="50"/>
  <c r="AI110" i="50"/>
  <c r="AO110" i="50"/>
  <c r="BA110" i="50"/>
  <c r="Y122" i="49"/>
  <c r="W5" i="47" s="1"/>
  <c r="BB122" i="49"/>
  <c r="AI122" i="49"/>
  <c r="AU122" i="49"/>
  <c r="M21" i="49"/>
  <c r="O21" i="49" s="1"/>
  <c r="T21" i="49"/>
  <c r="U21" i="49" s="1"/>
  <c r="P117" i="49"/>
  <c r="M117" i="49" s="1"/>
  <c r="O117" i="49" s="1"/>
  <c r="P8" i="49"/>
  <c r="T10" i="49"/>
  <c r="U10" i="49" s="1"/>
  <c r="O10" i="49"/>
  <c r="M22" i="49"/>
  <c r="O22" i="49" s="1"/>
  <c r="BM78" i="49"/>
  <c r="M54" i="49"/>
  <c r="O54" i="49" s="1"/>
  <c r="S101" i="49"/>
  <c r="AT73" i="49"/>
  <c r="M26" i="49"/>
  <c r="O26" i="49" s="1"/>
  <c r="M63" i="49"/>
  <c r="O63" i="49" s="1"/>
  <c r="T87" i="49"/>
  <c r="U87" i="49" s="1"/>
  <c r="AS122" i="49"/>
  <c r="AJ122" i="49"/>
  <c r="AV122" i="49"/>
  <c r="BS122" i="49"/>
  <c r="AU5" i="47" s="1"/>
  <c r="M71" i="49"/>
  <c r="O71" i="49" s="1"/>
  <c r="AC122" i="49"/>
  <c r="AO122" i="49"/>
  <c r="BA122" i="49"/>
  <c r="AH101" i="49"/>
  <c r="AT101" i="49"/>
  <c r="AE101" i="49"/>
  <c r="AQ101" i="49"/>
  <c r="BM91" i="49"/>
  <c r="AN120" i="49"/>
  <c r="R134" i="49"/>
  <c r="R139" i="49" s="1"/>
  <c r="P47" i="49"/>
  <c r="M47" i="49" s="1"/>
  <c r="O47" i="49" s="1"/>
  <c r="P68" i="49"/>
  <c r="M68" i="49" s="1"/>
  <c r="O68" i="49" s="1"/>
  <c r="BC101" i="49"/>
  <c r="O98" i="49"/>
  <c r="AE120" i="49"/>
  <c r="AL122" i="49"/>
  <c r="AM122" i="49"/>
  <c r="R122" i="49"/>
  <c r="P5" i="47" s="1"/>
  <c r="Z122" i="49"/>
  <c r="AF122" i="49"/>
  <c r="AR122" i="49"/>
  <c r="E122" i="49"/>
  <c r="C5" i="47" s="1"/>
  <c r="AD122" i="49"/>
  <c r="J122" i="49"/>
  <c r="H5" i="47" s="1"/>
  <c r="W122" i="49"/>
  <c r="U5" i="47" s="1"/>
  <c r="AA122" i="49"/>
  <c r="V10" i="49"/>
  <c r="P15" i="49"/>
  <c r="P24" i="49"/>
  <c r="BM32" i="49"/>
  <c r="P16" i="49"/>
  <c r="P23" i="49"/>
  <c r="F32" i="49"/>
  <c r="M66" i="49"/>
  <c r="T66" i="49" s="1"/>
  <c r="U66" i="49" s="1"/>
  <c r="BJ66" i="49" s="1"/>
  <c r="BQ66" i="49" s="1"/>
  <c r="D73" i="49"/>
  <c r="P76" i="49"/>
  <c r="BF101" i="49"/>
  <c r="BM76" i="49"/>
  <c r="M96" i="49"/>
  <c r="O96" i="49" s="1"/>
  <c r="G84" i="50"/>
  <c r="G110" i="50" s="1"/>
  <c r="P11" i="50"/>
  <c r="M41" i="50"/>
  <c r="T41" i="50" s="1"/>
  <c r="U41" i="50" s="1"/>
  <c r="BJ41" i="50" s="1"/>
  <c r="BQ41" i="50" s="1"/>
  <c r="M77" i="50"/>
  <c r="T77" i="50" s="1"/>
  <c r="U77" i="50" s="1"/>
  <c r="BJ77" i="50" s="1"/>
  <c r="BQ77" i="50" s="1"/>
  <c r="BG11" i="54"/>
  <c r="BI11" i="54" s="1"/>
  <c r="BL11" i="54" s="1"/>
  <c r="P32" i="54"/>
  <c r="BG34" i="54"/>
  <c r="BI34" i="54" s="1"/>
  <c r="BL34" i="54" s="1"/>
  <c r="AB54" i="54"/>
  <c r="X11" i="47" s="1"/>
  <c r="M50" i="54"/>
  <c r="T50" i="54" s="1"/>
  <c r="U50" i="54" s="1"/>
  <c r="BJ50" i="54" s="1"/>
  <c r="BR50" i="54" s="1"/>
  <c r="P8" i="58"/>
  <c r="L9" i="58"/>
  <c r="J16" i="47" s="1"/>
  <c r="P12" i="58"/>
  <c r="M29" i="49"/>
  <c r="T29" i="49" s="1"/>
  <c r="U29" i="49" s="1"/>
  <c r="M38" i="49"/>
  <c r="T38" i="49" s="1"/>
  <c r="U38" i="49" s="1"/>
  <c r="P55" i="49"/>
  <c r="P80" i="49"/>
  <c r="BM94" i="49"/>
  <c r="P110" i="49"/>
  <c r="AP122" i="49"/>
  <c r="AZ84" i="50"/>
  <c r="BG16" i="50"/>
  <c r="BI16" i="50" s="1"/>
  <c r="BK16" i="50" s="1"/>
  <c r="P21" i="50"/>
  <c r="P75" i="50"/>
  <c r="V83" i="50"/>
  <c r="CB83" i="50" s="1"/>
  <c r="P35" i="53"/>
  <c r="AE73" i="49"/>
  <c r="AQ73" i="49"/>
  <c r="BC73" i="49"/>
  <c r="AB73" i="49"/>
  <c r="BM21" i="49"/>
  <c r="P25" i="49"/>
  <c r="P27" i="49"/>
  <c r="V28" i="49"/>
  <c r="P30" i="49"/>
  <c r="M31" i="49"/>
  <c r="T31" i="49" s="1"/>
  <c r="U31" i="49" s="1"/>
  <c r="BJ31" i="49" s="1"/>
  <c r="BQ31" i="49" s="1"/>
  <c r="M37" i="49"/>
  <c r="O37" i="49" s="1"/>
  <c r="P48" i="49"/>
  <c r="P57" i="49"/>
  <c r="BM64" i="49"/>
  <c r="BM68" i="49"/>
  <c r="L78" i="49"/>
  <c r="K101" i="49"/>
  <c r="M79" i="49"/>
  <c r="T79" i="49" s="1"/>
  <c r="U79" i="49" s="1"/>
  <c r="AK120" i="49"/>
  <c r="AW120" i="49"/>
  <c r="M13" i="50"/>
  <c r="T13" i="50" s="1"/>
  <c r="U13" i="50" s="1"/>
  <c r="M20" i="50"/>
  <c r="T20" i="50" s="1"/>
  <c r="U20" i="50" s="1"/>
  <c r="BJ20" i="50" s="1"/>
  <c r="BQ20" i="50" s="1"/>
  <c r="BG33" i="50"/>
  <c r="BI33" i="50" s="1"/>
  <c r="BK33" i="50" s="1"/>
  <c r="BG34" i="50"/>
  <c r="BI34" i="50" s="1"/>
  <c r="BK34" i="50" s="1"/>
  <c r="M36" i="50"/>
  <c r="T36" i="50" s="1"/>
  <c r="U36" i="50" s="1"/>
  <c r="BJ36" i="50" s="1"/>
  <c r="BQ36" i="50" s="1"/>
  <c r="P55" i="51"/>
  <c r="M63" i="51"/>
  <c r="O63" i="51" s="1"/>
  <c r="V7" i="55"/>
  <c r="P35" i="49"/>
  <c r="BM36" i="49"/>
  <c r="F42" i="49"/>
  <c r="O42" i="49"/>
  <c r="BM43" i="49"/>
  <c r="P45" i="49"/>
  <c r="M60" i="49"/>
  <c r="O60" i="49" s="1"/>
  <c r="BM99" i="49"/>
  <c r="BM116" i="49"/>
  <c r="P48" i="50"/>
  <c r="BG95" i="50"/>
  <c r="BI95" i="50" s="1"/>
  <c r="BK95" i="50" s="1"/>
  <c r="P21" i="51"/>
  <c r="M29" i="51"/>
  <c r="T29" i="51" s="1"/>
  <c r="U29" i="51" s="1"/>
  <c r="P18" i="54"/>
  <c r="AH73" i="49"/>
  <c r="BF73" i="49"/>
  <c r="BM7" i="49"/>
  <c r="BG7" i="49"/>
  <c r="BI7" i="49" s="1"/>
  <c r="BK7" i="49" s="1"/>
  <c r="M13" i="49"/>
  <c r="O13" i="49" s="1"/>
  <c r="BM14" i="49"/>
  <c r="BM28" i="49"/>
  <c r="T33" i="49"/>
  <c r="U33" i="49" s="1"/>
  <c r="BJ33" i="49" s="1"/>
  <c r="BQ33" i="49" s="1"/>
  <c r="BM35" i="49"/>
  <c r="M43" i="49"/>
  <c r="O43" i="49" s="1"/>
  <c r="F44" i="49"/>
  <c r="P46" i="49"/>
  <c r="P58" i="49"/>
  <c r="P61" i="49"/>
  <c r="M62" i="49"/>
  <c r="T62" i="49" s="1"/>
  <c r="U62" i="49" s="1"/>
  <c r="BJ62" i="49" s="1"/>
  <c r="BQ62" i="49" s="1"/>
  <c r="P95" i="49"/>
  <c r="V99" i="49"/>
  <c r="AH120" i="49"/>
  <c r="P107" i="49"/>
  <c r="P108" i="49"/>
  <c r="P111" i="49"/>
  <c r="M112" i="49"/>
  <c r="T112" i="49" s="1"/>
  <c r="U112" i="49" s="1"/>
  <c r="P114" i="49"/>
  <c r="AX122" i="49"/>
  <c r="AB84" i="50"/>
  <c r="AN84" i="50"/>
  <c r="M10" i="50"/>
  <c r="T10" i="50" s="1"/>
  <c r="U10" i="50" s="1"/>
  <c r="BJ10" i="50" s="1"/>
  <c r="BQ10" i="50" s="1"/>
  <c r="BG12" i="50"/>
  <c r="BI12" i="50" s="1"/>
  <c r="BK12" i="50" s="1"/>
  <c r="F16" i="50"/>
  <c r="P17" i="50"/>
  <c r="E84" i="50"/>
  <c r="E110" i="50" s="1"/>
  <c r="C6" i="47" s="1"/>
  <c r="F18" i="50"/>
  <c r="T23" i="50"/>
  <c r="U23" i="50" s="1"/>
  <c r="BJ23" i="50" s="1"/>
  <c r="BQ23" i="50" s="1"/>
  <c r="F34" i="50"/>
  <c r="M43" i="50"/>
  <c r="T43" i="50" s="1"/>
  <c r="U43" i="50" s="1"/>
  <c r="BJ43" i="50" s="1"/>
  <c r="BQ43" i="50" s="1"/>
  <c r="P52" i="50"/>
  <c r="M68" i="50"/>
  <c r="T68" i="50" s="1"/>
  <c r="U68" i="50" s="1"/>
  <c r="BJ68" i="50" s="1"/>
  <c r="BQ68" i="50" s="1"/>
  <c r="M69" i="50"/>
  <c r="O69" i="50" s="1"/>
  <c r="T69" i="50"/>
  <c r="U69" i="50" s="1"/>
  <c r="P92" i="50"/>
  <c r="U10" i="51"/>
  <c r="O10" i="51"/>
  <c r="M22" i="51"/>
  <c r="T22" i="51" s="1"/>
  <c r="U22" i="51" s="1"/>
  <c r="P28" i="51"/>
  <c r="BG28" i="51"/>
  <c r="BI28" i="51" s="1"/>
  <c r="M31" i="51"/>
  <c r="O31" i="51" s="1"/>
  <c r="BG33" i="51"/>
  <c r="BI33" i="51" s="1"/>
  <c r="M35" i="51"/>
  <c r="O35" i="51" s="1"/>
  <c r="P64" i="51"/>
  <c r="P17" i="53"/>
  <c r="P24" i="53"/>
  <c r="AT28" i="54"/>
  <c r="AD10" i="47" s="1"/>
  <c r="P16" i="54"/>
  <c r="M20" i="54"/>
  <c r="T20" i="54" s="1"/>
  <c r="U20" i="54" s="1"/>
  <c r="BJ20" i="54" s="1"/>
  <c r="BR20" i="54" s="1"/>
  <c r="W21" i="54"/>
  <c r="M66" i="54"/>
  <c r="O66" i="54" s="1"/>
  <c r="T66" i="54"/>
  <c r="U66" i="54" s="1"/>
  <c r="P14" i="57"/>
  <c r="AW73" i="49"/>
  <c r="AN73" i="49"/>
  <c r="AZ73" i="49"/>
  <c r="P9" i="49"/>
  <c r="P14" i="49"/>
  <c r="BM16" i="49"/>
  <c r="F26" i="49"/>
  <c r="O28" i="49"/>
  <c r="M36" i="49"/>
  <c r="O36" i="49" s="1"/>
  <c r="F37" i="49"/>
  <c r="BM39" i="49"/>
  <c r="P40" i="49"/>
  <c r="T42" i="49"/>
  <c r="U42" i="49" s="1"/>
  <c r="BM46" i="49"/>
  <c r="N73" i="49"/>
  <c r="BM49" i="49"/>
  <c r="P51" i="49"/>
  <c r="BM59" i="49"/>
  <c r="BM61" i="49"/>
  <c r="P67" i="49"/>
  <c r="AB101" i="49"/>
  <c r="AN101" i="49"/>
  <c r="BM83" i="49"/>
  <c r="P85" i="49"/>
  <c r="P86" i="49"/>
  <c r="M90" i="49"/>
  <c r="O90" i="49" s="1"/>
  <c r="AQ120" i="49"/>
  <c r="BC120" i="49"/>
  <c r="M106" i="49"/>
  <c r="O106" i="49" s="1"/>
  <c r="AT120" i="49"/>
  <c r="AT122" i="49" s="1"/>
  <c r="AD5" i="47" s="1"/>
  <c r="F120" i="49"/>
  <c r="BM109" i="49"/>
  <c r="BM111" i="49"/>
  <c r="AY122" i="49"/>
  <c r="AE84" i="50"/>
  <c r="AQ84" i="50"/>
  <c r="P14" i="50"/>
  <c r="M16" i="50"/>
  <c r="O16" i="50" s="1"/>
  <c r="BG39" i="50"/>
  <c r="BI39" i="50" s="1"/>
  <c r="BK39" i="50" s="1"/>
  <c r="T40" i="50"/>
  <c r="U40" i="50" s="1"/>
  <c r="O43" i="50"/>
  <c r="M51" i="50"/>
  <c r="T51" i="50"/>
  <c r="U51" i="50" s="1"/>
  <c r="BJ51" i="50" s="1"/>
  <c r="BQ51" i="50" s="1"/>
  <c r="T55" i="50"/>
  <c r="U55" i="50" s="1"/>
  <c r="P62" i="50"/>
  <c r="BG66" i="50"/>
  <c r="BI66" i="50" s="1"/>
  <c r="BK66" i="50" s="1"/>
  <c r="BG88" i="50"/>
  <c r="BI88" i="50" s="1"/>
  <c r="BK88" i="50" s="1"/>
  <c r="O91" i="50"/>
  <c r="T91" i="50"/>
  <c r="U91" i="50" s="1"/>
  <c r="BJ91" i="50" s="1"/>
  <c r="BQ91" i="50" s="1"/>
  <c r="P97" i="50"/>
  <c r="T98" i="50"/>
  <c r="U98" i="50" s="1"/>
  <c r="P100" i="50"/>
  <c r="V101" i="50"/>
  <c r="CB101" i="50" s="1"/>
  <c r="BG7" i="51"/>
  <c r="BI7" i="51" s="1"/>
  <c r="AW82" i="51"/>
  <c r="AE7" i="47" s="1"/>
  <c r="M9" i="51"/>
  <c r="T9" i="51" s="1"/>
  <c r="U9" i="51" s="1"/>
  <c r="BJ9" i="51" s="1"/>
  <c r="BR9" i="51" s="1"/>
  <c r="W20" i="51"/>
  <c r="F36" i="51"/>
  <c r="M43" i="51"/>
  <c r="T43" i="51" s="1"/>
  <c r="U43" i="51" s="1"/>
  <c r="P46" i="51"/>
  <c r="M60" i="51"/>
  <c r="T60" i="51" s="1"/>
  <c r="U60" i="51" s="1"/>
  <c r="M77" i="51"/>
  <c r="T77" i="51" s="1"/>
  <c r="U77" i="51" s="1"/>
  <c r="AZ25" i="53"/>
  <c r="AZ45" i="53" s="1"/>
  <c r="AF9" i="47" s="1"/>
  <c r="M10" i="53"/>
  <c r="T10" i="53" s="1"/>
  <c r="U10" i="53" s="1"/>
  <c r="BJ10" i="53" s="1"/>
  <c r="BR10" i="53" s="1"/>
  <c r="P16" i="53"/>
  <c r="P21" i="53"/>
  <c r="P29" i="53"/>
  <c r="W39" i="53"/>
  <c r="M9" i="54"/>
  <c r="O9" i="54" s="1"/>
  <c r="M23" i="54"/>
  <c r="T23" i="54"/>
  <c r="U23" i="54" s="1"/>
  <c r="P38" i="54"/>
  <c r="D67" i="54"/>
  <c r="F62" i="54"/>
  <c r="P15" i="55"/>
  <c r="P9" i="57"/>
  <c r="BM10" i="49"/>
  <c r="T11" i="49"/>
  <c r="U11" i="49" s="1"/>
  <c r="BJ11" i="49" s="1"/>
  <c r="BQ11" i="49" s="1"/>
  <c r="P12" i="49"/>
  <c r="AK73" i="49"/>
  <c r="M17" i="49"/>
  <c r="O17" i="49" s="1"/>
  <c r="P19" i="49"/>
  <c r="M20" i="49"/>
  <c r="T20" i="49" s="1"/>
  <c r="U20" i="49" s="1"/>
  <c r="BM24" i="49"/>
  <c r="F29" i="49"/>
  <c r="O33" i="49"/>
  <c r="P34" i="49"/>
  <c r="P39" i="49"/>
  <c r="M41" i="49"/>
  <c r="O41" i="49" s="1"/>
  <c r="M44" i="49"/>
  <c r="O44" i="49" s="1"/>
  <c r="M52" i="49"/>
  <c r="O52" i="49" s="1"/>
  <c r="O56" i="49"/>
  <c r="F60" i="49"/>
  <c r="M69" i="49"/>
  <c r="T69" i="49" s="1"/>
  <c r="U69" i="49" s="1"/>
  <c r="BJ69" i="49" s="1"/>
  <c r="BQ69" i="49" s="1"/>
  <c r="M77" i="49"/>
  <c r="O77" i="49" s="1"/>
  <c r="AZ101" i="49"/>
  <c r="BM80" i="49"/>
  <c r="N101" i="49"/>
  <c r="P89" i="49"/>
  <c r="P91" i="49"/>
  <c r="P92" i="49"/>
  <c r="M93" i="49"/>
  <c r="T93" i="49" s="1"/>
  <c r="U93" i="49" s="1"/>
  <c r="BJ93" i="49" s="1"/>
  <c r="BQ93" i="49" s="1"/>
  <c r="G120" i="49"/>
  <c r="P105" i="49"/>
  <c r="S120" i="49"/>
  <c r="P119" i="49"/>
  <c r="P7" i="50"/>
  <c r="M8" i="50"/>
  <c r="O8" i="50" s="1"/>
  <c r="M22" i="50"/>
  <c r="O22" i="50" s="1"/>
  <c r="M25" i="50"/>
  <c r="T25" i="50" s="1"/>
  <c r="U25" i="50" s="1"/>
  <c r="BJ25" i="50" s="1"/>
  <c r="BQ25" i="50" s="1"/>
  <c r="P26" i="50"/>
  <c r="P27" i="50"/>
  <c r="M35" i="50"/>
  <c r="T35" i="50" s="1"/>
  <c r="U35" i="50" s="1"/>
  <c r="BJ35" i="50" s="1"/>
  <c r="BQ35" i="50" s="1"/>
  <c r="P54" i="50"/>
  <c r="M61" i="50"/>
  <c r="T61" i="50" s="1"/>
  <c r="U61" i="50" s="1"/>
  <c r="BJ61" i="50" s="1"/>
  <c r="BQ61" i="50" s="1"/>
  <c r="P73" i="50"/>
  <c r="P94" i="50"/>
  <c r="F14" i="51"/>
  <c r="D82" i="51"/>
  <c r="B7" i="47" s="1"/>
  <c r="BG15" i="51"/>
  <c r="BI15" i="51" s="1"/>
  <c r="M25" i="51"/>
  <c r="O25" i="51" s="1"/>
  <c r="T25" i="51"/>
  <c r="U25" i="51" s="1"/>
  <c r="BJ25" i="51" s="1"/>
  <c r="BR25" i="51" s="1"/>
  <c r="M39" i="51"/>
  <c r="T39" i="51"/>
  <c r="U39" i="51" s="1"/>
  <c r="F44" i="51"/>
  <c r="BG48" i="51"/>
  <c r="BI48" i="51" s="1"/>
  <c r="W56" i="51"/>
  <c r="F57" i="51"/>
  <c r="P58" i="51"/>
  <c r="P75" i="51"/>
  <c r="BG10" i="52"/>
  <c r="BF11" i="52"/>
  <c r="AH8" i="47" s="1"/>
  <c r="BG12" i="53"/>
  <c r="BI12" i="53" s="1"/>
  <c r="BL12" i="53" s="1"/>
  <c r="P18" i="53"/>
  <c r="A45" i="53"/>
  <c r="BG33" i="53"/>
  <c r="BI33" i="53" s="1"/>
  <c r="BL33" i="53" s="1"/>
  <c r="L28" i="54"/>
  <c r="J10" i="47" s="1"/>
  <c r="M41" i="54"/>
  <c r="T41" i="54"/>
  <c r="U41" i="54" s="1"/>
  <c r="BJ41" i="54" s="1"/>
  <c r="BR41" i="54" s="1"/>
  <c r="M51" i="54"/>
  <c r="T51" i="54" s="1"/>
  <c r="U51" i="54" s="1"/>
  <c r="BJ51" i="54" s="1"/>
  <c r="BR51" i="54" s="1"/>
  <c r="P64" i="49"/>
  <c r="M65" i="49"/>
  <c r="T65" i="49" s="1"/>
  <c r="U65" i="49" s="1"/>
  <c r="P82" i="49"/>
  <c r="BM92" i="49"/>
  <c r="P94" i="49"/>
  <c r="L120" i="49"/>
  <c r="P104" i="49"/>
  <c r="AB120" i="49"/>
  <c r="AZ120" i="49"/>
  <c r="P115" i="49"/>
  <c r="BM119" i="49"/>
  <c r="AH84" i="50"/>
  <c r="BF84" i="50"/>
  <c r="BG7" i="50"/>
  <c r="BI7" i="50" s="1"/>
  <c r="BK7" i="50" s="1"/>
  <c r="P12" i="50"/>
  <c r="M19" i="50"/>
  <c r="T19" i="50" s="1"/>
  <c r="U19" i="50" s="1"/>
  <c r="BJ19" i="50" s="1"/>
  <c r="BQ19" i="50" s="1"/>
  <c r="M24" i="50"/>
  <c r="T24" i="50" s="1"/>
  <c r="U24" i="50" s="1"/>
  <c r="BJ24" i="50" s="1"/>
  <c r="BQ24" i="50" s="1"/>
  <c r="P28" i="50"/>
  <c r="P31" i="50"/>
  <c r="P32" i="50"/>
  <c r="P47" i="50"/>
  <c r="P53" i="50"/>
  <c r="P63" i="50"/>
  <c r="M64" i="50"/>
  <c r="O64" i="50" s="1"/>
  <c r="BG73" i="50"/>
  <c r="BI73" i="50" s="1"/>
  <c r="BK73" i="50" s="1"/>
  <c r="T74" i="50"/>
  <c r="U74" i="50" s="1"/>
  <c r="AK108" i="50"/>
  <c r="AW108" i="50"/>
  <c r="BG91" i="50"/>
  <c r="BI91" i="50" s="1"/>
  <c r="BK91" i="50" s="1"/>
  <c r="AK82" i="51"/>
  <c r="AA7" i="47" s="1"/>
  <c r="AN82" i="51"/>
  <c r="AB7" i="47" s="1"/>
  <c r="AE82" i="51"/>
  <c r="Y7" i="47" s="1"/>
  <c r="BC82" i="51"/>
  <c r="AG7" i="47" s="1"/>
  <c r="P19" i="51"/>
  <c r="BG19" i="51"/>
  <c r="BI19" i="51" s="1"/>
  <c r="BG20" i="51"/>
  <c r="BI20" i="51" s="1"/>
  <c r="O22" i="51"/>
  <c r="F22" i="51"/>
  <c r="M23" i="51"/>
  <c r="T23" i="51" s="1"/>
  <c r="U23" i="51" s="1"/>
  <c r="P32" i="51"/>
  <c r="M47" i="51"/>
  <c r="T47" i="51" s="1"/>
  <c r="U47" i="51" s="1"/>
  <c r="T53" i="51"/>
  <c r="U53" i="51" s="1"/>
  <c r="M57" i="51"/>
  <c r="O57" i="51" s="1"/>
  <c r="T71" i="51"/>
  <c r="U71" i="51" s="1"/>
  <c r="Q25" i="53"/>
  <c r="Q45" i="53" s="1"/>
  <c r="O9" i="47" s="1"/>
  <c r="S7" i="53"/>
  <c r="S25" i="53" s="1"/>
  <c r="F25" i="53"/>
  <c r="BG8" i="53"/>
  <c r="BI8" i="53" s="1"/>
  <c r="BL8" i="53" s="1"/>
  <c r="P12" i="53"/>
  <c r="P13" i="53"/>
  <c r="P14" i="53"/>
  <c r="BG17" i="53"/>
  <c r="BI17" i="53" s="1"/>
  <c r="BL17" i="53" s="1"/>
  <c r="M20" i="53"/>
  <c r="T20" i="53" s="1"/>
  <c r="U20" i="53" s="1"/>
  <c r="BJ20" i="53" s="1"/>
  <c r="BR20" i="53" s="1"/>
  <c r="BG21" i="53"/>
  <c r="BI21" i="53" s="1"/>
  <c r="BL21" i="53" s="1"/>
  <c r="BG24" i="53"/>
  <c r="BI24" i="53" s="1"/>
  <c r="BL24" i="53" s="1"/>
  <c r="BS25" i="53"/>
  <c r="BS45" i="53" s="1"/>
  <c r="AU9" i="47" s="1"/>
  <c r="AT43" i="53"/>
  <c r="BG28" i="53"/>
  <c r="BI28" i="53" s="1"/>
  <c r="BF43" i="53"/>
  <c r="T30" i="53"/>
  <c r="U30" i="53" s="1"/>
  <c r="P36" i="53"/>
  <c r="W40" i="53"/>
  <c r="M14" i="54"/>
  <c r="T14" i="54" s="1"/>
  <c r="U14" i="54" s="1"/>
  <c r="T25" i="54"/>
  <c r="M27" i="54"/>
  <c r="O27" i="54" s="1"/>
  <c r="T27" i="54"/>
  <c r="U27" i="54" s="1"/>
  <c r="BJ27" i="54" s="1"/>
  <c r="BR27" i="54" s="1"/>
  <c r="P34" i="54"/>
  <c r="O41" i="54"/>
  <c r="F41" i="54"/>
  <c r="F54" i="54" s="1"/>
  <c r="D11" i="47" s="1"/>
  <c r="D54" i="54"/>
  <c r="B11" i="47" s="1"/>
  <c r="W44" i="54"/>
  <c r="M62" i="54"/>
  <c r="O62" i="54" s="1"/>
  <c r="P9" i="56"/>
  <c r="M16" i="56"/>
  <c r="T16" i="56" s="1"/>
  <c r="U16" i="56" s="1"/>
  <c r="BJ16" i="56" s="1"/>
  <c r="BR16" i="56" s="1"/>
  <c r="P12" i="57"/>
  <c r="P16" i="57"/>
  <c r="P22" i="57"/>
  <c r="M11" i="59"/>
  <c r="T11" i="59" s="1"/>
  <c r="U11" i="59" s="1"/>
  <c r="M15" i="50"/>
  <c r="O15" i="50" s="1"/>
  <c r="BG27" i="50"/>
  <c r="BI27" i="50" s="1"/>
  <c r="BK27" i="50" s="1"/>
  <c r="F29" i="50"/>
  <c r="O35" i="50"/>
  <c r="P39" i="50"/>
  <c r="P45" i="50"/>
  <c r="M46" i="50"/>
  <c r="O46" i="50" s="1"/>
  <c r="M49" i="50"/>
  <c r="O49" i="50" s="1"/>
  <c r="T49" i="50"/>
  <c r="U49" i="50" s="1"/>
  <c r="P50" i="50"/>
  <c r="O51" i="50"/>
  <c r="P56" i="50"/>
  <c r="M70" i="50"/>
  <c r="O70" i="50" s="1"/>
  <c r="T70" i="50"/>
  <c r="U70" i="50" s="1"/>
  <c r="BJ70" i="50" s="1"/>
  <c r="BQ70" i="50" s="1"/>
  <c r="P71" i="50"/>
  <c r="P72" i="50"/>
  <c r="L108" i="50"/>
  <c r="L110" i="50" s="1"/>
  <c r="J6" i="47" s="1"/>
  <c r="P87" i="50"/>
  <c r="AB108" i="50"/>
  <c r="AN108" i="50"/>
  <c r="AE108" i="50"/>
  <c r="BC108" i="50"/>
  <c r="P90" i="50"/>
  <c r="BG101" i="50"/>
  <c r="BI101" i="50" s="1"/>
  <c r="BK101" i="50" s="1"/>
  <c r="P7" i="51"/>
  <c r="AB82" i="51"/>
  <c r="X7" i="47" s="1"/>
  <c r="P12" i="51"/>
  <c r="M14" i="51"/>
  <c r="O14" i="51" s="1"/>
  <c r="P15" i="51"/>
  <c r="M36" i="51"/>
  <c r="T36" i="51" s="1"/>
  <c r="U36" i="51" s="1"/>
  <c r="M44" i="51"/>
  <c r="T44" i="51" s="1"/>
  <c r="U44" i="51" s="1"/>
  <c r="M51" i="51"/>
  <c r="T51" i="51" s="1"/>
  <c r="U51" i="51" s="1"/>
  <c r="BJ51" i="51" s="1"/>
  <c r="BR51" i="51" s="1"/>
  <c r="BG63" i="51"/>
  <c r="BI63" i="51" s="1"/>
  <c r="P67" i="51"/>
  <c r="M69" i="51"/>
  <c r="O69" i="51" s="1"/>
  <c r="P72" i="51"/>
  <c r="M76" i="51"/>
  <c r="O76" i="51" s="1"/>
  <c r="M78" i="51"/>
  <c r="O78" i="51" s="1"/>
  <c r="P80" i="51"/>
  <c r="AZ11" i="52"/>
  <c r="AF8" i="47" s="1"/>
  <c r="P9" i="52"/>
  <c r="E8" i="47"/>
  <c r="AN25" i="53"/>
  <c r="AW43" i="53"/>
  <c r="AW45" i="53" s="1"/>
  <c r="AE9" i="47" s="1"/>
  <c r="M31" i="53"/>
  <c r="O31" i="53" s="1"/>
  <c r="N45" i="53"/>
  <c r="L9" i="47" s="1"/>
  <c r="BG35" i="53"/>
  <c r="BI35" i="53" s="1"/>
  <c r="BL35" i="53" s="1"/>
  <c r="AQ28" i="54"/>
  <c r="AC10" i="47" s="1"/>
  <c r="BC28" i="54"/>
  <c r="AG10" i="47" s="1"/>
  <c r="P11" i="54"/>
  <c r="BG33" i="54"/>
  <c r="BI33" i="54" s="1"/>
  <c r="BL33" i="54" s="1"/>
  <c r="M35" i="54"/>
  <c r="T35" i="54" s="1"/>
  <c r="U35" i="54" s="1"/>
  <c r="BG35" i="54"/>
  <c r="BI35" i="54" s="1"/>
  <c r="BL35" i="54" s="1"/>
  <c r="A70" i="54"/>
  <c r="W60" i="54"/>
  <c r="P11" i="55"/>
  <c r="BG8" i="56"/>
  <c r="BI8" i="56" s="1"/>
  <c r="BL8" i="56" s="1"/>
  <c r="L12" i="56"/>
  <c r="H17" i="56"/>
  <c r="F14" i="47" s="1"/>
  <c r="T56" i="49"/>
  <c r="U56" i="49" s="1"/>
  <c r="AK101" i="49"/>
  <c r="D101" i="49"/>
  <c r="X122" i="49"/>
  <c r="V5" i="47" s="1"/>
  <c r="AW101" i="49"/>
  <c r="T113" i="49"/>
  <c r="U113" i="49" s="1"/>
  <c r="BJ113" i="49" s="1"/>
  <c r="BQ113" i="49" s="1"/>
  <c r="BF120" i="49"/>
  <c r="BC84" i="50"/>
  <c r="F8" i="50"/>
  <c r="Q84" i="50"/>
  <c r="Q110" i="50" s="1"/>
  <c r="S11" i="50"/>
  <c r="S84" i="50" s="1"/>
  <c r="BG21" i="50"/>
  <c r="BI21" i="50" s="1"/>
  <c r="BK21" i="50" s="1"/>
  <c r="T42" i="50"/>
  <c r="U42" i="50" s="1"/>
  <c r="BG42" i="50"/>
  <c r="BI42" i="50" s="1"/>
  <c r="BK42" i="50" s="1"/>
  <c r="U59" i="50"/>
  <c r="BG63" i="50"/>
  <c r="BI63" i="50" s="1"/>
  <c r="BK63" i="50" s="1"/>
  <c r="N84" i="50"/>
  <c r="BG87" i="50"/>
  <c r="BI87" i="50" s="1"/>
  <c r="T89" i="50"/>
  <c r="U89" i="50" s="1"/>
  <c r="BG89" i="50"/>
  <c r="BI89" i="50" s="1"/>
  <c r="BK89" i="50" s="1"/>
  <c r="BG93" i="50"/>
  <c r="BI93" i="50" s="1"/>
  <c r="BK93" i="50" s="1"/>
  <c r="T96" i="50"/>
  <c r="U96" i="50" s="1"/>
  <c r="BJ96" i="50" s="1"/>
  <c r="BQ96" i="50" s="1"/>
  <c r="BG96" i="50"/>
  <c r="BI96" i="50" s="1"/>
  <c r="BK96" i="50" s="1"/>
  <c r="BG105" i="50"/>
  <c r="BI105" i="50" s="1"/>
  <c r="BK105" i="50" s="1"/>
  <c r="AQ82" i="51"/>
  <c r="AC7" i="47" s="1"/>
  <c r="N82" i="51"/>
  <c r="L7" i="47" s="1"/>
  <c r="T13" i="51"/>
  <c r="U13" i="51" s="1"/>
  <c r="BG13" i="51"/>
  <c r="BI13" i="51" s="1"/>
  <c r="T24" i="51"/>
  <c r="U24" i="51" s="1"/>
  <c r="BG26" i="51"/>
  <c r="BI26" i="51" s="1"/>
  <c r="BG30" i="51"/>
  <c r="BI30" i="51" s="1"/>
  <c r="BG35" i="51"/>
  <c r="BI35" i="51" s="1"/>
  <c r="BG36" i="51"/>
  <c r="BI36" i="51" s="1"/>
  <c r="M37" i="51"/>
  <c r="O37" i="51" s="1"/>
  <c r="R82" i="51"/>
  <c r="M41" i="51"/>
  <c r="O41" i="51" s="1"/>
  <c r="T42" i="51"/>
  <c r="U42" i="51" s="1"/>
  <c r="BG43" i="51"/>
  <c r="BI43" i="51" s="1"/>
  <c r="BG44" i="51"/>
  <c r="BI44" i="51" s="1"/>
  <c r="M50" i="51"/>
  <c r="O50" i="51" s="1"/>
  <c r="T54" i="51"/>
  <c r="U54" i="51" s="1"/>
  <c r="BG65" i="51"/>
  <c r="BI65" i="51" s="1"/>
  <c r="BG67" i="51"/>
  <c r="BI67" i="51" s="1"/>
  <c r="BG73" i="51"/>
  <c r="BI73" i="51" s="1"/>
  <c r="O81" i="51"/>
  <c r="F81" i="51"/>
  <c r="L11" i="52"/>
  <c r="J8" i="47" s="1"/>
  <c r="K25" i="53"/>
  <c r="L7" i="53"/>
  <c r="AT25" i="53"/>
  <c r="M11" i="53"/>
  <c r="O11" i="53" s="1"/>
  <c r="BG13" i="53"/>
  <c r="BI13" i="53" s="1"/>
  <c r="BL13" i="53" s="1"/>
  <c r="M22" i="53"/>
  <c r="T22" i="53" s="1"/>
  <c r="U22" i="53" s="1"/>
  <c r="BF25" i="53"/>
  <c r="AK43" i="53"/>
  <c r="T37" i="53"/>
  <c r="U37" i="53" s="1"/>
  <c r="BJ37" i="53" s="1"/>
  <c r="BR37" i="53" s="1"/>
  <c r="M37" i="53"/>
  <c r="O37" i="53" s="1"/>
  <c r="BG40" i="53"/>
  <c r="BI40" i="53" s="1"/>
  <c r="BL40" i="53" s="1"/>
  <c r="AP45" i="53"/>
  <c r="AH28" i="54"/>
  <c r="Z10" i="47" s="1"/>
  <c r="BG7" i="54"/>
  <c r="BI7" i="54" s="1"/>
  <c r="BL7" i="54" s="1"/>
  <c r="P10" i="54"/>
  <c r="Q28" i="54"/>
  <c r="Q70" i="54" s="1"/>
  <c r="S13" i="54"/>
  <c r="S28" i="54" s="1"/>
  <c r="Q10" i="47" s="1"/>
  <c r="BG16" i="54"/>
  <c r="BI16" i="54" s="1"/>
  <c r="BL16" i="54" s="1"/>
  <c r="U25" i="54"/>
  <c r="BJ25" i="54" s="1"/>
  <c r="BR25" i="54" s="1"/>
  <c r="AB28" i="54"/>
  <c r="X10" i="47" s="1"/>
  <c r="BF28" i="54"/>
  <c r="AH10" i="47" s="1"/>
  <c r="S54" i="54"/>
  <c r="Q11" i="47" s="1"/>
  <c r="AH54" i="54"/>
  <c r="Z11" i="47" s="1"/>
  <c r="BF54" i="54"/>
  <c r="AH11" i="47" s="1"/>
  <c r="BG31" i="54"/>
  <c r="BI31" i="54" s="1"/>
  <c r="AE54" i="54"/>
  <c r="Y11" i="47" s="1"/>
  <c r="M36" i="54"/>
  <c r="O36" i="54" s="1"/>
  <c r="M39" i="54"/>
  <c r="T39" i="54" s="1"/>
  <c r="U39" i="54" s="1"/>
  <c r="P52" i="54"/>
  <c r="P53" i="54"/>
  <c r="T11" i="47"/>
  <c r="V70" i="54"/>
  <c r="T59" i="54"/>
  <c r="U59" i="54" s="1"/>
  <c r="H70" i="54"/>
  <c r="F12" i="47"/>
  <c r="N70" i="54"/>
  <c r="P6" i="55"/>
  <c r="AE20" i="55"/>
  <c r="Y13" i="47" s="1"/>
  <c r="BC20" i="55"/>
  <c r="AG13" i="47" s="1"/>
  <c r="P12" i="55"/>
  <c r="BG14" i="55"/>
  <c r="BI14" i="55" s="1"/>
  <c r="BK14" i="55" s="1"/>
  <c r="AH17" i="56"/>
  <c r="Z14" i="47" s="1"/>
  <c r="AT17" i="56"/>
  <c r="AD14" i="47" s="1"/>
  <c r="BF17" i="56"/>
  <c r="AH14" i="47" s="1"/>
  <c r="BG7" i="56"/>
  <c r="BI7" i="56" s="1"/>
  <c r="L11" i="56"/>
  <c r="BG10" i="57"/>
  <c r="BI10" i="57" s="1"/>
  <c r="BK10" i="57" s="1"/>
  <c r="BG7" i="58"/>
  <c r="BF19" i="59"/>
  <c r="AH17" i="47" s="1"/>
  <c r="BG7" i="59"/>
  <c r="BI7" i="59" s="1"/>
  <c r="L9" i="59"/>
  <c r="K19" i="59"/>
  <c r="M15" i="59"/>
  <c r="T15" i="59" s="1"/>
  <c r="U15" i="59" s="1"/>
  <c r="BG15" i="59"/>
  <c r="BI15" i="59" s="1"/>
  <c r="BK15" i="59" s="1"/>
  <c r="V16" i="59"/>
  <c r="BG18" i="59"/>
  <c r="T18" i="49"/>
  <c r="U18" i="49" s="1"/>
  <c r="BJ18" i="49" s="1"/>
  <c r="BQ18" i="49" s="1"/>
  <c r="T50" i="49"/>
  <c r="U50" i="49" s="1"/>
  <c r="V72" i="49"/>
  <c r="F76" i="49"/>
  <c r="F79" i="49"/>
  <c r="T84" i="49"/>
  <c r="U84" i="49" s="1"/>
  <c r="V97" i="49"/>
  <c r="P109" i="49"/>
  <c r="T117" i="49"/>
  <c r="U117" i="49" s="1"/>
  <c r="BJ117" i="49" s="1"/>
  <c r="BQ117" i="49" s="1"/>
  <c r="K120" i="49"/>
  <c r="M6" i="50"/>
  <c r="T6" i="50" s="1"/>
  <c r="AT84" i="50"/>
  <c r="BG6" i="50"/>
  <c r="BI6" i="50" s="1"/>
  <c r="M9" i="50"/>
  <c r="O9" i="50" s="1"/>
  <c r="BG9" i="50"/>
  <c r="BI9" i="50" s="1"/>
  <c r="BK9" i="50" s="1"/>
  <c r="O10" i="50"/>
  <c r="BG13" i="50"/>
  <c r="BI13" i="50" s="1"/>
  <c r="BK13" i="50" s="1"/>
  <c r="M30" i="50"/>
  <c r="O30" i="50" s="1"/>
  <c r="BG30" i="50"/>
  <c r="BI30" i="50" s="1"/>
  <c r="BK30" i="50" s="1"/>
  <c r="P34" i="50"/>
  <c r="M38" i="50"/>
  <c r="O38" i="50" s="1"/>
  <c r="BG38" i="50"/>
  <c r="BI38" i="50" s="1"/>
  <c r="BK38" i="50" s="1"/>
  <c r="BG44" i="50"/>
  <c r="BI44" i="50" s="1"/>
  <c r="BK44" i="50" s="1"/>
  <c r="BG55" i="50"/>
  <c r="BI55" i="50" s="1"/>
  <c r="BK55" i="50" s="1"/>
  <c r="M58" i="50"/>
  <c r="O58" i="50" s="1"/>
  <c r="BG65" i="50"/>
  <c r="BI65" i="50" s="1"/>
  <c r="BK65" i="50" s="1"/>
  <c r="BG71" i="50"/>
  <c r="BI71" i="50" s="1"/>
  <c r="BK71" i="50" s="1"/>
  <c r="BG72" i="50"/>
  <c r="BI72" i="50" s="1"/>
  <c r="BK72" i="50" s="1"/>
  <c r="D84" i="50"/>
  <c r="D110" i="50" s="1"/>
  <c r="B6" i="47" s="1"/>
  <c r="AZ108" i="50"/>
  <c r="M88" i="50"/>
  <c r="T88" i="50" s="1"/>
  <c r="U88" i="50" s="1"/>
  <c r="BJ88" i="50" s="1"/>
  <c r="BQ88" i="50" s="1"/>
  <c r="M95" i="50"/>
  <c r="T95" i="50" s="1"/>
  <c r="U95" i="50" s="1"/>
  <c r="BG98" i="50"/>
  <c r="BI98" i="50" s="1"/>
  <c r="BK98" i="50" s="1"/>
  <c r="BG100" i="50"/>
  <c r="BI100" i="50" s="1"/>
  <c r="BK100" i="50" s="1"/>
  <c r="V107" i="50"/>
  <c r="CB107" i="50" s="1"/>
  <c r="BG107" i="50"/>
  <c r="BI107" i="50" s="1"/>
  <c r="BK107" i="50" s="1"/>
  <c r="K108" i="50"/>
  <c r="L6" i="51"/>
  <c r="K82" i="51"/>
  <c r="AH82" i="51"/>
  <c r="Z7" i="47" s="1"/>
  <c r="AT82" i="51"/>
  <c r="AD7" i="47" s="1"/>
  <c r="BF82" i="51"/>
  <c r="AH7" i="47" s="1"/>
  <c r="AZ82" i="51"/>
  <c r="AF7" i="47" s="1"/>
  <c r="BG10" i="51"/>
  <c r="BI10" i="51" s="1"/>
  <c r="T11" i="51"/>
  <c r="U11" i="51" s="1"/>
  <c r="F18" i="51"/>
  <c r="BG21" i="51"/>
  <c r="BI21" i="51" s="1"/>
  <c r="F23" i="51"/>
  <c r="P26" i="51"/>
  <c r="O29" i="51"/>
  <c r="BG32" i="51"/>
  <c r="BI32" i="51" s="1"/>
  <c r="S40" i="51"/>
  <c r="S82" i="51" s="1"/>
  <c r="Q7" i="47" s="1"/>
  <c r="BG46" i="51"/>
  <c r="BI46" i="51" s="1"/>
  <c r="BG47" i="51"/>
  <c r="BI47" i="51" s="1"/>
  <c r="M48" i="51"/>
  <c r="T48" i="51" s="1"/>
  <c r="U48" i="51" s="1"/>
  <c r="O51" i="51"/>
  <c r="F51" i="51"/>
  <c r="BG56" i="51"/>
  <c r="BI56" i="51" s="1"/>
  <c r="O60" i="51"/>
  <c r="BG60" i="51"/>
  <c r="BI60" i="51" s="1"/>
  <c r="BG62" i="51"/>
  <c r="BI62" i="51" s="1"/>
  <c r="P65" i="51"/>
  <c r="P68" i="51"/>
  <c r="BG70" i="51"/>
  <c r="BI70" i="51" s="1"/>
  <c r="P73" i="51"/>
  <c r="BG75" i="51"/>
  <c r="BI75" i="51" s="1"/>
  <c r="BG76" i="51"/>
  <c r="BI76" i="51" s="1"/>
  <c r="O77" i="51"/>
  <c r="M79" i="51"/>
  <c r="O79" i="51" s="1"/>
  <c r="BG80" i="51"/>
  <c r="BI80" i="51" s="1"/>
  <c r="I82" i="51"/>
  <c r="G7" i="47" s="1"/>
  <c r="Q82" i="51"/>
  <c r="O7" i="47" s="1"/>
  <c r="AO82" i="51"/>
  <c r="BG7" i="52"/>
  <c r="BI7" i="52" s="1"/>
  <c r="BG9" i="52"/>
  <c r="AK25" i="53"/>
  <c r="BG7" i="53"/>
  <c r="BI7" i="53" s="1"/>
  <c r="BG9" i="53"/>
  <c r="BI9" i="53" s="1"/>
  <c r="O10" i="53"/>
  <c r="BG18" i="53"/>
  <c r="BI18" i="53" s="1"/>
  <c r="BL18" i="53" s="1"/>
  <c r="M19" i="53"/>
  <c r="T19" i="53" s="1"/>
  <c r="U19" i="53" s="1"/>
  <c r="BJ19" i="53" s="1"/>
  <c r="BR19" i="53" s="1"/>
  <c r="O20" i="53"/>
  <c r="O22" i="53"/>
  <c r="BG22" i="53"/>
  <c r="BI22" i="53" s="1"/>
  <c r="BL22" i="53" s="1"/>
  <c r="M32" i="53"/>
  <c r="T32" i="53" s="1"/>
  <c r="U32" i="53" s="1"/>
  <c r="BG32" i="53"/>
  <c r="BI32" i="53" s="1"/>
  <c r="BL32" i="53" s="1"/>
  <c r="P33" i="53"/>
  <c r="BG42" i="53"/>
  <c r="BI42" i="53" s="1"/>
  <c r="BL42" i="53" s="1"/>
  <c r="J45" i="53"/>
  <c r="H9" i="47" s="1"/>
  <c r="R45" i="53"/>
  <c r="P9" i="47" s="1"/>
  <c r="AC45" i="53"/>
  <c r="AL45" i="53"/>
  <c r="P7" i="54"/>
  <c r="P8" i="54"/>
  <c r="AZ28" i="54"/>
  <c r="AF10" i="47" s="1"/>
  <c r="T12" i="54"/>
  <c r="U12" i="54" s="1"/>
  <c r="BJ12" i="54" s="1"/>
  <c r="BR12" i="54" s="1"/>
  <c r="O21" i="54"/>
  <c r="T24" i="54"/>
  <c r="U24" i="54" s="1"/>
  <c r="BJ24" i="54" s="1"/>
  <c r="BR24" i="54" s="1"/>
  <c r="M24" i="54"/>
  <c r="O24" i="54" s="1"/>
  <c r="P26" i="54"/>
  <c r="BG32" i="54"/>
  <c r="BI32" i="54" s="1"/>
  <c r="BL32" i="54" s="1"/>
  <c r="O39" i="54"/>
  <c r="BG40" i="54"/>
  <c r="BI40" i="54" s="1"/>
  <c r="BL40" i="54" s="1"/>
  <c r="P42" i="54"/>
  <c r="BG42" i="54"/>
  <c r="BI42" i="54" s="1"/>
  <c r="BL42" i="54" s="1"/>
  <c r="BG43" i="54"/>
  <c r="BI43" i="54" s="1"/>
  <c r="BL43" i="54" s="1"/>
  <c r="P45" i="54"/>
  <c r="P46" i="54"/>
  <c r="P47" i="54"/>
  <c r="BG53" i="54"/>
  <c r="BI53" i="54" s="1"/>
  <c r="BL53" i="54" s="1"/>
  <c r="K67" i="54"/>
  <c r="M58" i="54"/>
  <c r="T58" i="54" s="1"/>
  <c r="U58" i="54" s="1"/>
  <c r="AQ67" i="54"/>
  <c r="AC12" i="47" s="1"/>
  <c r="L9" i="55"/>
  <c r="K20" i="55"/>
  <c r="I13" i="47" s="1"/>
  <c r="BG10" i="55"/>
  <c r="BI10" i="55" s="1"/>
  <c r="BK10" i="55" s="1"/>
  <c r="P17" i="55"/>
  <c r="P8" i="56"/>
  <c r="BG11" i="56"/>
  <c r="BI11" i="56" s="1"/>
  <c r="BL11" i="56" s="1"/>
  <c r="AH23" i="57"/>
  <c r="Z15" i="47" s="1"/>
  <c r="AT23" i="57"/>
  <c r="AD15" i="47" s="1"/>
  <c r="BF23" i="57"/>
  <c r="AH15" i="47" s="1"/>
  <c r="BG7" i="57"/>
  <c r="BI7" i="57" s="1"/>
  <c r="M8" i="57"/>
  <c r="T8" i="57" s="1"/>
  <c r="U8" i="57" s="1"/>
  <c r="BG8" i="57"/>
  <c r="BI8" i="57" s="1"/>
  <c r="BK8" i="57" s="1"/>
  <c r="V10" i="57"/>
  <c r="P18" i="57"/>
  <c r="BG21" i="57"/>
  <c r="BI21" i="57" s="1"/>
  <c r="BK21" i="57" s="1"/>
  <c r="BA19" i="59"/>
  <c r="BC8" i="59"/>
  <c r="BC19" i="59" s="1"/>
  <c r="AG17" i="47" s="1"/>
  <c r="K73" i="49"/>
  <c r="L7" i="49"/>
  <c r="S73" i="49"/>
  <c r="F31" i="49"/>
  <c r="G73" i="49"/>
  <c r="P32" i="49"/>
  <c r="M49" i="49"/>
  <c r="O49" i="49" s="1"/>
  <c r="F56" i="49"/>
  <c r="BM56" i="49"/>
  <c r="M59" i="49"/>
  <c r="O59" i="49" s="1"/>
  <c r="BM63" i="49"/>
  <c r="O66" i="49"/>
  <c r="F66" i="49"/>
  <c r="BM70" i="49"/>
  <c r="M81" i="49"/>
  <c r="T81" i="49" s="1"/>
  <c r="U81" i="49" s="1"/>
  <c r="BJ81" i="49" s="1"/>
  <c r="BQ81" i="49" s="1"/>
  <c r="M83" i="49"/>
  <c r="O83" i="49" s="1"/>
  <c r="BM106" i="49"/>
  <c r="O113" i="49"/>
  <c r="BM113" i="49"/>
  <c r="M116" i="49"/>
  <c r="O116" i="49" s="1"/>
  <c r="H122" i="49"/>
  <c r="BD122" i="49"/>
  <c r="M18" i="50"/>
  <c r="O18" i="50" s="1"/>
  <c r="BG18" i="50"/>
  <c r="BI18" i="50" s="1"/>
  <c r="BK18" i="50" s="1"/>
  <c r="M23" i="50"/>
  <c r="O23" i="50" s="1"/>
  <c r="BG29" i="50"/>
  <c r="BI29" i="50" s="1"/>
  <c r="BK29" i="50" s="1"/>
  <c r="BG35" i="50"/>
  <c r="BI35" i="50" s="1"/>
  <c r="BK35" i="50" s="1"/>
  <c r="M37" i="50"/>
  <c r="T37" i="50" s="1"/>
  <c r="U37" i="50" s="1"/>
  <c r="BJ37" i="50" s="1"/>
  <c r="BQ37" i="50" s="1"/>
  <c r="BG40" i="50"/>
  <c r="BI40" i="50" s="1"/>
  <c r="BK40" i="50" s="1"/>
  <c r="O42" i="50"/>
  <c r="M57" i="50"/>
  <c r="O57" i="50" s="1"/>
  <c r="BG57" i="50"/>
  <c r="BI57" i="50" s="1"/>
  <c r="BK57" i="50" s="1"/>
  <c r="O59" i="50"/>
  <c r="M60" i="50"/>
  <c r="O60" i="50" s="1"/>
  <c r="BG60" i="50"/>
  <c r="BI60" i="50" s="1"/>
  <c r="BK60" i="50" s="1"/>
  <c r="BG67" i="50"/>
  <c r="BI67" i="50" s="1"/>
  <c r="BK67" i="50" s="1"/>
  <c r="BG68" i="50"/>
  <c r="BI68" i="50" s="1"/>
  <c r="BK68" i="50" s="1"/>
  <c r="BG74" i="50"/>
  <c r="BI74" i="50" s="1"/>
  <c r="BK74" i="50" s="1"/>
  <c r="P76" i="50"/>
  <c r="BG77" i="50"/>
  <c r="BI77" i="50" s="1"/>
  <c r="BK77" i="50" s="1"/>
  <c r="O79" i="50"/>
  <c r="O81" i="50"/>
  <c r="U81" i="50"/>
  <c r="BG83" i="50"/>
  <c r="BI83" i="50" s="1"/>
  <c r="BK83" i="50" s="1"/>
  <c r="K84" i="50"/>
  <c r="R84" i="50"/>
  <c r="R110" i="50" s="1"/>
  <c r="BD84" i="50"/>
  <c r="BD110" i="50" s="1"/>
  <c r="AQ108" i="50"/>
  <c r="O89" i="50"/>
  <c r="T93" i="50"/>
  <c r="U93" i="50" s="1"/>
  <c r="O96" i="50"/>
  <c r="BG99" i="50"/>
  <c r="BI99" i="50" s="1"/>
  <c r="BK99" i="50" s="1"/>
  <c r="X110" i="50"/>
  <c r="V6" i="47" s="1"/>
  <c r="AF110" i="50"/>
  <c r="R137" i="50"/>
  <c r="BG6" i="51"/>
  <c r="BI6" i="51" s="1"/>
  <c r="M8" i="51"/>
  <c r="T8" i="51" s="1"/>
  <c r="U8" i="51" s="1"/>
  <c r="BJ8" i="51" s="1"/>
  <c r="BR8" i="51" s="1"/>
  <c r="O9" i="51"/>
  <c r="O13" i="51"/>
  <c r="O16" i="51"/>
  <c r="F16" i="51"/>
  <c r="T17" i="51"/>
  <c r="U17" i="51" s="1"/>
  <c r="BG17" i="51"/>
  <c r="BI17" i="51" s="1"/>
  <c r="O20" i="51"/>
  <c r="F20" i="51"/>
  <c r="BG22" i="51"/>
  <c r="BI22" i="51" s="1"/>
  <c r="BG23" i="51"/>
  <c r="BI23" i="51" s="1"/>
  <c r="O24" i="51"/>
  <c r="T27" i="51"/>
  <c r="U27" i="51" s="1"/>
  <c r="BG27" i="51"/>
  <c r="BI27" i="51" s="1"/>
  <c r="M30" i="51"/>
  <c r="M33" i="51"/>
  <c r="O33" i="51" s="1"/>
  <c r="O38" i="51"/>
  <c r="F42" i="51"/>
  <c r="P45" i="51"/>
  <c r="P49" i="51"/>
  <c r="M52" i="51"/>
  <c r="O52" i="51" s="1"/>
  <c r="BG52" i="51"/>
  <c r="BI52" i="51" s="1"/>
  <c r="M53" i="51"/>
  <c r="O53" i="51" s="1"/>
  <c r="M54" i="51"/>
  <c r="O54" i="51" s="1"/>
  <c r="BG59" i="51"/>
  <c r="BI59" i="51" s="1"/>
  <c r="P61" i="51"/>
  <c r="P62" i="51"/>
  <c r="P66" i="51"/>
  <c r="M70" i="51"/>
  <c r="O70" i="51" s="1"/>
  <c r="O71" i="51"/>
  <c r="P74" i="51"/>
  <c r="BG78" i="51"/>
  <c r="BI78" i="51" s="1"/>
  <c r="BG81" i="51"/>
  <c r="BI81" i="51" s="1"/>
  <c r="P7" i="52"/>
  <c r="P8" i="53"/>
  <c r="P9" i="53"/>
  <c r="G25" i="53"/>
  <c r="G45" i="53" s="1"/>
  <c r="M15" i="53"/>
  <c r="O15" i="53" s="1"/>
  <c r="BG19" i="53"/>
  <c r="BI19" i="53" s="1"/>
  <c r="BL19" i="53" s="1"/>
  <c r="BG20" i="53"/>
  <c r="BI20" i="53" s="1"/>
  <c r="BL20" i="53" s="1"/>
  <c r="P23" i="53"/>
  <c r="AQ43" i="53"/>
  <c r="BC43" i="53"/>
  <c r="AN43" i="53"/>
  <c r="M34" i="53"/>
  <c r="O34" i="53" s="1"/>
  <c r="M38" i="53"/>
  <c r="O38" i="53" s="1"/>
  <c r="BG39" i="53"/>
  <c r="BI39" i="53" s="1"/>
  <c r="BL39" i="53" s="1"/>
  <c r="P40" i="53"/>
  <c r="M40" i="53" s="1"/>
  <c r="O40" i="53" s="1"/>
  <c r="P42" i="53"/>
  <c r="M42" i="53" s="1"/>
  <c r="O42" i="53" s="1"/>
  <c r="AD45" i="53"/>
  <c r="AH45" i="53"/>
  <c r="Z9" i="47" s="1"/>
  <c r="BG10" i="54"/>
  <c r="BI10" i="54" s="1"/>
  <c r="BL10" i="54" s="1"/>
  <c r="BG13" i="54"/>
  <c r="BI13" i="54" s="1"/>
  <c r="BL13" i="54" s="1"/>
  <c r="P15" i="54"/>
  <c r="AC28" i="54"/>
  <c r="AE15" i="54"/>
  <c r="BG15" i="54" s="1"/>
  <c r="BI15" i="54" s="1"/>
  <c r="BL15" i="54" s="1"/>
  <c r="M17" i="54"/>
  <c r="O17" i="54" s="1"/>
  <c r="BG21" i="54"/>
  <c r="BI21" i="54" s="1"/>
  <c r="BL21" i="54" s="1"/>
  <c r="T22" i="54"/>
  <c r="U22" i="54" s="1"/>
  <c r="O23" i="54"/>
  <c r="BG26" i="54"/>
  <c r="BI26" i="54" s="1"/>
  <c r="BL26" i="54" s="1"/>
  <c r="K28" i="54"/>
  <c r="I10" i="47" s="1"/>
  <c r="K54" i="54"/>
  <c r="I11" i="47" s="1"/>
  <c r="L31" i="54"/>
  <c r="AN54" i="54"/>
  <c r="AB11" i="47" s="1"/>
  <c r="O35" i="54"/>
  <c r="P40" i="54"/>
  <c r="M43" i="54"/>
  <c r="O43" i="54" s="1"/>
  <c r="BG47" i="54"/>
  <c r="BI47" i="54" s="1"/>
  <c r="BL47" i="54" s="1"/>
  <c r="P49" i="54"/>
  <c r="L57" i="54"/>
  <c r="BG59" i="54"/>
  <c r="BI59" i="54" s="1"/>
  <c r="T61" i="54"/>
  <c r="U61" i="54" s="1"/>
  <c r="BG62" i="54"/>
  <c r="BI62" i="54" s="1"/>
  <c r="P64" i="54"/>
  <c r="P65" i="54"/>
  <c r="AK20" i="55"/>
  <c r="AA13" i="47" s="1"/>
  <c r="AW20" i="55"/>
  <c r="AE13" i="47" s="1"/>
  <c r="BG6" i="55"/>
  <c r="BI6" i="55" s="1"/>
  <c r="BK6" i="55" s="1"/>
  <c r="AH20" i="55"/>
  <c r="Z13" i="47" s="1"/>
  <c r="AT20" i="55"/>
  <c r="AD13" i="47" s="1"/>
  <c r="BF20" i="55"/>
  <c r="AH13" i="47" s="1"/>
  <c r="BG7" i="55"/>
  <c r="BI7" i="55" s="1"/>
  <c r="BK7" i="55" s="1"/>
  <c r="M8" i="55"/>
  <c r="T8" i="55" s="1"/>
  <c r="U8" i="55" s="1"/>
  <c r="BJ8" i="55" s="1"/>
  <c r="BQ8" i="55" s="1"/>
  <c r="AN20" i="55"/>
  <c r="AB13" i="47" s="1"/>
  <c r="M19" i="55"/>
  <c r="O19" i="55" s="1"/>
  <c r="P7" i="56"/>
  <c r="O7" i="56"/>
  <c r="BG13" i="56"/>
  <c r="BI13" i="56" s="1"/>
  <c r="BL13" i="56" s="1"/>
  <c r="F10" i="59"/>
  <c r="O11" i="59"/>
  <c r="T17" i="59"/>
  <c r="U17" i="59" s="1"/>
  <c r="BJ17" i="59" s="1"/>
  <c r="BQ17" i="59" s="1"/>
  <c r="T48" i="54"/>
  <c r="U48" i="54" s="1"/>
  <c r="BG48" i="54"/>
  <c r="BI48" i="54" s="1"/>
  <c r="BL48" i="54" s="1"/>
  <c r="O51" i="54"/>
  <c r="F58" i="54"/>
  <c r="AE67" i="54"/>
  <c r="Y12" i="47" s="1"/>
  <c r="O60" i="54"/>
  <c r="AQ20" i="55"/>
  <c r="AC13" i="47" s="1"/>
  <c r="D20" i="55"/>
  <c r="B13" i="47" s="1"/>
  <c r="F7" i="55"/>
  <c r="F8" i="55"/>
  <c r="N20" i="55"/>
  <c r="L13" i="47" s="1"/>
  <c r="P10" i="55"/>
  <c r="P14" i="55"/>
  <c r="M18" i="55"/>
  <c r="O18" i="55" s="1"/>
  <c r="R38" i="55"/>
  <c r="K23" i="57"/>
  <c r="L7" i="57"/>
  <c r="BG11" i="57"/>
  <c r="BI11" i="57" s="1"/>
  <c r="BK11" i="57" s="1"/>
  <c r="BG15" i="57"/>
  <c r="BI15" i="57" s="1"/>
  <c r="BK15" i="57" s="1"/>
  <c r="BG16" i="57"/>
  <c r="BI16" i="57" s="1"/>
  <c r="BK16" i="57" s="1"/>
  <c r="AK19" i="59"/>
  <c r="AA17" i="47" s="1"/>
  <c r="O16" i="59"/>
  <c r="F16" i="59"/>
  <c r="AK84" i="50"/>
  <c r="AW84" i="50"/>
  <c r="BG78" i="50"/>
  <c r="BI78" i="50" s="1"/>
  <c r="BK78" i="50" s="1"/>
  <c r="F108" i="50"/>
  <c r="N108" i="50"/>
  <c r="AH108" i="50"/>
  <c r="AT108" i="50"/>
  <c r="BF108" i="50"/>
  <c r="H110" i="50"/>
  <c r="F6" i="47" s="1"/>
  <c r="AV110" i="50"/>
  <c r="J82" i="51"/>
  <c r="H7" i="47" s="1"/>
  <c r="BG11" i="51"/>
  <c r="BI11" i="51" s="1"/>
  <c r="BG18" i="51"/>
  <c r="BI18" i="51" s="1"/>
  <c r="BG34" i="51"/>
  <c r="BI34" i="51" s="1"/>
  <c r="O39" i="51"/>
  <c r="F39" i="51"/>
  <c r="P40" i="51"/>
  <c r="BG42" i="51"/>
  <c r="BI42" i="51" s="1"/>
  <c r="BG54" i="51"/>
  <c r="BI54" i="51" s="1"/>
  <c r="P59" i="51"/>
  <c r="BG79" i="51"/>
  <c r="BI79" i="51" s="1"/>
  <c r="U81" i="51"/>
  <c r="BG8" i="52"/>
  <c r="BG16" i="53"/>
  <c r="BI16" i="53" s="1"/>
  <c r="BL16" i="53" s="1"/>
  <c r="K43" i="53"/>
  <c r="L28" i="53"/>
  <c r="S43" i="53"/>
  <c r="BG30" i="53"/>
  <c r="BI30" i="53" s="1"/>
  <c r="BL30" i="53" s="1"/>
  <c r="O39" i="53"/>
  <c r="O41" i="53"/>
  <c r="BG41" i="53"/>
  <c r="BI41" i="53" s="1"/>
  <c r="BL41" i="53" s="1"/>
  <c r="V45" i="53"/>
  <c r="T9" i="47" s="1"/>
  <c r="AS45" i="53"/>
  <c r="F28" i="54"/>
  <c r="D10" i="47" s="1"/>
  <c r="M19" i="54"/>
  <c r="O19" i="54" s="1"/>
  <c r="BG22" i="54"/>
  <c r="BI22" i="54" s="1"/>
  <c r="BL22" i="54" s="1"/>
  <c r="AK54" i="54"/>
  <c r="AA11" i="47" s="1"/>
  <c r="AW54" i="54"/>
  <c r="AE11" i="47" s="1"/>
  <c r="M33" i="54"/>
  <c r="BG49" i="54"/>
  <c r="BI49" i="54" s="1"/>
  <c r="BL49" i="54" s="1"/>
  <c r="BG50" i="54"/>
  <c r="BI50" i="54" s="1"/>
  <c r="BL50" i="54" s="1"/>
  <c r="BG52" i="54"/>
  <c r="BI52" i="54" s="1"/>
  <c r="BL52" i="54" s="1"/>
  <c r="S67" i="54"/>
  <c r="BF67" i="54"/>
  <c r="AH12" i="47" s="1"/>
  <c r="BG57" i="54"/>
  <c r="BI57" i="54" s="1"/>
  <c r="BL57" i="54" s="1"/>
  <c r="BG58" i="54"/>
  <c r="BI58" i="54" s="1"/>
  <c r="O59" i="54"/>
  <c r="BG65" i="54"/>
  <c r="BI65" i="54" s="1"/>
  <c r="R70" i="54"/>
  <c r="X70" i="54"/>
  <c r="S20" i="55"/>
  <c r="Q13" i="47" s="1"/>
  <c r="M13" i="55"/>
  <c r="O13" i="55" s="1"/>
  <c r="BG15" i="55"/>
  <c r="BI15" i="55" s="1"/>
  <c r="BK15" i="55" s="1"/>
  <c r="P16" i="55"/>
  <c r="BG17" i="55"/>
  <c r="BI17" i="55" s="1"/>
  <c r="BK17" i="55" s="1"/>
  <c r="AZ18" i="55"/>
  <c r="BG18" i="55" s="1"/>
  <c r="BI18" i="55" s="1"/>
  <c r="BK18" i="55" s="1"/>
  <c r="BG19" i="55"/>
  <c r="BI19" i="55" s="1"/>
  <c r="BK19" i="55" s="1"/>
  <c r="P10" i="56"/>
  <c r="T10" i="56" s="1"/>
  <c r="U10" i="56" s="1"/>
  <c r="P15" i="56"/>
  <c r="O8" i="57"/>
  <c r="O10" i="57"/>
  <c r="M13" i="57"/>
  <c r="O13" i="57" s="1"/>
  <c r="P21" i="57"/>
  <c r="AB19" i="59"/>
  <c r="X17" i="47" s="1"/>
  <c r="AN19" i="59"/>
  <c r="AB17" i="47" s="1"/>
  <c r="AZ19" i="59"/>
  <c r="AF17" i="47" s="1"/>
  <c r="M8" i="59"/>
  <c r="O8" i="59" s="1"/>
  <c r="AW19" i="59"/>
  <c r="AE17" i="47" s="1"/>
  <c r="M10" i="59"/>
  <c r="T10" i="59" s="1"/>
  <c r="U10" i="59" s="1"/>
  <c r="BJ10" i="59" s="1"/>
  <c r="P18" i="59"/>
  <c r="AQ25" i="53"/>
  <c r="BC25" i="53"/>
  <c r="AX45" i="53"/>
  <c r="BB45" i="53"/>
  <c r="AK28" i="54"/>
  <c r="AA10" i="47" s="1"/>
  <c r="AW28" i="54"/>
  <c r="AE10" i="47" s="1"/>
  <c r="BG12" i="54"/>
  <c r="BI12" i="54" s="1"/>
  <c r="BL12" i="54" s="1"/>
  <c r="BG19" i="54"/>
  <c r="BI19" i="54" s="1"/>
  <c r="BL19" i="54" s="1"/>
  <c r="BG37" i="54"/>
  <c r="BI37" i="54" s="1"/>
  <c r="BL37" i="54" s="1"/>
  <c r="BG44" i="54"/>
  <c r="BI44" i="54" s="1"/>
  <c r="BL44" i="54" s="1"/>
  <c r="AK67" i="54"/>
  <c r="AA12" i="47" s="1"/>
  <c r="AW67" i="54"/>
  <c r="AE12" i="47" s="1"/>
  <c r="F61" i="54"/>
  <c r="F67" i="54" s="1"/>
  <c r="BG63" i="54"/>
  <c r="BI63" i="54" s="1"/>
  <c r="Q77" i="54"/>
  <c r="BG16" i="55"/>
  <c r="BI16" i="55" s="1"/>
  <c r="BK16" i="55" s="1"/>
  <c r="AQ17" i="56"/>
  <c r="AC14" i="47" s="1"/>
  <c r="AZ17" i="56"/>
  <c r="AF14" i="47" s="1"/>
  <c r="I17" i="56"/>
  <c r="G14" i="47" s="1"/>
  <c r="K13" i="56"/>
  <c r="L13" i="56" s="1"/>
  <c r="AK23" i="57"/>
  <c r="AA15" i="47" s="1"/>
  <c r="AW23" i="57"/>
  <c r="AE15" i="47" s="1"/>
  <c r="P11" i="57"/>
  <c r="T20" i="57"/>
  <c r="U20" i="57" s="1"/>
  <c r="BJ20" i="57" s="1"/>
  <c r="BQ20" i="57" s="1"/>
  <c r="T6" i="58"/>
  <c r="P9" i="58"/>
  <c r="P7" i="59"/>
  <c r="F9" i="59"/>
  <c r="F19" i="59" s="1"/>
  <c r="D17" i="47" s="1"/>
  <c r="D19" i="59"/>
  <c r="B17" i="47" s="1"/>
  <c r="M12" i="59"/>
  <c r="O12" i="59" s="1"/>
  <c r="AQ14" i="59"/>
  <c r="BG14" i="59" s="1"/>
  <c r="BI14" i="59" s="1"/>
  <c r="BK14" i="59" s="1"/>
  <c r="AO19" i="59"/>
  <c r="BG12" i="55"/>
  <c r="BI12" i="55" s="1"/>
  <c r="BK12" i="55" s="1"/>
  <c r="R31" i="55"/>
  <c r="F17" i="56"/>
  <c r="D14" i="47" s="1"/>
  <c r="BG14" i="56"/>
  <c r="BI14" i="56" s="1"/>
  <c r="BL14" i="56" s="1"/>
  <c r="AB23" i="57"/>
  <c r="X15" i="47" s="1"/>
  <c r="AN23" i="57"/>
  <c r="AB15" i="47" s="1"/>
  <c r="AZ23" i="57"/>
  <c r="AF15" i="47" s="1"/>
  <c r="P15" i="57"/>
  <c r="BG18" i="57"/>
  <c r="BI18" i="57" s="1"/>
  <c r="BK18" i="57" s="1"/>
  <c r="M19" i="57"/>
  <c r="O19" i="57" s="1"/>
  <c r="O6" i="58"/>
  <c r="F6" i="58"/>
  <c r="D9" i="58"/>
  <c r="B16" i="47" s="1"/>
  <c r="M7" i="58"/>
  <c r="O7" i="58" s="1"/>
  <c r="F8" i="58"/>
  <c r="BG9" i="59"/>
  <c r="BI9" i="59" s="1"/>
  <c r="P14" i="59"/>
  <c r="AE23" i="57"/>
  <c r="Y15" i="47" s="1"/>
  <c r="AQ23" i="57"/>
  <c r="AC15" i="47" s="1"/>
  <c r="BC23" i="57"/>
  <c r="AG15" i="47" s="1"/>
  <c r="BG17" i="57"/>
  <c r="BI17" i="57" s="1"/>
  <c r="BK17" i="57" s="1"/>
  <c r="O20" i="57"/>
  <c r="BG11" i="59"/>
  <c r="BI11" i="59" s="1"/>
  <c r="BG17" i="59"/>
  <c r="BI17" i="59" s="1"/>
  <c r="BK17" i="59" s="1"/>
  <c r="AT9" i="58"/>
  <c r="AD16" i="47" s="1"/>
  <c r="BF9" i="58"/>
  <c r="AH16" i="47" s="1"/>
  <c r="BG13" i="59"/>
  <c r="BI13" i="59" s="1"/>
  <c r="BK13" i="59" l="1"/>
  <c r="BJ11" i="59"/>
  <c r="BQ11" i="59" s="1"/>
  <c r="BK11" i="59"/>
  <c r="BK7" i="59"/>
  <c r="BJ16" i="59"/>
  <c r="BQ16" i="59" s="1"/>
  <c r="BK16" i="59"/>
  <c r="BR10" i="59"/>
  <c r="BQ10" i="59"/>
  <c r="T8" i="59"/>
  <c r="U8" i="59" s="1"/>
  <c r="BJ15" i="59"/>
  <c r="BQ15" i="59" s="1"/>
  <c r="BK9" i="59"/>
  <c r="O15" i="59"/>
  <c r="BG8" i="59"/>
  <c r="BI8" i="59" s="1"/>
  <c r="BK8" i="59" s="1"/>
  <c r="O10" i="59"/>
  <c r="T13" i="59"/>
  <c r="U13" i="59" s="1"/>
  <c r="V13" i="59" s="1"/>
  <c r="BG9" i="58"/>
  <c r="AI16" i="47" s="1"/>
  <c r="BI7" i="58"/>
  <c r="BM8" i="58"/>
  <c r="BM9" i="58" s="1"/>
  <c r="AO16" i="47" s="1"/>
  <c r="BJ8" i="57"/>
  <c r="BQ8" i="57" s="1"/>
  <c r="BJ10" i="57"/>
  <c r="BQ10" i="57" s="1"/>
  <c r="V17" i="57"/>
  <c r="BJ17" i="57"/>
  <c r="BQ17" i="57" s="1"/>
  <c r="BI23" i="57"/>
  <c r="AK15" i="47" s="1"/>
  <c r="BK7" i="57"/>
  <c r="BK23" i="57" s="1"/>
  <c r="AM15" i="47" s="1"/>
  <c r="O8" i="55"/>
  <c r="BL7" i="56"/>
  <c r="BL17" i="56" s="1"/>
  <c r="AN14" i="47" s="1"/>
  <c r="BI17" i="56"/>
  <c r="AK14" i="47" s="1"/>
  <c r="BJ10" i="56"/>
  <c r="BR10" i="56" s="1"/>
  <c r="O16" i="56"/>
  <c r="T14" i="56"/>
  <c r="U14" i="56" s="1"/>
  <c r="BJ58" i="54"/>
  <c r="BR58" i="54" s="1"/>
  <c r="BL58" i="54"/>
  <c r="BJ59" i="54"/>
  <c r="BR59" i="54" s="1"/>
  <c r="BL59" i="54"/>
  <c r="BL28" i="54"/>
  <c r="AN10" i="47" s="1"/>
  <c r="BJ35" i="54"/>
  <c r="BR35" i="54" s="1"/>
  <c r="BJ14" i="54"/>
  <c r="BR14" i="54" s="1"/>
  <c r="BJ61" i="54"/>
  <c r="BR61" i="54" s="1"/>
  <c r="BL61" i="54"/>
  <c r="T19" i="54"/>
  <c r="U19" i="54" s="1"/>
  <c r="BJ19" i="54" s="1"/>
  <c r="BR19" i="54" s="1"/>
  <c r="BJ48" i="54"/>
  <c r="BR48" i="54" s="1"/>
  <c r="T17" i="54"/>
  <c r="U17" i="54" s="1"/>
  <c r="BJ17" i="54" s="1"/>
  <c r="BR17" i="54" s="1"/>
  <c r="BL31" i="54"/>
  <c r="BL54" i="54" s="1"/>
  <c r="AN11" i="47" s="1"/>
  <c r="BI54" i="54"/>
  <c r="AK11" i="47" s="1"/>
  <c r="BJ23" i="54"/>
  <c r="BR23" i="54" s="1"/>
  <c r="BJ44" i="54"/>
  <c r="BR44" i="54" s="1"/>
  <c r="BJ60" i="54"/>
  <c r="BR60" i="54" s="1"/>
  <c r="BL60" i="54"/>
  <c r="BJ63" i="54"/>
  <c r="BR63" i="54" s="1"/>
  <c r="BL63" i="54"/>
  <c r="BL65" i="54"/>
  <c r="O58" i="54"/>
  <c r="BJ62" i="54"/>
  <c r="BR62" i="54" s="1"/>
  <c r="BL62" i="54"/>
  <c r="O50" i="54"/>
  <c r="BJ22" i="54"/>
  <c r="BR22" i="54" s="1"/>
  <c r="BJ39" i="54"/>
  <c r="BR39" i="54" s="1"/>
  <c r="BJ21" i="54"/>
  <c r="BR21" i="54" s="1"/>
  <c r="BJ64" i="54"/>
  <c r="BR64" i="54" s="1"/>
  <c r="BL64" i="54"/>
  <c r="T37" i="54"/>
  <c r="U37" i="54" s="1"/>
  <c r="BJ32" i="53"/>
  <c r="BR32" i="53" s="1"/>
  <c r="O19" i="53"/>
  <c r="BJ30" i="53"/>
  <c r="BR30" i="53" s="1"/>
  <c r="BJ42" i="53"/>
  <c r="BR42" i="53" s="1"/>
  <c r="BL9" i="53"/>
  <c r="BL28" i="53"/>
  <c r="BL43" i="53" s="1"/>
  <c r="BI43" i="53"/>
  <c r="T15" i="53"/>
  <c r="U15" i="53" s="1"/>
  <c r="BJ15" i="53" s="1"/>
  <c r="BR15" i="53" s="1"/>
  <c r="BJ40" i="53"/>
  <c r="BR40" i="53" s="1"/>
  <c r="T38" i="53"/>
  <c r="U38" i="53" s="1"/>
  <c r="BJ38" i="53" s="1"/>
  <c r="BR38" i="53" s="1"/>
  <c r="BL7" i="53"/>
  <c r="BI25" i="53"/>
  <c r="BJ22" i="53"/>
  <c r="BR22" i="53" s="1"/>
  <c r="T31" i="53"/>
  <c r="U31" i="53" s="1"/>
  <c r="BJ31" i="53" s="1"/>
  <c r="BR31" i="53" s="1"/>
  <c r="F45" i="53"/>
  <c r="D9" i="47" s="1"/>
  <c r="BJ41" i="53"/>
  <c r="BR41" i="53" s="1"/>
  <c r="BJ39" i="53"/>
  <c r="BR39" i="53" s="1"/>
  <c r="BL7" i="52"/>
  <c r="BL11" i="52" s="1"/>
  <c r="AN8" i="47" s="1"/>
  <c r="BI11" i="52"/>
  <c r="AK8" i="47" s="1"/>
  <c r="W38" i="51"/>
  <c r="BJ38" i="51"/>
  <c r="BR38" i="51" s="1"/>
  <c r="BJ54" i="51"/>
  <c r="BR54" i="51" s="1"/>
  <c r="BL54" i="51"/>
  <c r="BL52" i="51"/>
  <c r="BJ23" i="51"/>
  <c r="BR23" i="51" s="1"/>
  <c r="BL23" i="51"/>
  <c r="BJ17" i="51"/>
  <c r="BR17" i="51" s="1"/>
  <c r="BL17" i="51"/>
  <c r="BL70" i="51"/>
  <c r="BJ60" i="51"/>
  <c r="BR60" i="51" s="1"/>
  <c r="BL60" i="51"/>
  <c r="BL46" i="51"/>
  <c r="BL73" i="51"/>
  <c r="BJ36" i="51"/>
  <c r="BR36" i="51" s="1"/>
  <c r="BL36" i="51"/>
  <c r="BL26" i="51"/>
  <c r="BL19" i="51"/>
  <c r="BL15" i="51"/>
  <c r="BL72" i="51"/>
  <c r="BL45" i="51"/>
  <c r="BJ14" i="51"/>
  <c r="BR14" i="51" s="1"/>
  <c r="BL14" i="51"/>
  <c r="BJ71" i="51"/>
  <c r="BR71" i="51" s="1"/>
  <c r="BL71" i="51"/>
  <c r="BJ42" i="51"/>
  <c r="BR42" i="51" s="1"/>
  <c r="BL42" i="51"/>
  <c r="BL34" i="51"/>
  <c r="BJ81" i="51"/>
  <c r="BR81" i="51" s="1"/>
  <c r="BL81" i="51"/>
  <c r="BL59" i="51"/>
  <c r="BJ27" i="51"/>
  <c r="BR27" i="51" s="1"/>
  <c r="BL27" i="51"/>
  <c r="BJ22" i="51"/>
  <c r="BR22" i="51" s="1"/>
  <c r="BL22" i="51"/>
  <c r="BL76" i="51"/>
  <c r="F82" i="51"/>
  <c r="D7" i="47" s="1"/>
  <c r="BL67" i="51"/>
  <c r="BJ35" i="51"/>
  <c r="BR35" i="51" s="1"/>
  <c r="BL35" i="51"/>
  <c r="BJ63" i="51"/>
  <c r="BR63" i="51" s="1"/>
  <c r="BL63" i="51"/>
  <c r="BJ48" i="51"/>
  <c r="BR48" i="51" s="1"/>
  <c r="BL48" i="51"/>
  <c r="BL7" i="51"/>
  <c r="BL28" i="51"/>
  <c r="BL64" i="51"/>
  <c r="BJ31" i="51"/>
  <c r="BR31" i="51" s="1"/>
  <c r="BL31" i="51"/>
  <c r="BJ39" i="51"/>
  <c r="BR39" i="51" s="1"/>
  <c r="BL39" i="51"/>
  <c r="BL69" i="51"/>
  <c r="BL79" i="51"/>
  <c r="BJ18" i="51"/>
  <c r="BR18" i="51" s="1"/>
  <c r="BL18" i="51"/>
  <c r="BL78" i="51"/>
  <c r="BL80" i="51"/>
  <c r="BL75" i="51"/>
  <c r="BJ56" i="51"/>
  <c r="BR56" i="51" s="1"/>
  <c r="BL56" i="51"/>
  <c r="BJ47" i="51"/>
  <c r="BR47" i="51" s="1"/>
  <c r="BL47" i="51"/>
  <c r="BL32" i="51"/>
  <c r="O23" i="51"/>
  <c r="BL65" i="51"/>
  <c r="BJ44" i="51"/>
  <c r="BR44" i="51" s="1"/>
  <c r="BL44" i="51"/>
  <c r="T34" i="51"/>
  <c r="U34" i="51" s="1"/>
  <c r="BJ34" i="51" s="1"/>
  <c r="BR34" i="51" s="1"/>
  <c r="BJ13" i="51"/>
  <c r="BR13" i="51" s="1"/>
  <c r="BL13" i="51"/>
  <c r="O43" i="51"/>
  <c r="BJ33" i="51"/>
  <c r="BR33" i="51" s="1"/>
  <c r="BL33" i="51"/>
  <c r="BL58" i="51"/>
  <c r="BJ41" i="51"/>
  <c r="BR41" i="51" s="1"/>
  <c r="BL41" i="51"/>
  <c r="BL57" i="51"/>
  <c r="BJ29" i="51"/>
  <c r="BR29" i="51" s="1"/>
  <c r="BL29" i="51"/>
  <c r="BL55" i="51"/>
  <c r="BJ11" i="51"/>
  <c r="BR11" i="51" s="1"/>
  <c r="BL11" i="51"/>
  <c r="O48" i="51"/>
  <c r="BL6" i="51"/>
  <c r="BI82" i="51"/>
  <c r="AK7" i="47" s="1"/>
  <c r="BL62" i="51"/>
  <c r="O47" i="51"/>
  <c r="BL21" i="51"/>
  <c r="BJ10" i="51"/>
  <c r="BR10" i="51" s="1"/>
  <c r="BL10" i="51"/>
  <c r="BJ43" i="51"/>
  <c r="BR43" i="51" s="1"/>
  <c r="BL43" i="51"/>
  <c r="BL30" i="51"/>
  <c r="BJ20" i="51"/>
  <c r="BR20" i="51" s="1"/>
  <c r="BL20" i="51"/>
  <c r="O44" i="51"/>
  <c r="T31" i="51"/>
  <c r="U31" i="51" s="1"/>
  <c r="BJ77" i="51"/>
  <c r="BR77" i="51" s="1"/>
  <c r="BL77" i="51"/>
  <c r="BL37" i="51"/>
  <c r="BJ53" i="51"/>
  <c r="BR53" i="51" s="1"/>
  <c r="BL53" i="51"/>
  <c r="BJ24" i="51"/>
  <c r="BR24" i="51" s="1"/>
  <c r="BL24" i="51"/>
  <c r="BL49" i="51"/>
  <c r="V29" i="50"/>
  <c r="CB29" i="50" s="1"/>
  <c r="BJ29" i="50"/>
  <c r="BQ29" i="50" s="1"/>
  <c r="BK87" i="50"/>
  <c r="BK108" i="50" s="1"/>
  <c r="BI108" i="50"/>
  <c r="O66" i="50"/>
  <c r="BK6" i="50"/>
  <c r="BI84" i="50"/>
  <c r="BJ42" i="50"/>
  <c r="BQ42" i="50" s="1"/>
  <c r="F84" i="50"/>
  <c r="O77" i="50"/>
  <c r="T46" i="50"/>
  <c r="U46" i="50" s="1"/>
  <c r="BJ46" i="50" s="1"/>
  <c r="BQ46" i="50" s="1"/>
  <c r="O25" i="50"/>
  <c r="BJ74" i="50"/>
  <c r="BQ74" i="50" s="1"/>
  <c r="BJ55" i="50"/>
  <c r="BQ55" i="50" s="1"/>
  <c r="BJ40" i="50"/>
  <c r="BQ40" i="50" s="1"/>
  <c r="BJ13" i="50"/>
  <c r="BQ13" i="50" s="1"/>
  <c r="BJ106" i="50"/>
  <c r="BQ106" i="50" s="1"/>
  <c r="V67" i="50"/>
  <c r="CB67" i="50" s="1"/>
  <c r="BJ67" i="50"/>
  <c r="BQ67" i="50" s="1"/>
  <c r="BJ98" i="50"/>
  <c r="BQ98" i="50" s="1"/>
  <c r="BJ69" i="50"/>
  <c r="BQ69" i="50" s="1"/>
  <c r="BJ83" i="50"/>
  <c r="BQ83" i="50" s="1"/>
  <c r="BJ105" i="50"/>
  <c r="BQ105" i="50" s="1"/>
  <c r="BJ99" i="50"/>
  <c r="BQ99" i="50" s="1"/>
  <c r="BJ78" i="50"/>
  <c r="BQ78" i="50" s="1"/>
  <c r="O88" i="50"/>
  <c r="BJ95" i="50"/>
  <c r="BQ95" i="50" s="1"/>
  <c r="BJ49" i="50"/>
  <c r="BQ49" i="50" s="1"/>
  <c r="O20" i="50"/>
  <c r="O13" i="50"/>
  <c r="BJ93" i="50"/>
  <c r="BQ93" i="50" s="1"/>
  <c r="BJ81" i="50"/>
  <c r="BQ81" i="50" s="1"/>
  <c r="T65" i="50"/>
  <c r="U65" i="50" s="1"/>
  <c r="BJ65" i="50" s="1"/>
  <c r="BQ65" i="50" s="1"/>
  <c r="T44" i="50"/>
  <c r="U44" i="50" s="1"/>
  <c r="BJ44" i="50" s="1"/>
  <c r="BQ44" i="50" s="1"/>
  <c r="BJ89" i="50"/>
  <c r="BQ89" i="50" s="1"/>
  <c r="BJ59" i="50"/>
  <c r="BQ59" i="50" s="1"/>
  <c r="S110" i="50"/>
  <c r="Q6" i="47" s="1"/>
  <c r="O29" i="50"/>
  <c r="O19" i="50"/>
  <c r="O68" i="50"/>
  <c r="T16" i="50"/>
  <c r="U16" i="50" s="1"/>
  <c r="BJ16" i="50" s="1"/>
  <c r="BQ16" i="50" s="1"/>
  <c r="BJ104" i="50"/>
  <c r="BQ104" i="50" s="1"/>
  <c r="BJ80" i="50"/>
  <c r="BQ80" i="50" s="1"/>
  <c r="BJ103" i="50"/>
  <c r="BQ103" i="50" s="1"/>
  <c r="O93" i="49"/>
  <c r="BK91" i="49"/>
  <c r="BJ21" i="49"/>
  <c r="BQ21" i="49" s="1"/>
  <c r="BK30" i="49"/>
  <c r="BK10" i="49"/>
  <c r="BK54" i="49"/>
  <c r="BJ65" i="49"/>
  <c r="BQ65" i="49" s="1"/>
  <c r="T53" i="49"/>
  <c r="U53" i="49" s="1"/>
  <c r="BJ53" i="49" s="1"/>
  <c r="BQ53" i="49" s="1"/>
  <c r="BJ112" i="49"/>
  <c r="BQ112" i="49" s="1"/>
  <c r="T47" i="49"/>
  <c r="U47" i="49" s="1"/>
  <c r="BJ47" i="49" s="1"/>
  <c r="BQ47" i="49" s="1"/>
  <c r="BL47" i="49" s="1"/>
  <c r="BL73" i="49" s="1"/>
  <c r="BL122" i="49" s="1"/>
  <c r="AN5" i="47" s="1"/>
  <c r="BJ38" i="49"/>
  <c r="BQ38" i="49" s="1"/>
  <c r="BK70" i="49"/>
  <c r="BK62" i="49"/>
  <c r="BK46" i="49"/>
  <c r="BK29" i="49"/>
  <c r="BK16" i="49"/>
  <c r="BK28" i="49"/>
  <c r="BJ50" i="49"/>
  <c r="BQ50" i="49" s="1"/>
  <c r="T118" i="49"/>
  <c r="U118" i="49" s="1"/>
  <c r="T60" i="49"/>
  <c r="U60" i="49" s="1"/>
  <c r="BJ60" i="49" s="1"/>
  <c r="BQ60" i="49" s="1"/>
  <c r="T37" i="49"/>
  <c r="U37" i="49" s="1"/>
  <c r="BJ37" i="49" s="1"/>
  <c r="BQ37" i="49" s="1"/>
  <c r="BJ29" i="49"/>
  <c r="BQ29" i="49" s="1"/>
  <c r="BK118" i="49"/>
  <c r="BK88" i="49"/>
  <c r="BJ71" i="49"/>
  <c r="BQ71" i="49" s="1"/>
  <c r="BK41" i="49"/>
  <c r="BK117" i="49"/>
  <c r="BK107" i="49"/>
  <c r="BK57" i="49"/>
  <c r="BK27" i="49"/>
  <c r="BK13" i="49"/>
  <c r="BK55" i="49"/>
  <c r="BK34" i="49"/>
  <c r="BK20" i="49"/>
  <c r="BK116" i="49"/>
  <c r="BJ100" i="49"/>
  <c r="BQ100" i="49" s="1"/>
  <c r="BK90" i="49"/>
  <c r="BK37" i="49"/>
  <c r="BK17" i="49"/>
  <c r="BK84" i="49"/>
  <c r="BK76" i="49"/>
  <c r="BK66" i="49"/>
  <c r="BJ56" i="49"/>
  <c r="BQ56" i="49" s="1"/>
  <c r="V87" i="49"/>
  <c r="BJ87" i="49"/>
  <c r="BQ87" i="49" s="1"/>
  <c r="BJ79" i="49"/>
  <c r="BQ79" i="49" s="1"/>
  <c r="BK111" i="49"/>
  <c r="BK64" i="49"/>
  <c r="BK47" i="49"/>
  <c r="BK35" i="49"/>
  <c r="BK94" i="49"/>
  <c r="BK67" i="49"/>
  <c r="BK83" i="49"/>
  <c r="BK63" i="49"/>
  <c r="BK61" i="49"/>
  <c r="BK49" i="49"/>
  <c r="BJ28" i="49"/>
  <c r="BQ28" i="49" s="1"/>
  <c r="O62" i="49"/>
  <c r="BJ118" i="49"/>
  <c r="BQ118" i="49" s="1"/>
  <c r="V21" i="49"/>
  <c r="T54" i="49"/>
  <c r="U54" i="49" s="1"/>
  <c r="BJ10" i="49"/>
  <c r="BQ10" i="49" s="1"/>
  <c r="BK109" i="49"/>
  <c r="BJ70" i="49"/>
  <c r="BQ70" i="49" s="1"/>
  <c r="BK21" i="49"/>
  <c r="BK39" i="49"/>
  <c r="BK113" i="49"/>
  <c r="BJ72" i="49"/>
  <c r="BQ72" i="49" s="1"/>
  <c r="BK14" i="49"/>
  <c r="BK99" i="49"/>
  <c r="BK43" i="49"/>
  <c r="BK33" i="49"/>
  <c r="BJ84" i="49"/>
  <c r="BQ84" i="49" s="1"/>
  <c r="T63" i="49"/>
  <c r="U63" i="49" s="1"/>
  <c r="BJ63" i="49" s="1"/>
  <c r="BQ63" i="49" s="1"/>
  <c r="O69" i="49"/>
  <c r="T88" i="49"/>
  <c r="U88" i="49" s="1"/>
  <c r="BJ88" i="49" s="1"/>
  <c r="BQ88" i="49" s="1"/>
  <c r="BJ20" i="49"/>
  <c r="BQ20" i="49" s="1"/>
  <c r="BJ42" i="49"/>
  <c r="BQ42" i="49" s="1"/>
  <c r="BK114" i="49"/>
  <c r="BK104" i="49"/>
  <c r="BK97" i="49"/>
  <c r="BK85" i="49"/>
  <c r="BK78" i="49"/>
  <c r="BK59" i="49"/>
  <c r="BK50" i="49"/>
  <c r="BK44" i="49"/>
  <c r="BK38" i="49"/>
  <c r="BK18" i="49"/>
  <c r="BK112" i="49"/>
  <c r="BK105" i="49"/>
  <c r="BK36" i="49"/>
  <c r="BK19" i="49"/>
  <c r="BK8" i="49"/>
  <c r="BK110" i="49"/>
  <c r="BJ98" i="49"/>
  <c r="BQ98" i="49" s="1"/>
  <c r="BK92" i="49"/>
  <c r="BK86" i="49"/>
  <c r="BK80" i="49"/>
  <c r="BK68" i="49"/>
  <c r="BK52" i="49"/>
  <c r="BK31" i="49"/>
  <c r="BK24" i="49"/>
  <c r="BK119" i="49"/>
  <c r="BK106" i="49"/>
  <c r="BJ99" i="49"/>
  <c r="BQ99" i="49" s="1"/>
  <c r="BK81" i="49"/>
  <c r="BK40" i="49"/>
  <c r="BK32" i="49"/>
  <c r="K45" i="53"/>
  <c r="L47" i="53" s="1"/>
  <c r="AB110" i="50"/>
  <c r="X6" i="47" s="1"/>
  <c r="AQ122" i="49"/>
  <c r="AC5" i="47" s="1"/>
  <c r="BI20" i="55"/>
  <c r="AK13" i="47" s="1"/>
  <c r="AZ20" i="55"/>
  <c r="AF13" i="47" s="1"/>
  <c r="BF45" i="53"/>
  <c r="AH9" i="47" s="1"/>
  <c r="S45" i="53"/>
  <c r="Q9" i="47" s="1"/>
  <c r="AT45" i="53"/>
  <c r="AD9" i="47" s="1"/>
  <c r="W8" i="52"/>
  <c r="O8" i="52"/>
  <c r="H18" i="47"/>
  <c r="W18" i="47"/>
  <c r="AN110" i="50"/>
  <c r="AB6" i="47" s="1"/>
  <c r="AT110" i="50"/>
  <c r="AD6" i="47" s="1"/>
  <c r="AQ110" i="50"/>
  <c r="AC6" i="47" s="1"/>
  <c r="G18" i="47"/>
  <c r="BK84" i="50"/>
  <c r="AZ110" i="50"/>
  <c r="AF6" i="47" s="1"/>
  <c r="AW110" i="50"/>
  <c r="AE6" i="47" s="1"/>
  <c r="BF110" i="50"/>
  <c r="V18" i="47"/>
  <c r="AE122" i="49"/>
  <c r="Y5" i="47" s="1"/>
  <c r="AN122" i="49"/>
  <c r="AB5" i="47" s="1"/>
  <c r="D122" i="49"/>
  <c r="B5" i="47" s="1"/>
  <c r="BH101" i="49"/>
  <c r="BI101" i="49"/>
  <c r="BH73" i="49"/>
  <c r="BH120" i="49"/>
  <c r="BI120" i="49"/>
  <c r="N122" i="49"/>
  <c r="L5" i="47" s="1"/>
  <c r="F73" i="49"/>
  <c r="O79" i="49"/>
  <c r="T13" i="49"/>
  <c r="U13" i="49" s="1"/>
  <c r="BJ13" i="49" s="1"/>
  <c r="BQ13" i="49" s="1"/>
  <c r="T26" i="49"/>
  <c r="U26" i="49" s="1"/>
  <c r="T116" i="49"/>
  <c r="U116" i="49" s="1"/>
  <c r="BJ116" i="49" s="1"/>
  <c r="BQ116" i="49" s="1"/>
  <c r="T52" i="49"/>
  <c r="U52" i="49" s="1"/>
  <c r="BJ52" i="49" s="1"/>
  <c r="BQ52" i="49" s="1"/>
  <c r="T22" i="49"/>
  <c r="U22" i="49" s="1"/>
  <c r="M8" i="49"/>
  <c r="O8" i="49" s="1"/>
  <c r="BM120" i="49"/>
  <c r="O38" i="49"/>
  <c r="O112" i="49"/>
  <c r="T44" i="49"/>
  <c r="U44" i="49" s="1"/>
  <c r="BJ44" i="49" s="1"/>
  <c r="BQ44" i="49" s="1"/>
  <c r="T49" i="49"/>
  <c r="U49" i="49" s="1"/>
  <c r="BJ49" i="49" s="1"/>
  <c r="BQ49" i="49" s="1"/>
  <c r="T43" i="49"/>
  <c r="U43" i="49" s="1"/>
  <c r="BJ43" i="49" s="1"/>
  <c r="BQ43" i="49" s="1"/>
  <c r="AW122" i="49"/>
  <c r="AE5" i="47" s="1"/>
  <c r="C18" i="47"/>
  <c r="S122" i="49"/>
  <c r="Q5" i="47" s="1"/>
  <c r="BC122" i="49"/>
  <c r="AG5" i="47" s="1"/>
  <c r="W32" i="53"/>
  <c r="V15" i="59"/>
  <c r="W14" i="54"/>
  <c r="V65" i="49"/>
  <c r="V69" i="49"/>
  <c r="W20" i="54"/>
  <c r="V23" i="50"/>
  <c r="CB23" i="50" s="1"/>
  <c r="V8" i="57"/>
  <c r="W39" i="54"/>
  <c r="W22" i="53"/>
  <c r="V8" i="55"/>
  <c r="W17" i="54"/>
  <c r="W8" i="51"/>
  <c r="V89" i="50"/>
  <c r="CB89" i="50" s="1"/>
  <c r="W22" i="51"/>
  <c r="V69" i="50"/>
  <c r="CB69" i="50" s="1"/>
  <c r="V43" i="50"/>
  <c r="CB43" i="50" s="1"/>
  <c r="W29" i="51"/>
  <c r="V36" i="50"/>
  <c r="CB36" i="50" s="1"/>
  <c r="V29" i="49"/>
  <c r="W50" i="54"/>
  <c r="W19" i="54"/>
  <c r="W16" i="56"/>
  <c r="V19" i="50"/>
  <c r="CB19" i="50" s="1"/>
  <c r="V68" i="50"/>
  <c r="CB68" i="50" s="1"/>
  <c r="V47" i="49"/>
  <c r="W35" i="54"/>
  <c r="W47" i="51"/>
  <c r="V61" i="50"/>
  <c r="CB61" i="50" s="1"/>
  <c r="V112" i="49"/>
  <c r="V13" i="50"/>
  <c r="CB13" i="50" s="1"/>
  <c r="V38" i="49"/>
  <c r="V66" i="49"/>
  <c r="V10" i="59"/>
  <c r="V37" i="50"/>
  <c r="CB37" i="50" s="1"/>
  <c r="V81" i="49"/>
  <c r="W58" i="54"/>
  <c r="V96" i="50"/>
  <c r="CB96" i="50" s="1"/>
  <c r="W23" i="51"/>
  <c r="V24" i="50"/>
  <c r="CB24" i="50" s="1"/>
  <c r="W51" i="54"/>
  <c r="V35" i="50"/>
  <c r="CB35" i="50" s="1"/>
  <c r="V20" i="49"/>
  <c r="W77" i="51"/>
  <c r="V91" i="50"/>
  <c r="CB91" i="50" s="1"/>
  <c r="V31" i="49"/>
  <c r="V41" i="50"/>
  <c r="CB41" i="50" s="1"/>
  <c r="M12" i="58"/>
  <c r="N16" i="47"/>
  <c r="M11" i="57"/>
  <c r="O11" i="57" s="1"/>
  <c r="V8" i="59"/>
  <c r="W10" i="56"/>
  <c r="W81" i="51"/>
  <c r="W61" i="54"/>
  <c r="BC45" i="53"/>
  <c r="AG9" i="47" s="1"/>
  <c r="E9" i="47"/>
  <c r="M62" i="51"/>
  <c r="O62" i="51" s="1"/>
  <c r="S137" i="50"/>
  <c r="P6" i="47"/>
  <c r="M32" i="49"/>
  <c r="O32" i="49" s="1"/>
  <c r="T46" i="54"/>
  <c r="U46" i="54" s="1"/>
  <c r="BJ46" i="54" s="1"/>
  <c r="BR46" i="54" s="1"/>
  <c r="M46" i="54"/>
  <c r="O46" i="54" s="1"/>
  <c r="W24" i="54"/>
  <c r="BG25" i="53"/>
  <c r="V65" i="50"/>
  <c r="CB65" i="50" s="1"/>
  <c r="M34" i="50"/>
  <c r="O34" i="50" s="1"/>
  <c r="T34" i="50"/>
  <c r="U34" i="50" s="1"/>
  <c r="BJ34" i="50" s="1"/>
  <c r="BQ34" i="50" s="1"/>
  <c r="K122" i="49"/>
  <c r="I5" i="47" s="1"/>
  <c r="M109" i="49"/>
  <c r="O109" i="49" s="1"/>
  <c r="T7" i="58"/>
  <c r="U7" i="58" s="1"/>
  <c r="M15" i="57"/>
  <c r="O15" i="57" s="1"/>
  <c r="U6" i="58"/>
  <c r="BJ6" i="58" s="1"/>
  <c r="M21" i="57"/>
  <c r="O21" i="57" s="1"/>
  <c r="T21" i="57"/>
  <c r="U21" i="57" s="1"/>
  <c r="BJ21" i="57" s="1"/>
  <c r="BQ21" i="57" s="1"/>
  <c r="S70" i="54"/>
  <c r="Q12" i="47"/>
  <c r="I9" i="47"/>
  <c r="M40" i="51"/>
  <c r="O40" i="51" s="1"/>
  <c r="M10" i="55"/>
  <c r="O10" i="55" s="1"/>
  <c r="T10" i="55"/>
  <c r="U10" i="55" s="1"/>
  <c r="BJ10" i="55" s="1"/>
  <c r="BQ10" i="55" s="1"/>
  <c r="V17" i="59"/>
  <c r="T7" i="56"/>
  <c r="M64" i="54"/>
  <c r="O64" i="54" s="1"/>
  <c r="T64" i="54"/>
  <c r="U64" i="54" s="1"/>
  <c r="M49" i="54"/>
  <c r="O49" i="54" s="1"/>
  <c r="T43" i="54"/>
  <c r="U43" i="54" s="1"/>
  <c r="BJ43" i="54" s="1"/>
  <c r="BR43" i="54" s="1"/>
  <c r="P31" i="54"/>
  <c r="L54" i="54"/>
  <c r="J11" i="47" s="1"/>
  <c r="T34" i="53"/>
  <c r="U34" i="53" s="1"/>
  <c r="BJ34" i="53" s="1"/>
  <c r="BR34" i="53" s="1"/>
  <c r="AQ45" i="53"/>
  <c r="AC9" i="47" s="1"/>
  <c r="M9" i="53"/>
  <c r="O9" i="53" s="1"/>
  <c r="P11" i="52"/>
  <c r="N8" i="47" s="1"/>
  <c r="M7" i="52"/>
  <c r="T7" i="52" s="1"/>
  <c r="M61" i="51"/>
  <c r="O61" i="51" s="1"/>
  <c r="T52" i="51"/>
  <c r="U52" i="51" s="1"/>
  <c r="BJ52" i="51" s="1"/>
  <c r="BR52" i="51" s="1"/>
  <c r="T30" i="51"/>
  <c r="U30" i="51" s="1"/>
  <c r="BJ30" i="51" s="1"/>
  <c r="BR30" i="51" s="1"/>
  <c r="O30" i="51"/>
  <c r="M8" i="56"/>
  <c r="T8" i="56" s="1"/>
  <c r="U8" i="56" s="1"/>
  <c r="BJ8" i="56" s="1"/>
  <c r="BR8" i="56" s="1"/>
  <c r="P9" i="55"/>
  <c r="P20" i="55" s="1"/>
  <c r="K70" i="54"/>
  <c r="L71" i="54" s="1"/>
  <c r="I12" i="47"/>
  <c r="M45" i="54"/>
  <c r="O45" i="54" s="1"/>
  <c r="O14" i="54"/>
  <c r="M73" i="51"/>
  <c r="O73" i="51" s="1"/>
  <c r="W11" i="51"/>
  <c r="K110" i="50"/>
  <c r="V84" i="49"/>
  <c r="V50" i="49"/>
  <c r="P9" i="59"/>
  <c r="P11" i="56"/>
  <c r="M12" i="55"/>
  <c r="O12" i="55" s="1"/>
  <c r="L20" i="55"/>
  <c r="BG54" i="54"/>
  <c r="AI11" i="47" s="1"/>
  <c r="W25" i="54"/>
  <c r="M10" i="54"/>
  <c r="O10" i="54" s="1"/>
  <c r="T11" i="53"/>
  <c r="U11" i="53" s="1"/>
  <c r="BJ11" i="53" s="1"/>
  <c r="BR11" i="53" s="1"/>
  <c r="W42" i="51"/>
  <c r="W13" i="51"/>
  <c r="R128" i="50"/>
  <c r="O6" i="47"/>
  <c r="BF122" i="49"/>
  <c r="AH5" i="47" s="1"/>
  <c r="T106" i="49"/>
  <c r="U106" i="49" s="1"/>
  <c r="BJ106" i="49" s="1"/>
  <c r="BQ106" i="49" s="1"/>
  <c r="P12" i="56"/>
  <c r="AE28" i="54"/>
  <c r="Y10" i="47" s="1"/>
  <c r="T76" i="51"/>
  <c r="U76" i="51" s="1"/>
  <c r="BJ76" i="51" s="1"/>
  <c r="BR76" i="51" s="1"/>
  <c r="T69" i="51"/>
  <c r="U69" i="51" s="1"/>
  <c r="BJ69" i="51" s="1"/>
  <c r="BR69" i="51" s="1"/>
  <c r="W51" i="51"/>
  <c r="M7" i="51"/>
  <c r="O7" i="51" s="1"/>
  <c r="V70" i="50"/>
  <c r="CB70" i="50" s="1"/>
  <c r="V49" i="50"/>
  <c r="CB49" i="50" s="1"/>
  <c r="M16" i="57"/>
  <c r="O16" i="57" s="1"/>
  <c r="T62" i="54"/>
  <c r="U62" i="54" s="1"/>
  <c r="W27" i="54"/>
  <c r="W20" i="53"/>
  <c r="W15" i="53"/>
  <c r="M19" i="51"/>
  <c r="O19" i="51" s="1"/>
  <c r="O61" i="50"/>
  <c r="M12" i="50"/>
  <c r="O12" i="50" s="1"/>
  <c r="M94" i="49"/>
  <c r="O94" i="49" s="1"/>
  <c r="M82" i="49"/>
  <c r="O82" i="49" s="1"/>
  <c r="W41" i="54"/>
  <c r="O36" i="50"/>
  <c r="M27" i="50"/>
  <c r="O27" i="50" s="1"/>
  <c r="M91" i="49"/>
  <c r="O91" i="49" s="1"/>
  <c r="T41" i="49"/>
  <c r="U41" i="49" s="1"/>
  <c r="BJ41" i="49" s="1"/>
  <c r="BQ41" i="49" s="1"/>
  <c r="M12" i="49"/>
  <c r="O12" i="49" s="1"/>
  <c r="T9" i="54"/>
  <c r="U9" i="54" s="1"/>
  <c r="BJ9" i="54" s="1"/>
  <c r="BR9" i="54" s="1"/>
  <c r="M29" i="53"/>
  <c r="O29" i="53" s="1"/>
  <c r="M16" i="53"/>
  <c r="O16" i="53" s="1"/>
  <c r="T16" i="53"/>
  <c r="U16" i="53" s="1"/>
  <c r="BJ16" i="53" s="1"/>
  <c r="BR16" i="53" s="1"/>
  <c r="M62" i="50"/>
  <c r="O62" i="50" s="1"/>
  <c r="T62" i="50"/>
  <c r="U62" i="50" s="1"/>
  <c r="BJ62" i="50" s="1"/>
  <c r="BQ62" i="50" s="1"/>
  <c r="V55" i="50"/>
  <c r="CB55" i="50" s="1"/>
  <c r="V40" i="50"/>
  <c r="CB40" i="50" s="1"/>
  <c r="V16" i="50"/>
  <c r="CB16" i="50" s="1"/>
  <c r="O65" i="49"/>
  <c r="M40" i="49"/>
  <c r="O40" i="49" s="1"/>
  <c r="T36" i="49"/>
  <c r="U36" i="49" s="1"/>
  <c r="BJ36" i="49" s="1"/>
  <c r="BQ36" i="49" s="1"/>
  <c r="W66" i="54"/>
  <c r="T35" i="51"/>
  <c r="U35" i="51" s="1"/>
  <c r="M28" i="51"/>
  <c r="O28" i="51" s="1"/>
  <c r="T28" i="51"/>
  <c r="U28" i="51" s="1"/>
  <c r="BJ28" i="51" s="1"/>
  <c r="BR28" i="51" s="1"/>
  <c r="W10" i="51"/>
  <c r="T57" i="50"/>
  <c r="U57" i="50" s="1"/>
  <c r="BJ57" i="50" s="1"/>
  <c r="BQ57" i="50" s="1"/>
  <c r="M17" i="50"/>
  <c r="O17" i="50" s="1"/>
  <c r="V60" i="49"/>
  <c r="M55" i="51"/>
  <c r="O55" i="51" s="1"/>
  <c r="AK122" i="49"/>
  <c r="AA5" i="47" s="1"/>
  <c r="V37" i="49"/>
  <c r="M30" i="49"/>
  <c r="O30" i="49" s="1"/>
  <c r="T30" i="49"/>
  <c r="U30" i="49" s="1"/>
  <c r="BJ30" i="49" s="1"/>
  <c r="BQ30" i="49" s="1"/>
  <c r="M27" i="49"/>
  <c r="O27" i="49" s="1"/>
  <c r="M75" i="50"/>
  <c r="O75" i="50" s="1"/>
  <c r="M55" i="49"/>
  <c r="O55" i="49" s="1"/>
  <c r="V77" i="50"/>
  <c r="CB77" i="50" s="1"/>
  <c r="M23" i="49"/>
  <c r="O23" i="49" s="1"/>
  <c r="M14" i="59"/>
  <c r="O14" i="59" s="1"/>
  <c r="T14" i="59"/>
  <c r="U14" i="59" s="1"/>
  <c r="BJ14" i="59" s="1"/>
  <c r="BQ14" i="59" s="1"/>
  <c r="T19" i="57"/>
  <c r="U19" i="57" s="1"/>
  <c r="BJ19" i="57" s="1"/>
  <c r="BQ19" i="57" s="1"/>
  <c r="T12" i="59"/>
  <c r="U12" i="59" s="1"/>
  <c r="BJ12" i="59" s="1"/>
  <c r="BQ12" i="59" s="1"/>
  <c r="L19" i="59"/>
  <c r="V20" i="57"/>
  <c r="M18" i="59"/>
  <c r="O18" i="59" s="1"/>
  <c r="M15" i="56"/>
  <c r="O15" i="56" s="1"/>
  <c r="M16" i="55"/>
  <c r="O16" i="55" s="1"/>
  <c r="BG67" i="54"/>
  <c r="AI12" i="47" s="1"/>
  <c r="F70" i="54"/>
  <c r="D12" i="47"/>
  <c r="M59" i="51"/>
  <c r="O59" i="51" s="1"/>
  <c r="AH110" i="50"/>
  <c r="Z6" i="47" s="1"/>
  <c r="M14" i="55"/>
  <c r="O14" i="55" s="1"/>
  <c r="F20" i="55"/>
  <c r="D13" i="47" s="1"/>
  <c r="W38" i="53"/>
  <c r="O32" i="53"/>
  <c r="M23" i="53"/>
  <c r="O23" i="53" s="1"/>
  <c r="T8" i="53"/>
  <c r="U8" i="53" s="1"/>
  <c r="BJ8" i="53" s="1"/>
  <c r="BR8" i="53" s="1"/>
  <c r="M8" i="53"/>
  <c r="O8" i="53" s="1"/>
  <c r="T74" i="51"/>
  <c r="U74" i="51" s="1"/>
  <c r="BJ74" i="51" s="1"/>
  <c r="BR74" i="51" s="1"/>
  <c r="M74" i="51"/>
  <c r="O74" i="51" s="1"/>
  <c r="M66" i="51"/>
  <c r="O66" i="51" s="1"/>
  <c r="M49" i="51"/>
  <c r="O49" i="51" s="1"/>
  <c r="O8" i="51"/>
  <c r="O95" i="50"/>
  <c r="M18" i="57"/>
  <c r="O18" i="57" s="1"/>
  <c r="M47" i="54"/>
  <c r="O47" i="54" s="1"/>
  <c r="M42" i="54"/>
  <c r="O42" i="54" s="1"/>
  <c r="M26" i="54"/>
  <c r="O26" i="54" s="1"/>
  <c r="M13" i="54"/>
  <c r="M8" i="54"/>
  <c r="O8" i="54" s="1"/>
  <c r="T8" i="54"/>
  <c r="U8" i="54" s="1"/>
  <c r="BJ8" i="54" s="1"/>
  <c r="BR8" i="54" s="1"/>
  <c r="M7" i="54"/>
  <c r="T7" i="54" s="1"/>
  <c r="P28" i="54"/>
  <c r="N10" i="47" s="1"/>
  <c r="M33" i="53"/>
  <c r="O33" i="53" s="1"/>
  <c r="M26" i="51"/>
  <c r="O26" i="51" s="1"/>
  <c r="V117" i="49"/>
  <c r="F101" i="49"/>
  <c r="K17" i="56"/>
  <c r="I14" i="47" s="1"/>
  <c r="M6" i="55"/>
  <c r="T6" i="55" s="1"/>
  <c r="M52" i="54"/>
  <c r="O52" i="54" s="1"/>
  <c r="O20" i="54"/>
  <c r="Q78" i="54"/>
  <c r="O10" i="47"/>
  <c r="BG28" i="54"/>
  <c r="AI10" i="47" s="1"/>
  <c r="AK45" i="53"/>
  <c r="AA9" i="47" s="1"/>
  <c r="L25" i="53"/>
  <c r="P7" i="53"/>
  <c r="T50" i="51"/>
  <c r="U50" i="51" s="1"/>
  <c r="BJ50" i="51" s="1"/>
  <c r="BR50" i="51" s="1"/>
  <c r="T37" i="51"/>
  <c r="U37" i="51" s="1"/>
  <c r="BJ37" i="51" s="1"/>
  <c r="BR37" i="51" s="1"/>
  <c r="V42" i="50"/>
  <c r="CB42" i="50" s="1"/>
  <c r="M11" i="54"/>
  <c r="O11" i="54" s="1"/>
  <c r="M72" i="51"/>
  <c r="O72" i="51" s="1"/>
  <c r="T72" i="51"/>
  <c r="U72" i="51" s="1"/>
  <c r="BJ72" i="51" s="1"/>
  <c r="BR72" i="51" s="1"/>
  <c r="W36" i="51"/>
  <c r="M15" i="51"/>
  <c r="O15" i="51" s="1"/>
  <c r="M12" i="51"/>
  <c r="O12" i="51" s="1"/>
  <c r="BC110" i="50"/>
  <c r="AG6" i="47" s="1"/>
  <c r="M72" i="50"/>
  <c r="O72" i="50" s="1"/>
  <c r="M45" i="50"/>
  <c r="O45" i="50" s="1"/>
  <c r="T15" i="50"/>
  <c r="U15" i="50" s="1"/>
  <c r="BJ15" i="50" s="1"/>
  <c r="BQ15" i="50" s="1"/>
  <c r="M22" i="57"/>
  <c r="O22" i="57" s="1"/>
  <c r="M12" i="57"/>
  <c r="O12" i="57" s="1"/>
  <c r="M9" i="56"/>
  <c r="O9" i="56" s="1"/>
  <c r="T9" i="56"/>
  <c r="U9" i="56" s="1"/>
  <c r="BJ9" i="56" s="1"/>
  <c r="BR9" i="56" s="1"/>
  <c r="M36" i="53"/>
  <c r="O36" i="53" s="1"/>
  <c r="T36" i="53"/>
  <c r="U36" i="53" s="1"/>
  <c r="BJ36" i="53" s="1"/>
  <c r="BR36" i="53" s="1"/>
  <c r="M14" i="53"/>
  <c r="O14" i="53" s="1"/>
  <c r="W71" i="51"/>
  <c r="T64" i="50"/>
  <c r="U64" i="50" s="1"/>
  <c r="BJ64" i="50" s="1"/>
  <c r="BQ64" i="50" s="1"/>
  <c r="M47" i="50"/>
  <c r="O47" i="50" s="1"/>
  <c r="T18" i="50"/>
  <c r="U18" i="50" s="1"/>
  <c r="BJ18" i="50" s="1"/>
  <c r="BQ18" i="50" s="1"/>
  <c r="AZ122" i="49"/>
  <c r="AF5" i="47" s="1"/>
  <c r="T59" i="49"/>
  <c r="U59" i="49" s="1"/>
  <c r="BJ59" i="49" s="1"/>
  <c r="BQ59" i="49" s="1"/>
  <c r="W39" i="51"/>
  <c r="M94" i="50"/>
  <c r="O94" i="50" s="1"/>
  <c r="M73" i="50"/>
  <c r="O73" i="50" s="1"/>
  <c r="M54" i="50"/>
  <c r="O54" i="50" s="1"/>
  <c r="T54" i="50"/>
  <c r="U54" i="50" s="1"/>
  <c r="BJ54" i="50" s="1"/>
  <c r="BQ54" i="50" s="1"/>
  <c r="T8" i="50"/>
  <c r="U8" i="50" s="1"/>
  <c r="BJ8" i="50" s="1"/>
  <c r="BQ8" i="50" s="1"/>
  <c r="M119" i="49"/>
  <c r="O119" i="49" s="1"/>
  <c r="M105" i="49"/>
  <c r="O105" i="49" s="1"/>
  <c r="M89" i="49"/>
  <c r="O89" i="49" s="1"/>
  <c r="M15" i="55"/>
  <c r="O15" i="55" s="1"/>
  <c r="M38" i="54"/>
  <c r="O38" i="54" s="1"/>
  <c r="W23" i="54"/>
  <c r="T21" i="53"/>
  <c r="U21" i="53" s="1"/>
  <c r="BJ21" i="53" s="1"/>
  <c r="BR21" i="53" s="1"/>
  <c r="M21" i="53"/>
  <c r="O21" i="53" s="1"/>
  <c r="W10" i="53"/>
  <c r="M46" i="51"/>
  <c r="O46" i="51" s="1"/>
  <c r="O36" i="51"/>
  <c r="V98" i="50"/>
  <c r="CB98" i="50" s="1"/>
  <c r="V51" i="50"/>
  <c r="CB51" i="50" s="1"/>
  <c r="T90" i="49"/>
  <c r="U90" i="49" s="1"/>
  <c r="BJ90" i="49" s="1"/>
  <c r="BQ90" i="49" s="1"/>
  <c r="O20" i="49"/>
  <c r="AQ19" i="59"/>
  <c r="AC17" i="47" s="1"/>
  <c r="M24" i="53"/>
  <c r="O24" i="53" s="1"/>
  <c r="M64" i="51"/>
  <c r="O64" i="51" s="1"/>
  <c r="M92" i="50"/>
  <c r="O92" i="50" s="1"/>
  <c r="M52" i="50"/>
  <c r="O52" i="50" s="1"/>
  <c r="O41" i="50"/>
  <c r="T30" i="50"/>
  <c r="U30" i="50" s="1"/>
  <c r="BJ30" i="50" s="1"/>
  <c r="BQ30" i="50" s="1"/>
  <c r="M108" i="49"/>
  <c r="O108" i="49" s="1"/>
  <c r="AH122" i="49"/>
  <c r="Z5" i="47" s="1"/>
  <c r="M95" i="49"/>
  <c r="O95" i="49" s="1"/>
  <c r="T68" i="49"/>
  <c r="U68" i="49" s="1"/>
  <c r="BJ68" i="49" s="1"/>
  <c r="BQ68" i="49" s="1"/>
  <c r="M61" i="49"/>
  <c r="O61" i="49" s="1"/>
  <c r="V33" i="49"/>
  <c r="BG73" i="49"/>
  <c r="V20" i="50"/>
  <c r="CB20" i="50" s="1"/>
  <c r="O24" i="50"/>
  <c r="T96" i="49"/>
  <c r="U96" i="49" s="1"/>
  <c r="BJ96" i="49" s="1"/>
  <c r="BQ96" i="49" s="1"/>
  <c r="BG101" i="49"/>
  <c r="F9" i="58"/>
  <c r="D16" i="47" s="1"/>
  <c r="M7" i="59"/>
  <c r="P19" i="59"/>
  <c r="T7" i="59"/>
  <c r="T13" i="57"/>
  <c r="U13" i="57" s="1"/>
  <c r="BJ13" i="57" s="1"/>
  <c r="BQ13" i="57" s="1"/>
  <c r="BI67" i="54"/>
  <c r="AK12" i="47" s="1"/>
  <c r="O33" i="54"/>
  <c r="T33" i="54"/>
  <c r="U33" i="54" s="1"/>
  <c r="BJ33" i="54" s="1"/>
  <c r="BR33" i="54" s="1"/>
  <c r="BS108" i="50"/>
  <c r="BS110" i="50" s="1"/>
  <c r="AU6" i="47" s="1"/>
  <c r="N110" i="50"/>
  <c r="P7" i="57"/>
  <c r="L23" i="57"/>
  <c r="T18" i="55"/>
  <c r="U18" i="55" s="1"/>
  <c r="BJ18" i="55" s="1"/>
  <c r="BQ18" i="55" s="1"/>
  <c r="T13" i="55"/>
  <c r="U13" i="55" s="1"/>
  <c r="BJ13" i="55" s="1"/>
  <c r="BQ13" i="55" s="1"/>
  <c r="W48" i="54"/>
  <c r="T19" i="55"/>
  <c r="U19" i="55" s="1"/>
  <c r="BJ19" i="55" s="1"/>
  <c r="BQ19" i="55" s="1"/>
  <c r="M65" i="54"/>
  <c r="P57" i="54"/>
  <c r="L67" i="54"/>
  <c r="W22" i="54"/>
  <c r="M15" i="54"/>
  <c r="O15" i="54" s="1"/>
  <c r="AN45" i="53"/>
  <c r="AB9" i="47" s="1"/>
  <c r="W27" i="51"/>
  <c r="BG82" i="51"/>
  <c r="AI7" i="47" s="1"/>
  <c r="V93" i="50"/>
  <c r="CB93" i="50" s="1"/>
  <c r="V81" i="50"/>
  <c r="CB81" i="50" s="1"/>
  <c r="CB84" i="50" s="1"/>
  <c r="M76" i="50"/>
  <c r="O31" i="49"/>
  <c r="L73" i="49"/>
  <c r="P7" i="49"/>
  <c r="BG23" i="57"/>
  <c r="AI15" i="47" s="1"/>
  <c r="W12" i="54"/>
  <c r="BG11" i="52"/>
  <c r="AI8" i="47" s="1"/>
  <c r="T79" i="51"/>
  <c r="U79" i="51" s="1"/>
  <c r="BJ79" i="51" s="1"/>
  <c r="BR79" i="51" s="1"/>
  <c r="M68" i="51"/>
  <c r="O68" i="51" s="1"/>
  <c r="T68" i="51"/>
  <c r="U68" i="51" s="1"/>
  <c r="BJ68" i="51" s="1"/>
  <c r="BR68" i="51" s="1"/>
  <c r="M65" i="51"/>
  <c r="O65" i="51" s="1"/>
  <c r="T65" i="51"/>
  <c r="U65" i="51" s="1"/>
  <c r="BJ65" i="51" s="1"/>
  <c r="BR65" i="51" s="1"/>
  <c r="W48" i="51"/>
  <c r="L84" i="51"/>
  <c r="I7" i="47"/>
  <c r="V88" i="50"/>
  <c r="CB88" i="50" s="1"/>
  <c r="O37" i="50"/>
  <c r="O6" i="50"/>
  <c r="O81" i="49"/>
  <c r="V18" i="49"/>
  <c r="BG17" i="56"/>
  <c r="AI14" i="47" s="1"/>
  <c r="W59" i="54"/>
  <c r="T36" i="54"/>
  <c r="U36" i="54" s="1"/>
  <c r="BJ36" i="54" s="1"/>
  <c r="BR36" i="54" s="1"/>
  <c r="T41" i="51"/>
  <c r="U41" i="51" s="1"/>
  <c r="W24" i="51"/>
  <c r="V113" i="49"/>
  <c r="V56" i="49"/>
  <c r="P13" i="52"/>
  <c r="T78" i="51"/>
  <c r="U78" i="51" s="1"/>
  <c r="BJ78" i="51" s="1"/>
  <c r="BR78" i="51" s="1"/>
  <c r="W44" i="51"/>
  <c r="T14" i="51"/>
  <c r="U14" i="51" s="1"/>
  <c r="AE110" i="50"/>
  <c r="Y6" i="47" s="1"/>
  <c r="T87" i="50"/>
  <c r="P108" i="50"/>
  <c r="M87" i="50"/>
  <c r="T58" i="50"/>
  <c r="U58" i="50" s="1"/>
  <c r="BJ58" i="50" s="1"/>
  <c r="BQ58" i="50" s="1"/>
  <c r="V33" i="50"/>
  <c r="CB33" i="50" s="1"/>
  <c r="M34" i="54"/>
  <c r="BG43" i="53"/>
  <c r="M12" i="53"/>
  <c r="T70" i="51"/>
  <c r="U70" i="51" s="1"/>
  <c r="BJ70" i="51" s="1"/>
  <c r="BR70" i="51" s="1"/>
  <c r="T57" i="51"/>
  <c r="U57" i="51" s="1"/>
  <c r="BJ57" i="51" s="1"/>
  <c r="BR57" i="51" s="1"/>
  <c r="M32" i="51"/>
  <c r="AK110" i="50"/>
  <c r="AA6" i="47" s="1"/>
  <c r="M53" i="50"/>
  <c r="O53" i="50" s="1"/>
  <c r="M31" i="50"/>
  <c r="M115" i="49"/>
  <c r="O115" i="49" s="1"/>
  <c r="AB122" i="49"/>
  <c r="X5" i="47" s="1"/>
  <c r="M18" i="53"/>
  <c r="M75" i="51"/>
  <c r="M26" i="50"/>
  <c r="T22" i="50"/>
  <c r="U22" i="50" s="1"/>
  <c r="BJ22" i="50" s="1"/>
  <c r="BQ22" i="50" s="1"/>
  <c r="V118" i="49"/>
  <c r="G122" i="49"/>
  <c r="M92" i="49"/>
  <c r="O92" i="49" s="1"/>
  <c r="T77" i="49"/>
  <c r="U77" i="49" s="1"/>
  <c r="BJ77" i="49" s="1"/>
  <c r="BQ77" i="49" s="1"/>
  <c r="M39" i="49"/>
  <c r="O39" i="49" s="1"/>
  <c r="O29" i="49"/>
  <c r="T17" i="49"/>
  <c r="U17" i="49" s="1"/>
  <c r="BJ17" i="49" s="1"/>
  <c r="BQ17" i="49" s="1"/>
  <c r="V11" i="49"/>
  <c r="T9" i="57"/>
  <c r="U9" i="57" s="1"/>
  <c r="BJ9" i="57" s="1"/>
  <c r="BQ9" i="57" s="1"/>
  <c r="M9" i="57"/>
  <c r="O9" i="57" s="1"/>
  <c r="M100" i="50"/>
  <c r="O100" i="50" s="1"/>
  <c r="T97" i="50"/>
  <c r="U97" i="50" s="1"/>
  <c r="BJ97" i="50" s="1"/>
  <c r="BQ97" i="50" s="1"/>
  <c r="M97" i="50"/>
  <c r="O97" i="50" s="1"/>
  <c r="U6" i="50"/>
  <c r="BJ6" i="50" s="1"/>
  <c r="M86" i="49"/>
  <c r="O86" i="49" s="1"/>
  <c r="M67" i="49"/>
  <c r="M14" i="49"/>
  <c r="M14" i="57"/>
  <c r="M16" i="54"/>
  <c r="M114" i="49"/>
  <c r="O114" i="49" s="1"/>
  <c r="M107" i="49"/>
  <c r="O107" i="49" s="1"/>
  <c r="BM73" i="49"/>
  <c r="M18" i="54"/>
  <c r="T38" i="50"/>
  <c r="U38" i="50" s="1"/>
  <c r="BJ38" i="50" s="1"/>
  <c r="BQ38" i="50" s="1"/>
  <c r="BG120" i="49"/>
  <c r="P78" i="49"/>
  <c r="M48" i="49"/>
  <c r="T9" i="50"/>
  <c r="U9" i="50" s="1"/>
  <c r="BJ9" i="50" s="1"/>
  <c r="BQ9" i="50" s="1"/>
  <c r="M110" i="49"/>
  <c r="M8" i="58"/>
  <c r="M11" i="50"/>
  <c r="L101" i="49"/>
  <c r="M15" i="49"/>
  <c r="P13" i="56"/>
  <c r="P28" i="53"/>
  <c r="L43" i="53"/>
  <c r="L45" i="53" s="1"/>
  <c r="AH6" i="47"/>
  <c r="F110" i="50"/>
  <c r="D6" i="47" s="1"/>
  <c r="L27" i="57"/>
  <c r="I15" i="47"/>
  <c r="L17" i="56"/>
  <c r="J14" i="47" s="1"/>
  <c r="BG20" i="55"/>
  <c r="AI13" i="47" s="1"/>
  <c r="M40" i="54"/>
  <c r="M45" i="51"/>
  <c r="W17" i="51"/>
  <c r="F5" i="47"/>
  <c r="F18" i="47" s="1"/>
  <c r="M17" i="55"/>
  <c r="BI28" i="54"/>
  <c r="AK10" i="47" s="1"/>
  <c r="W19" i="53"/>
  <c r="L82" i="51"/>
  <c r="P6" i="51"/>
  <c r="V95" i="50"/>
  <c r="CB95" i="50" s="1"/>
  <c r="BG84" i="50"/>
  <c r="L22" i="59"/>
  <c r="I17" i="47"/>
  <c r="M53" i="54"/>
  <c r="W37" i="53"/>
  <c r="W54" i="51"/>
  <c r="R98" i="51"/>
  <c r="R103" i="51" s="1"/>
  <c r="P7" i="47"/>
  <c r="S88" i="51"/>
  <c r="BG108" i="50"/>
  <c r="V59" i="50"/>
  <c r="CB59" i="50" s="1"/>
  <c r="M11" i="55"/>
  <c r="O11" i="55" s="1"/>
  <c r="M9" i="52"/>
  <c r="O9" i="52" s="1"/>
  <c r="M80" i="51"/>
  <c r="O80" i="51" s="1"/>
  <c r="M67" i="51"/>
  <c r="W53" i="51"/>
  <c r="T33" i="51"/>
  <c r="U33" i="51" s="1"/>
  <c r="M90" i="50"/>
  <c r="M71" i="50"/>
  <c r="V66" i="50"/>
  <c r="CB66" i="50" s="1"/>
  <c r="M56" i="50"/>
  <c r="O56" i="50" s="1"/>
  <c r="M50" i="50"/>
  <c r="M39" i="50"/>
  <c r="W11" i="59"/>
  <c r="W30" i="53"/>
  <c r="M13" i="53"/>
  <c r="O13" i="53" s="1"/>
  <c r="V74" i="50"/>
  <c r="CB74" i="50" s="1"/>
  <c r="M63" i="50"/>
  <c r="M32" i="50"/>
  <c r="O32" i="50" s="1"/>
  <c r="T32" i="50"/>
  <c r="U32" i="50" s="1"/>
  <c r="BJ32" i="50" s="1"/>
  <c r="BQ32" i="50" s="1"/>
  <c r="M28" i="50"/>
  <c r="P120" i="49"/>
  <c r="M104" i="49"/>
  <c r="T104" i="49" s="1"/>
  <c r="M64" i="49"/>
  <c r="O64" i="49" s="1"/>
  <c r="M58" i="51"/>
  <c r="W25" i="51"/>
  <c r="V25" i="50"/>
  <c r="CB25" i="50" s="1"/>
  <c r="M7" i="50"/>
  <c r="V116" i="49"/>
  <c r="V93" i="49"/>
  <c r="V88" i="49"/>
  <c r="V52" i="49"/>
  <c r="M34" i="49"/>
  <c r="M19" i="49"/>
  <c r="D70" i="54"/>
  <c r="B12" i="47"/>
  <c r="W60" i="51"/>
  <c r="W43" i="51"/>
  <c r="W9" i="51"/>
  <c r="M14" i="50"/>
  <c r="O14" i="50" s="1"/>
  <c r="M85" i="49"/>
  <c r="O85" i="49" s="1"/>
  <c r="T85" i="49"/>
  <c r="U85" i="49" s="1"/>
  <c r="BJ85" i="49" s="1"/>
  <c r="BQ85" i="49" s="1"/>
  <c r="M51" i="49"/>
  <c r="O51" i="49" s="1"/>
  <c r="V42" i="49"/>
  <c r="M9" i="49"/>
  <c r="M17" i="53"/>
  <c r="O17" i="53" s="1"/>
  <c r="T17" i="53"/>
  <c r="U17" i="53" s="1"/>
  <c r="BJ17" i="53" s="1"/>
  <c r="BR17" i="53" s="1"/>
  <c r="W31" i="51"/>
  <c r="T60" i="50"/>
  <c r="U60" i="50" s="1"/>
  <c r="BJ60" i="50" s="1"/>
  <c r="BQ60" i="50" s="1"/>
  <c r="V10" i="50"/>
  <c r="CB10" i="50" s="1"/>
  <c r="P84" i="50"/>
  <c r="M111" i="49"/>
  <c r="T83" i="49"/>
  <c r="U83" i="49" s="1"/>
  <c r="BJ83" i="49" s="1"/>
  <c r="BQ83" i="49" s="1"/>
  <c r="V62" i="49"/>
  <c r="M58" i="49"/>
  <c r="O58" i="49" s="1"/>
  <c r="M46" i="49"/>
  <c r="M21" i="51"/>
  <c r="O21" i="51" s="1"/>
  <c r="M48" i="50"/>
  <c r="M45" i="49"/>
  <c r="M35" i="49"/>
  <c r="O35" i="49" s="1"/>
  <c r="W63" i="51"/>
  <c r="V79" i="49"/>
  <c r="M57" i="49"/>
  <c r="M25" i="49"/>
  <c r="M35" i="53"/>
  <c r="M21" i="50"/>
  <c r="M80" i="49"/>
  <c r="O80" i="49" s="1"/>
  <c r="M32" i="54"/>
  <c r="P115" i="50"/>
  <c r="E6" i="47"/>
  <c r="BM101" i="49"/>
  <c r="M76" i="49"/>
  <c r="T76" i="49" s="1"/>
  <c r="P101" i="49"/>
  <c r="M16" i="49"/>
  <c r="M24" i="49"/>
  <c r="O24" i="49" s="1"/>
  <c r="BG19" i="59" l="1"/>
  <c r="AI17" i="47" s="1"/>
  <c r="T18" i="59"/>
  <c r="U18" i="59" s="1"/>
  <c r="BJ8" i="59"/>
  <c r="BQ8" i="59" s="1"/>
  <c r="BJ13" i="59"/>
  <c r="BQ13" i="59" s="1"/>
  <c r="BQ6" i="58"/>
  <c r="BQ9" i="58" s="1"/>
  <c r="AS16" i="47" s="1"/>
  <c r="BJ7" i="58"/>
  <c r="BI9" i="58"/>
  <c r="AK16" i="47" s="1"/>
  <c r="T12" i="57"/>
  <c r="U12" i="57" s="1"/>
  <c r="BJ12" i="57" s="1"/>
  <c r="BQ12" i="57" s="1"/>
  <c r="T16" i="57"/>
  <c r="U16" i="57" s="1"/>
  <c r="BJ16" i="57" s="1"/>
  <c r="BQ16" i="57" s="1"/>
  <c r="T11" i="55"/>
  <c r="U11" i="55" s="1"/>
  <c r="BJ11" i="55" s="1"/>
  <c r="BQ11" i="55" s="1"/>
  <c r="BJ14" i="56"/>
  <c r="BR14" i="56" s="1"/>
  <c r="W14" i="56"/>
  <c r="T15" i="56"/>
  <c r="U15" i="56" s="1"/>
  <c r="BJ15" i="56" s="1"/>
  <c r="BR15" i="56" s="1"/>
  <c r="P17" i="56"/>
  <c r="N14" i="47" s="1"/>
  <c r="T26" i="54"/>
  <c r="U26" i="54" s="1"/>
  <c r="BJ26" i="54" s="1"/>
  <c r="BR26" i="54" s="1"/>
  <c r="BJ37" i="54"/>
  <c r="BR37" i="54" s="1"/>
  <c r="W37" i="54"/>
  <c r="BL67" i="54"/>
  <c r="AN12" i="47" s="1"/>
  <c r="T42" i="54"/>
  <c r="U42" i="54" s="1"/>
  <c r="BJ42" i="54" s="1"/>
  <c r="BR42" i="54" s="1"/>
  <c r="T49" i="54"/>
  <c r="U49" i="54" s="1"/>
  <c r="BJ49" i="54" s="1"/>
  <c r="BR49" i="54" s="1"/>
  <c r="T13" i="53"/>
  <c r="U13" i="53" s="1"/>
  <c r="BJ13" i="53" s="1"/>
  <c r="BR13" i="53" s="1"/>
  <c r="T14" i="53"/>
  <c r="U14" i="53" s="1"/>
  <c r="BJ14" i="53" s="1"/>
  <c r="BR14" i="53" s="1"/>
  <c r="T29" i="53"/>
  <c r="U29" i="53" s="1"/>
  <c r="BJ29" i="53" s="1"/>
  <c r="BR29" i="53" s="1"/>
  <c r="BL25" i="53"/>
  <c r="BI45" i="53"/>
  <c r="AK9" i="47" s="1"/>
  <c r="BL45" i="53"/>
  <c r="AN9" i="47" s="1"/>
  <c r="T33" i="53"/>
  <c r="U33" i="53" s="1"/>
  <c r="BJ33" i="53" s="1"/>
  <c r="BR33" i="53" s="1"/>
  <c r="T23" i="53"/>
  <c r="U23" i="53" s="1"/>
  <c r="BJ23" i="53" s="1"/>
  <c r="BR23" i="53" s="1"/>
  <c r="W31" i="53"/>
  <c r="T9" i="52"/>
  <c r="U9" i="52" s="1"/>
  <c r="BJ9" i="52" s="1"/>
  <c r="BR9" i="52" s="1"/>
  <c r="T80" i="51"/>
  <c r="U80" i="51" s="1"/>
  <c r="BJ80" i="51" s="1"/>
  <c r="BR80" i="51" s="1"/>
  <c r="W34" i="51"/>
  <c r="T46" i="51"/>
  <c r="U46" i="51" s="1"/>
  <c r="BJ46" i="51" s="1"/>
  <c r="BR46" i="51" s="1"/>
  <c r="T66" i="51"/>
  <c r="U66" i="51" s="1"/>
  <c r="BJ66" i="51" s="1"/>
  <c r="BR66" i="51" s="1"/>
  <c r="T7" i="51"/>
  <c r="U7" i="51" s="1"/>
  <c r="BJ7" i="51" s="1"/>
  <c r="BR7" i="51" s="1"/>
  <c r="BL82" i="51"/>
  <c r="AN7" i="47" s="1"/>
  <c r="T21" i="51"/>
  <c r="U21" i="51" s="1"/>
  <c r="BJ21" i="51" s="1"/>
  <c r="BR21" i="51" s="1"/>
  <c r="T55" i="51"/>
  <c r="U55" i="51" s="1"/>
  <c r="BJ55" i="51" s="1"/>
  <c r="BR55" i="51" s="1"/>
  <c r="T73" i="51"/>
  <c r="U73" i="51" s="1"/>
  <c r="BJ73" i="51" s="1"/>
  <c r="BR73" i="51" s="1"/>
  <c r="V46" i="50"/>
  <c r="CB46" i="50" s="1"/>
  <c r="X18" i="47"/>
  <c r="T53" i="50"/>
  <c r="U53" i="50" s="1"/>
  <c r="BJ53" i="50" s="1"/>
  <c r="BQ53" i="50" s="1"/>
  <c r="T72" i="50"/>
  <c r="U72" i="50" s="1"/>
  <c r="BJ72" i="50" s="1"/>
  <c r="BQ72" i="50" s="1"/>
  <c r="BK110" i="50"/>
  <c r="AM6" i="47" s="1"/>
  <c r="T100" i="50"/>
  <c r="U100" i="50" s="1"/>
  <c r="BJ100" i="50" s="1"/>
  <c r="BQ100" i="50" s="1"/>
  <c r="T14" i="50"/>
  <c r="U14" i="50" s="1"/>
  <c r="BJ14" i="50" s="1"/>
  <c r="BQ14" i="50" s="1"/>
  <c r="T56" i="50"/>
  <c r="U56" i="50" s="1"/>
  <c r="BJ56" i="50" s="1"/>
  <c r="BQ56" i="50" s="1"/>
  <c r="V44" i="50"/>
  <c r="CB44" i="50" s="1"/>
  <c r="BI110" i="50"/>
  <c r="AK6" i="47" s="1"/>
  <c r="BQ6" i="50"/>
  <c r="T47" i="50"/>
  <c r="U47" i="50" s="1"/>
  <c r="BJ47" i="50" s="1"/>
  <c r="BQ47" i="50" s="1"/>
  <c r="V13" i="49"/>
  <c r="V53" i="49"/>
  <c r="V63" i="49"/>
  <c r="V43" i="49"/>
  <c r="V44" i="49"/>
  <c r="BK101" i="49"/>
  <c r="V22" i="49"/>
  <c r="BJ22" i="49"/>
  <c r="BQ22" i="49" s="1"/>
  <c r="V54" i="49"/>
  <c r="BJ54" i="49"/>
  <c r="BQ54" i="49" s="1"/>
  <c r="T115" i="49"/>
  <c r="U115" i="49" s="1"/>
  <c r="BJ115" i="49" s="1"/>
  <c r="BQ115" i="49" s="1"/>
  <c r="BK73" i="49"/>
  <c r="T24" i="49"/>
  <c r="U24" i="49" s="1"/>
  <c r="BJ24" i="49" s="1"/>
  <c r="BQ24" i="49" s="1"/>
  <c r="BK120" i="49"/>
  <c r="T51" i="49"/>
  <c r="U51" i="49" s="1"/>
  <c r="BJ51" i="49" s="1"/>
  <c r="BQ51" i="49" s="1"/>
  <c r="T92" i="49"/>
  <c r="U92" i="49" s="1"/>
  <c r="BJ92" i="49" s="1"/>
  <c r="BQ92" i="49" s="1"/>
  <c r="T40" i="49"/>
  <c r="U40" i="49" s="1"/>
  <c r="BJ40" i="49" s="1"/>
  <c r="BQ40" i="49" s="1"/>
  <c r="V26" i="49"/>
  <c r="BJ26" i="49"/>
  <c r="BQ26" i="49" s="1"/>
  <c r="BG45" i="53"/>
  <c r="AI9" i="47" s="1"/>
  <c r="AF18" i="47"/>
  <c r="AD18" i="47"/>
  <c r="B18" i="47"/>
  <c r="Z18" i="47"/>
  <c r="BK20" i="55"/>
  <c r="AM13" i="47" s="1"/>
  <c r="O18" i="47"/>
  <c r="Y18" i="47"/>
  <c r="Q18" i="47"/>
  <c r="AC18" i="47"/>
  <c r="P18" i="47"/>
  <c r="AB18" i="47"/>
  <c r="AE18" i="47"/>
  <c r="AA18" i="47"/>
  <c r="BH122" i="49"/>
  <c r="AJ5" i="47" s="1"/>
  <c r="BI73" i="49"/>
  <c r="BI122" i="49" s="1"/>
  <c r="AK5" i="47" s="1"/>
  <c r="L125" i="49"/>
  <c r="L122" i="49"/>
  <c r="J5" i="47" s="1"/>
  <c r="F122" i="49"/>
  <c r="D5" i="47" s="1"/>
  <c r="D18" i="47" s="1"/>
  <c r="T107" i="49"/>
  <c r="U107" i="49" s="1"/>
  <c r="BJ107" i="49" s="1"/>
  <c r="BQ107" i="49" s="1"/>
  <c r="T86" i="49"/>
  <c r="U86" i="49" s="1"/>
  <c r="BJ86" i="49" s="1"/>
  <c r="BQ86" i="49" s="1"/>
  <c r="T105" i="49"/>
  <c r="U105" i="49" s="1"/>
  <c r="T58" i="49"/>
  <c r="U58" i="49" s="1"/>
  <c r="BJ58" i="49" s="1"/>
  <c r="BQ58" i="49" s="1"/>
  <c r="T64" i="49"/>
  <c r="U64" i="49" s="1"/>
  <c r="BJ64" i="49" s="1"/>
  <c r="BQ64" i="49" s="1"/>
  <c r="T61" i="49"/>
  <c r="U61" i="49" s="1"/>
  <c r="BJ61" i="49" s="1"/>
  <c r="BQ61" i="49" s="1"/>
  <c r="V49" i="49"/>
  <c r="T80" i="49"/>
  <c r="U80" i="49" s="1"/>
  <c r="BJ80" i="49" s="1"/>
  <c r="BQ80" i="49" s="1"/>
  <c r="T35" i="49"/>
  <c r="U35" i="49" s="1"/>
  <c r="BJ35" i="49" s="1"/>
  <c r="BQ35" i="49" s="1"/>
  <c r="T114" i="49"/>
  <c r="U114" i="49" s="1"/>
  <c r="T39" i="49"/>
  <c r="U39" i="49" s="1"/>
  <c r="BJ39" i="49" s="1"/>
  <c r="BQ39" i="49" s="1"/>
  <c r="T108" i="49"/>
  <c r="U108" i="49" s="1"/>
  <c r="T27" i="49"/>
  <c r="U27" i="49" s="1"/>
  <c r="BJ27" i="49" s="1"/>
  <c r="BQ27" i="49" s="1"/>
  <c r="T32" i="49"/>
  <c r="U32" i="49" s="1"/>
  <c r="BJ32" i="49" s="1"/>
  <c r="BQ32" i="49" s="1"/>
  <c r="T8" i="49"/>
  <c r="U8" i="49" s="1"/>
  <c r="BJ8" i="49" s="1"/>
  <c r="BQ8" i="49" s="1"/>
  <c r="BM122" i="49"/>
  <c r="AO5" i="47" s="1"/>
  <c r="BG122" i="49"/>
  <c r="AI5" i="47" s="1"/>
  <c r="AG18" i="47"/>
  <c r="BG110" i="50"/>
  <c r="AI6" i="47" s="1"/>
  <c r="O57" i="49"/>
  <c r="T57" i="49"/>
  <c r="U57" i="49" s="1"/>
  <c r="BJ57" i="49" s="1"/>
  <c r="BQ57" i="49" s="1"/>
  <c r="V85" i="49"/>
  <c r="O19" i="49"/>
  <c r="T19" i="49"/>
  <c r="U19" i="49" s="1"/>
  <c r="BJ19" i="49" s="1"/>
  <c r="BQ19" i="49" s="1"/>
  <c r="O58" i="51"/>
  <c r="T58" i="51"/>
  <c r="U58" i="51" s="1"/>
  <c r="BJ58" i="51" s="1"/>
  <c r="BR58" i="51" s="1"/>
  <c r="W13" i="53"/>
  <c r="O76" i="49"/>
  <c r="O32" i="54"/>
  <c r="T32" i="54"/>
  <c r="U32" i="54" s="1"/>
  <c r="BJ32" i="54" s="1"/>
  <c r="BR32" i="54" s="1"/>
  <c r="O35" i="53"/>
  <c r="T35" i="53"/>
  <c r="U35" i="53" s="1"/>
  <c r="BJ35" i="53" s="1"/>
  <c r="BR35" i="53" s="1"/>
  <c r="O111" i="49"/>
  <c r="T111" i="49"/>
  <c r="U111" i="49" s="1"/>
  <c r="BJ111" i="49" s="1"/>
  <c r="BQ111" i="49" s="1"/>
  <c r="V51" i="49"/>
  <c r="O7" i="50"/>
  <c r="T7" i="50"/>
  <c r="M84" i="50"/>
  <c r="V64" i="49"/>
  <c r="O28" i="50"/>
  <c r="T28" i="50"/>
  <c r="U28" i="50" s="1"/>
  <c r="BJ28" i="50" s="1"/>
  <c r="BQ28" i="50" s="1"/>
  <c r="O39" i="50"/>
  <c r="T39" i="50"/>
  <c r="U39" i="50" s="1"/>
  <c r="BJ39" i="50" s="1"/>
  <c r="BQ39" i="50" s="1"/>
  <c r="V56" i="50"/>
  <c r="CB56" i="50" s="1"/>
  <c r="O71" i="50"/>
  <c r="T71" i="50"/>
  <c r="U71" i="50" s="1"/>
  <c r="BJ71" i="50" s="1"/>
  <c r="BQ71" i="50" s="1"/>
  <c r="P82" i="51"/>
  <c r="M6" i="51"/>
  <c r="O11" i="50"/>
  <c r="T11" i="50"/>
  <c r="U11" i="50" s="1"/>
  <c r="BJ11" i="50" s="1"/>
  <c r="BQ11" i="50" s="1"/>
  <c r="O48" i="49"/>
  <c r="T48" i="49"/>
  <c r="U48" i="49" s="1"/>
  <c r="BJ48" i="49" s="1"/>
  <c r="BQ48" i="49" s="1"/>
  <c r="O14" i="57"/>
  <c r="T14" i="57"/>
  <c r="U14" i="57" s="1"/>
  <c r="BJ14" i="57" s="1"/>
  <c r="BQ14" i="57" s="1"/>
  <c r="V97" i="50"/>
  <c r="CB97" i="50" s="1"/>
  <c r="V9" i="57"/>
  <c r="V92" i="49"/>
  <c r="O18" i="53"/>
  <c r="T18" i="53"/>
  <c r="U18" i="53" s="1"/>
  <c r="BJ18" i="53" s="1"/>
  <c r="BR18" i="53" s="1"/>
  <c r="O31" i="50"/>
  <c r="T31" i="50"/>
  <c r="U31" i="50" s="1"/>
  <c r="BJ31" i="50" s="1"/>
  <c r="BQ31" i="50" s="1"/>
  <c r="O32" i="51"/>
  <c r="T32" i="51"/>
  <c r="U32" i="51" s="1"/>
  <c r="BJ32" i="51" s="1"/>
  <c r="BR32" i="51" s="1"/>
  <c r="O76" i="50"/>
  <c r="T76" i="50"/>
  <c r="U76" i="50" s="1"/>
  <c r="BJ76" i="50" s="1"/>
  <c r="BQ76" i="50" s="1"/>
  <c r="O16" i="49"/>
  <c r="T16" i="49"/>
  <c r="U16" i="49" s="1"/>
  <c r="BJ16" i="49" s="1"/>
  <c r="BQ16" i="49" s="1"/>
  <c r="O25" i="49"/>
  <c r="T25" i="49"/>
  <c r="U25" i="49" s="1"/>
  <c r="BJ25" i="49" s="1"/>
  <c r="BQ25" i="49" s="1"/>
  <c r="W21" i="51"/>
  <c r="O9" i="49"/>
  <c r="T9" i="49"/>
  <c r="U9" i="49" s="1"/>
  <c r="BJ9" i="49" s="1"/>
  <c r="BQ9" i="49" s="1"/>
  <c r="V32" i="50"/>
  <c r="CB32" i="50" s="1"/>
  <c r="O90" i="50"/>
  <c r="T90" i="50"/>
  <c r="U90" i="50" s="1"/>
  <c r="BJ90" i="50" s="1"/>
  <c r="BQ90" i="50" s="1"/>
  <c r="O67" i="51"/>
  <c r="T67" i="51"/>
  <c r="U67" i="51" s="1"/>
  <c r="BJ67" i="51" s="1"/>
  <c r="BR67" i="51" s="1"/>
  <c r="J7" i="47"/>
  <c r="P84" i="51"/>
  <c r="O17" i="55"/>
  <c r="T17" i="55"/>
  <c r="U17" i="55" s="1"/>
  <c r="BJ17" i="55" s="1"/>
  <c r="BQ17" i="55" s="1"/>
  <c r="M13" i="56"/>
  <c r="O13" i="56" s="1"/>
  <c r="O8" i="58"/>
  <c r="O9" i="58" s="1"/>
  <c r="M16" i="47" s="1"/>
  <c r="M9" i="58"/>
  <c r="K16" i="47" s="1"/>
  <c r="T8" i="58"/>
  <c r="O18" i="54"/>
  <c r="T18" i="54"/>
  <c r="U18" i="54" s="1"/>
  <c r="BJ18" i="54" s="1"/>
  <c r="BR18" i="54" s="1"/>
  <c r="O14" i="49"/>
  <c r="T14" i="49"/>
  <c r="U14" i="49" s="1"/>
  <c r="BJ14" i="49" s="1"/>
  <c r="BQ14" i="49" s="1"/>
  <c r="W57" i="51"/>
  <c r="O34" i="54"/>
  <c r="T34" i="54"/>
  <c r="U34" i="54" s="1"/>
  <c r="BJ34" i="54" s="1"/>
  <c r="BR34" i="54" s="1"/>
  <c r="M108" i="50"/>
  <c r="O87" i="50"/>
  <c r="O108" i="50" s="1"/>
  <c r="W14" i="51"/>
  <c r="P73" i="49"/>
  <c r="P122" i="49" s="1"/>
  <c r="M7" i="49"/>
  <c r="U76" i="49"/>
  <c r="BJ76" i="49" s="1"/>
  <c r="BQ76" i="49" s="1"/>
  <c r="O45" i="49"/>
  <c r="T45" i="49"/>
  <c r="U45" i="49" s="1"/>
  <c r="BJ45" i="49" s="1"/>
  <c r="BQ45" i="49" s="1"/>
  <c r="O46" i="49"/>
  <c r="T46" i="49"/>
  <c r="U46" i="49" s="1"/>
  <c r="BJ46" i="49" s="1"/>
  <c r="BQ46" i="49" s="1"/>
  <c r="W33" i="51"/>
  <c r="O53" i="54"/>
  <c r="T53" i="54"/>
  <c r="U53" i="54" s="1"/>
  <c r="BJ53" i="54" s="1"/>
  <c r="BR53" i="54" s="1"/>
  <c r="O45" i="51"/>
  <c r="T45" i="51"/>
  <c r="U45" i="51" s="1"/>
  <c r="BJ45" i="51" s="1"/>
  <c r="BR45" i="51" s="1"/>
  <c r="O15" i="49"/>
  <c r="T15" i="49"/>
  <c r="U15" i="49" s="1"/>
  <c r="BJ15" i="49" s="1"/>
  <c r="BQ15" i="49" s="1"/>
  <c r="O110" i="49"/>
  <c r="T110" i="49"/>
  <c r="U110" i="49" s="1"/>
  <c r="BJ110" i="49" s="1"/>
  <c r="BQ110" i="49" s="1"/>
  <c r="O67" i="49"/>
  <c r="T67" i="49"/>
  <c r="U67" i="49" s="1"/>
  <c r="BJ67" i="49" s="1"/>
  <c r="BQ67" i="49" s="1"/>
  <c r="V6" i="50"/>
  <c r="V100" i="50"/>
  <c r="CB100" i="50" s="1"/>
  <c r="E5" i="47"/>
  <c r="E18" i="47" s="1"/>
  <c r="O26" i="50"/>
  <c r="T26" i="50"/>
  <c r="U26" i="50" s="1"/>
  <c r="BJ26" i="50" s="1"/>
  <c r="BQ26" i="50" s="1"/>
  <c r="V53" i="50"/>
  <c r="CB53" i="50" s="1"/>
  <c r="W68" i="51"/>
  <c r="O65" i="54"/>
  <c r="T65" i="54"/>
  <c r="U65" i="54" s="1"/>
  <c r="BJ65" i="54" s="1"/>
  <c r="BR65" i="54" s="1"/>
  <c r="W8" i="56"/>
  <c r="V24" i="49"/>
  <c r="O21" i="50"/>
  <c r="T21" i="50"/>
  <c r="U21" i="50" s="1"/>
  <c r="BJ21" i="50" s="1"/>
  <c r="BQ21" i="50" s="1"/>
  <c r="O48" i="50"/>
  <c r="T48" i="50"/>
  <c r="U48" i="50" s="1"/>
  <c r="BJ48" i="50" s="1"/>
  <c r="BQ48" i="50" s="1"/>
  <c r="W17" i="53"/>
  <c r="O34" i="49"/>
  <c r="T34" i="49"/>
  <c r="U34" i="49" s="1"/>
  <c r="BJ34" i="49" s="1"/>
  <c r="BQ34" i="49" s="1"/>
  <c r="O63" i="50"/>
  <c r="T63" i="50"/>
  <c r="U63" i="50" s="1"/>
  <c r="BJ63" i="50" s="1"/>
  <c r="BQ63" i="50" s="1"/>
  <c r="O50" i="50"/>
  <c r="T50" i="50"/>
  <c r="U50" i="50" s="1"/>
  <c r="BJ50" i="50" s="1"/>
  <c r="BQ50" i="50" s="1"/>
  <c r="W80" i="51"/>
  <c r="V11" i="55"/>
  <c r="O40" i="54"/>
  <c r="T40" i="54"/>
  <c r="U40" i="54" s="1"/>
  <c r="BJ40" i="54" s="1"/>
  <c r="BR40" i="54" s="1"/>
  <c r="J9" i="47"/>
  <c r="P47" i="53"/>
  <c r="M47" i="53"/>
  <c r="O16" i="54"/>
  <c r="T16" i="54"/>
  <c r="U16" i="54" s="1"/>
  <c r="BJ16" i="54" s="1"/>
  <c r="BR16" i="54" s="1"/>
  <c r="O75" i="51"/>
  <c r="T75" i="51"/>
  <c r="U75" i="51" s="1"/>
  <c r="BJ75" i="51" s="1"/>
  <c r="BR75" i="51" s="1"/>
  <c r="O12" i="53"/>
  <c r="T12" i="53"/>
  <c r="U12" i="53" s="1"/>
  <c r="BJ12" i="53" s="1"/>
  <c r="BR12" i="53" s="1"/>
  <c r="U87" i="50"/>
  <c r="BJ87" i="50" s="1"/>
  <c r="U7" i="54"/>
  <c r="BJ7" i="54" s="1"/>
  <c r="U7" i="52"/>
  <c r="BJ7" i="52" s="1"/>
  <c r="W65" i="51"/>
  <c r="W79" i="51"/>
  <c r="M57" i="54"/>
  <c r="P67" i="54"/>
  <c r="V19" i="55"/>
  <c r="V13" i="55"/>
  <c r="M7" i="57"/>
  <c r="T7" i="57" s="1"/>
  <c r="P23" i="57"/>
  <c r="N15" i="47" s="1"/>
  <c r="M22" i="59"/>
  <c r="N17" i="47"/>
  <c r="V96" i="49"/>
  <c r="V54" i="50"/>
  <c r="CB54" i="50" s="1"/>
  <c r="V59" i="49"/>
  <c r="V47" i="50"/>
  <c r="CB47" i="50" s="1"/>
  <c r="W14" i="53"/>
  <c r="W9" i="56"/>
  <c r="W37" i="51"/>
  <c r="M23" i="55"/>
  <c r="N13" i="47"/>
  <c r="W8" i="54"/>
  <c r="W8" i="53"/>
  <c r="BH18" i="59"/>
  <c r="V12" i="59"/>
  <c r="W55" i="51"/>
  <c r="W35" i="51"/>
  <c r="W16" i="53"/>
  <c r="W9" i="54"/>
  <c r="W7" i="51"/>
  <c r="W76" i="51"/>
  <c r="V106" i="49"/>
  <c r="W11" i="53"/>
  <c r="M9" i="59"/>
  <c r="O9" i="59" s="1"/>
  <c r="T9" i="59"/>
  <c r="U9" i="59" s="1"/>
  <c r="BJ9" i="59" s="1"/>
  <c r="BQ9" i="59" s="1"/>
  <c r="W73" i="51"/>
  <c r="U7" i="56"/>
  <c r="BJ7" i="56" s="1"/>
  <c r="V10" i="55"/>
  <c r="V21" i="57"/>
  <c r="W46" i="54"/>
  <c r="V83" i="49"/>
  <c r="M120" i="49"/>
  <c r="O104" i="49"/>
  <c r="P43" i="53"/>
  <c r="M28" i="53"/>
  <c r="T28" i="53" s="1"/>
  <c r="V9" i="50"/>
  <c r="CB9" i="50" s="1"/>
  <c r="M78" i="49"/>
  <c r="O78" i="49" s="1"/>
  <c r="V22" i="50"/>
  <c r="CB22" i="50" s="1"/>
  <c r="P110" i="50"/>
  <c r="W41" i="51"/>
  <c r="V18" i="55"/>
  <c r="L6" i="47"/>
  <c r="L18" i="47" s="1"/>
  <c r="M19" i="59"/>
  <c r="K17" i="47" s="1"/>
  <c r="O7" i="59"/>
  <c r="O19" i="59" s="1"/>
  <c r="M17" i="47" s="1"/>
  <c r="V68" i="49"/>
  <c r="T52" i="50"/>
  <c r="U52" i="50" s="1"/>
  <c r="BJ52" i="50" s="1"/>
  <c r="BQ52" i="50" s="1"/>
  <c r="T64" i="51"/>
  <c r="U64" i="51" s="1"/>
  <c r="BJ64" i="51" s="1"/>
  <c r="BR64" i="51" s="1"/>
  <c r="V90" i="49"/>
  <c r="T38" i="54"/>
  <c r="U38" i="54" s="1"/>
  <c r="BJ38" i="54" s="1"/>
  <c r="BR38" i="54" s="1"/>
  <c r="T89" i="49"/>
  <c r="U89" i="49" s="1"/>
  <c r="BJ89" i="49" s="1"/>
  <c r="BQ89" i="49" s="1"/>
  <c r="T119" i="49"/>
  <c r="U119" i="49" s="1"/>
  <c r="BJ119" i="49" s="1"/>
  <c r="BQ119" i="49" s="1"/>
  <c r="T94" i="50"/>
  <c r="U94" i="50" s="1"/>
  <c r="BJ94" i="50" s="1"/>
  <c r="BQ94" i="50" s="1"/>
  <c r="V64" i="50"/>
  <c r="CB64" i="50" s="1"/>
  <c r="T22" i="57"/>
  <c r="U22" i="57" s="1"/>
  <c r="BJ22" i="57" s="1"/>
  <c r="BQ22" i="57" s="1"/>
  <c r="T12" i="51"/>
  <c r="U12" i="51" s="1"/>
  <c r="BJ12" i="51" s="1"/>
  <c r="BR12" i="51" s="1"/>
  <c r="T11" i="54"/>
  <c r="U11" i="54" s="1"/>
  <c r="BJ11" i="54" s="1"/>
  <c r="BR11" i="54" s="1"/>
  <c r="W50" i="51"/>
  <c r="O6" i="55"/>
  <c r="T26" i="51"/>
  <c r="U26" i="51" s="1"/>
  <c r="BJ26" i="51" s="1"/>
  <c r="BR26" i="51" s="1"/>
  <c r="T18" i="57"/>
  <c r="U18" i="57" s="1"/>
  <c r="BJ18" i="57" s="1"/>
  <c r="BQ18" i="57" s="1"/>
  <c r="T49" i="51"/>
  <c r="U49" i="51" s="1"/>
  <c r="BJ49" i="51" s="1"/>
  <c r="BR49" i="51" s="1"/>
  <c r="V19" i="57"/>
  <c r="T23" i="49"/>
  <c r="U23" i="49" s="1"/>
  <c r="BJ23" i="49" s="1"/>
  <c r="BQ23" i="49" s="1"/>
  <c r="T55" i="49"/>
  <c r="U55" i="49" s="1"/>
  <c r="BJ55" i="49" s="1"/>
  <c r="BQ55" i="49" s="1"/>
  <c r="T17" i="50"/>
  <c r="U17" i="50" s="1"/>
  <c r="BJ17" i="50" s="1"/>
  <c r="BQ17" i="50" s="1"/>
  <c r="T12" i="49"/>
  <c r="U12" i="49" s="1"/>
  <c r="BJ12" i="49" s="1"/>
  <c r="BQ12" i="49" s="1"/>
  <c r="T27" i="50"/>
  <c r="U27" i="50" s="1"/>
  <c r="BJ27" i="50" s="1"/>
  <c r="BQ27" i="50" s="1"/>
  <c r="T94" i="49"/>
  <c r="U94" i="49" s="1"/>
  <c r="BJ94" i="49" s="1"/>
  <c r="BQ94" i="49" s="1"/>
  <c r="M12" i="56"/>
  <c r="O12" i="56" s="1"/>
  <c r="AH18" i="47"/>
  <c r="T10" i="54"/>
  <c r="U10" i="54" s="1"/>
  <c r="BJ10" i="54" s="1"/>
  <c r="BR10" i="54" s="1"/>
  <c r="L115" i="50"/>
  <c r="I6" i="47"/>
  <c r="I18" i="47" s="1"/>
  <c r="W30" i="51"/>
  <c r="T9" i="53"/>
  <c r="U9" i="53" s="1"/>
  <c r="BJ9" i="53" s="1"/>
  <c r="BR9" i="53" s="1"/>
  <c r="T15" i="57"/>
  <c r="U15" i="57" s="1"/>
  <c r="BJ15" i="57" s="1"/>
  <c r="BQ15" i="57" s="1"/>
  <c r="T11" i="57"/>
  <c r="U11" i="57" s="1"/>
  <c r="BJ11" i="57" s="1"/>
  <c r="BQ11" i="57" s="1"/>
  <c r="V13" i="57"/>
  <c r="W21" i="53"/>
  <c r="V18" i="50"/>
  <c r="CB18" i="50" s="1"/>
  <c r="W36" i="53"/>
  <c r="V15" i="50"/>
  <c r="CB15" i="50" s="1"/>
  <c r="V72" i="50"/>
  <c r="CB72" i="50" s="1"/>
  <c r="W72" i="51"/>
  <c r="P25" i="53"/>
  <c r="M7" i="53"/>
  <c r="T7" i="53" s="1"/>
  <c r="U6" i="55"/>
  <c r="BJ6" i="55" s="1"/>
  <c r="BQ6" i="55" s="1"/>
  <c r="O13" i="54"/>
  <c r="T13" i="54"/>
  <c r="U13" i="54" s="1"/>
  <c r="BJ13" i="54" s="1"/>
  <c r="BR13" i="54" s="1"/>
  <c r="W42" i="54"/>
  <c r="W74" i="51"/>
  <c r="W23" i="53"/>
  <c r="W15" i="56"/>
  <c r="W14" i="59"/>
  <c r="W19" i="59" s="1"/>
  <c r="U17" i="47" s="1"/>
  <c r="V30" i="49"/>
  <c r="W28" i="51"/>
  <c r="V62" i="50"/>
  <c r="CB62" i="50" s="1"/>
  <c r="J13" i="47"/>
  <c r="P23" i="55"/>
  <c r="M11" i="56"/>
  <c r="O11" i="56" s="1"/>
  <c r="O8" i="56"/>
  <c r="O17" i="56" s="1"/>
  <c r="M14" i="47" s="1"/>
  <c r="W52" i="51"/>
  <c r="M11" i="52"/>
  <c r="K8" i="47" s="1"/>
  <c r="O7" i="52"/>
  <c r="O11" i="52" s="1"/>
  <c r="M8" i="47" s="1"/>
  <c r="M31" i="54"/>
  <c r="P54" i="54"/>
  <c r="N11" i="47" s="1"/>
  <c r="W64" i="54"/>
  <c r="V7" i="58"/>
  <c r="V34" i="50"/>
  <c r="CB34" i="50" s="1"/>
  <c r="V60" i="50"/>
  <c r="CB60" i="50" s="1"/>
  <c r="U104" i="49"/>
  <c r="BJ104" i="49" s="1"/>
  <c r="BQ104" i="49" s="1"/>
  <c r="V38" i="50"/>
  <c r="CB38" i="50" s="1"/>
  <c r="V17" i="49"/>
  <c r="V77" i="49"/>
  <c r="W70" i="51"/>
  <c r="V58" i="50"/>
  <c r="CB58" i="50" s="1"/>
  <c r="W78" i="51"/>
  <c r="W36" i="54"/>
  <c r="T15" i="54"/>
  <c r="U15" i="54" s="1"/>
  <c r="BJ15" i="54" s="1"/>
  <c r="BR15" i="54" s="1"/>
  <c r="J12" i="47"/>
  <c r="L70" i="54"/>
  <c r="P71" i="54" s="1"/>
  <c r="M27" i="57"/>
  <c r="P27" i="57"/>
  <c r="J15" i="47"/>
  <c r="W33" i="54"/>
  <c r="U7" i="59"/>
  <c r="BJ7" i="59" s="1"/>
  <c r="T95" i="49"/>
  <c r="U95" i="49" s="1"/>
  <c r="BJ95" i="49" s="1"/>
  <c r="BQ95" i="49" s="1"/>
  <c r="V30" i="50"/>
  <c r="CB30" i="50" s="1"/>
  <c r="T92" i="50"/>
  <c r="U92" i="50" s="1"/>
  <c r="BJ92" i="50" s="1"/>
  <c r="BQ92" i="50" s="1"/>
  <c r="T24" i="53"/>
  <c r="U24" i="53" s="1"/>
  <c r="BJ24" i="53" s="1"/>
  <c r="BR24" i="53" s="1"/>
  <c r="T15" i="55"/>
  <c r="U15" i="55" s="1"/>
  <c r="BJ15" i="55" s="1"/>
  <c r="BQ15" i="55" s="1"/>
  <c r="V8" i="50"/>
  <c r="CB8" i="50" s="1"/>
  <c r="T73" i="50"/>
  <c r="U73" i="50" s="1"/>
  <c r="BJ73" i="50" s="1"/>
  <c r="BQ73" i="50" s="1"/>
  <c r="T45" i="50"/>
  <c r="U45" i="50" s="1"/>
  <c r="BJ45" i="50" s="1"/>
  <c r="BQ45" i="50" s="1"/>
  <c r="T15" i="51"/>
  <c r="U15" i="51" s="1"/>
  <c r="BJ15" i="51" s="1"/>
  <c r="BR15" i="51" s="1"/>
  <c r="T52" i="54"/>
  <c r="U52" i="54" s="1"/>
  <c r="BJ52" i="54" s="1"/>
  <c r="BR52" i="54" s="1"/>
  <c r="M28" i="54"/>
  <c r="K10" i="47" s="1"/>
  <c r="O7" i="54"/>
  <c r="T47" i="54"/>
  <c r="U47" i="54" s="1"/>
  <c r="BJ47" i="54" s="1"/>
  <c r="BR47" i="54" s="1"/>
  <c r="T14" i="55"/>
  <c r="U14" i="55" s="1"/>
  <c r="BJ14" i="55" s="1"/>
  <c r="BQ14" i="55" s="1"/>
  <c r="T59" i="51"/>
  <c r="U59" i="51" s="1"/>
  <c r="BJ59" i="51" s="1"/>
  <c r="BR59" i="51" s="1"/>
  <c r="T16" i="55"/>
  <c r="U16" i="55" s="1"/>
  <c r="BJ16" i="55" s="1"/>
  <c r="BQ16" i="55" s="1"/>
  <c r="J17" i="47"/>
  <c r="P22" i="59"/>
  <c r="T75" i="50"/>
  <c r="U75" i="50" s="1"/>
  <c r="BJ75" i="50" s="1"/>
  <c r="BQ75" i="50" s="1"/>
  <c r="V57" i="50"/>
  <c r="CB57" i="50" s="1"/>
  <c r="V36" i="49"/>
  <c r="V41" i="49"/>
  <c r="T91" i="49"/>
  <c r="U91" i="49" s="1"/>
  <c r="BJ91" i="49" s="1"/>
  <c r="BQ91" i="49" s="1"/>
  <c r="T82" i="49"/>
  <c r="U82" i="49" s="1"/>
  <c r="BJ82" i="49" s="1"/>
  <c r="BQ82" i="49" s="1"/>
  <c r="T12" i="50"/>
  <c r="U12" i="50" s="1"/>
  <c r="BJ12" i="50" s="1"/>
  <c r="BQ12" i="50" s="1"/>
  <c r="T19" i="51"/>
  <c r="U19" i="51" s="1"/>
  <c r="BJ19" i="51" s="1"/>
  <c r="BR19" i="51" s="1"/>
  <c r="W62" i="54"/>
  <c r="W69" i="51"/>
  <c r="T12" i="55"/>
  <c r="U12" i="55" s="1"/>
  <c r="BJ12" i="55" s="1"/>
  <c r="BQ12" i="55" s="1"/>
  <c r="T45" i="54"/>
  <c r="U45" i="54" s="1"/>
  <c r="BJ45" i="54" s="1"/>
  <c r="BR45" i="54" s="1"/>
  <c r="M9" i="55"/>
  <c r="O9" i="55" s="1"/>
  <c r="T9" i="55"/>
  <c r="U9" i="55" s="1"/>
  <c r="BJ9" i="55" s="1"/>
  <c r="BQ9" i="55" s="1"/>
  <c r="T61" i="51"/>
  <c r="U61" i="51" s="1"/>
  <c r="BJ61" i="51" s="1"/>
  <c r="BR61" i="51" s="1"/>
  <c r="W34" i="53"/>
  <c r="W43" i="54"/>
  <c r="T40" i="51"/>
  <c r="U40" i="51" s="1"/>
  <c r="BJ40" i="51" s="1"/>
  <c r="BR40" i="51" s="1"/>
  <c r="V6" i="58"/>
  <c r="T109" i="49"/>
  <c r="U109" i="49" s="1"/>
  <c r="BJ109" i="49" s="1"/>
  <c r="BQ109" i="49" s="1"/>
  <c r="T62" i="51"/>
  <c r="U62" i="51" s="1"/>
  <c r="BJ62" i="51" s="1"/>
  <c r="BR62" i="51" s="1"/>
  <c r="BN18" i="59" l="1"/>
  <c r="BN19" i="59" s="1"/>
  <c r="AP17" i="47" s="1"/>
  <c r="AP18" i="47" s="1"/>
  <c r="BI18" i="59"/>
  <c r="T19" i="59"/>
  <c r="R17" i="47" s="1"/>
  <c r="BJ18" i="59"/>
  <c r="BQ18" i="59" s="1"/>
  <c r="V18" i="59"/>
  <c r="BJ9" i="58"/>
  <c r="AL16" i="47" s="1"/>
  <c r="V12" i="57"/>
  <c r="V16" i="57"/>
  <c r="BQ20" i="55"/>
  <c r="AS13" i="47" s="1"/>
  <c r="BJ20" i="55"/>
  <c r="AL13" i="47" s="1"/>
  <c r="M17" i="56"/>
  <c r="K14" i="47" s="1"/>
  <c r="BR7" i="56"/>
  <c r="T13" i="56"/>
  <c r="U13" i="56" s="1"/>
  <c r="BJ13" i="56" s="1"/>
  <c r="BR13" i="56" s="1"/>
  <c r="O28" i="54"/>
  <c r="M10" i="47" s="1"/>
  <c r="W49" i="54"/>
  <c r="BR7" i="54"/>
  <c r="BR28" i="54" s="1"/>
  <c r="AT10" i="47" s="1"/>
  <c r="BJ28" i="54"/>
  <c r="AL10" i="47" s="1"/>
  <c r="W26" i="54"/>
  <c r="P45" i="53"/>
  <c r="N9" i="47" s="1"/>
  <c r="W33" i="53"/>
  <c r="AN18" i="47"/>
  <c r="E19" i="40" s="1"/>
  <c r="W29" i="53"/>
  <c r="BJ11" i="52"/>
  <c r="AL8" i="47" s="1"/>
  <c r="BR7" i="52"/>
  <c r="BR11" i="52" s="1"/>
  <c r="AT8" i="47" s="1"/>
  <c r="W9" i="52"/>
  <c r="T11" i="52"/>
  <c r="R8" i="47" s="1"/>
  <c r="W66" i="51"/>
  <c r="W46" i="51"/>
  <c r="BQ87" i="50"/>
  <c r="BQ108" i="50" s="1"/>
  <c r="BJ108" i="50"/>
  <c r="O84" i="50"/>
  <c r="V14" i="50"/>
  <c r="CB14" i="50" s="1"/>
  <c r="V80" i="49"/>
  <c r="V115" i="49"/>
  <c r="V39" i="49"/>
  <c r="V86" i="49"/>
  <c r="V58" i="49"/>
  <c r="V114" i="49"/>
  <c r="BJ114" i="49"/>
  <c r="BQ114" i="49" s="1"/>
  <c r="V27" i="49"/>
  <c r="V108" i="49"/>
  <c r="BJ108" i="49"/>
  <c r="BQ108" i="49" s="1"/>
  <c r="BK122" i="49"/>
  <c r="AM5" i="47" s="1"/>
  <c r="O120" i="49"/>
  <c r="V32" i="49"/>
  <c r="V40" i="49"/>
  <c r="V61" i="49"/>
  <c r="V35" i="49"/>
  <c r="V107" i="49"/>
  <c r="V105" i="49"/>
  <c r="BJ105" i="49"/>
  <c r="BQ105" i="49" s="1"/>
  <c r="BQ120" i="49" s="1"/>
  <c r="M110" i="50"/>
  <c r="K6" i="47" s="1"/>
  <c r="J18" i="47"/>
  <c r="P125" i="49"/>
  <c r="T120" i="49"/>
  <c r="T78" i="49"/>
  <c r="U78" i="49" s="1"/>
  <c r="BJ78" i="49" s="1"/>
  <c r="BQ78" i="49" s="1"/>
  <c r="BQ101" i="49" s="1"/>
  <c r="V8" i="49"/>
  <c r="AI18" i="47"/>
  <c r="T25" i="53"/>
  <c r="U7" i="53"/>
  <c r="BJ7" i="53" s="1"/>
  <c r="T43" i="53"/>
  <c r="U28" i="53"/>
  <c r="BJ28" i="53" s="1"/>
  <c r="N5" i="47"/>
  <c r="W62" i="51"/>
  <c r="V12" i="50"/>
  <c r="CB12" i="50" s="1"/>
  <c r="V16" i="55"/>
  <c r="V45" i="50"/>
  <c r="CB45" i="50" s="1"/>
  <c r="V15" i="55"/>
  <c r="V7" i="59"/>
  <c r="U19" i="59"/>
  <c r="S17" i="47" s="1"/>
  <c r="W15" i="54"/>
  <c r="V15" i="57"/>
  <c r="V12" i="49"/>
  <c r="W26" i="51"/>
  <c r="V89" i="49"/>
  <c r="W64" i="51"/>
  <c r="T115" i="50"/>
  <c r="N6" i="47"/>
  <c r="N12" i="47"/>
  <c r="P70" i="54"/>
  <c r="U108" i="50"/>
  <c r="V87" i="50"/>
  <c r="V50" i="50"/>
  <c r="CB50" i="50" s="1"/>
  <c r="V34" i="49"/>
  <c r="V48" i="50"/>
  <c r="CB48" i="50" s="1"/>
  <c r="W65" i="54"/>
  <c r="V46" i="49"/>
  <c r="T101" i="49"/>
  <c r="M73" i="49"/>
  <c r="O7" i="49"/>
  <c r="O73" i="49" s="1"/>
  <c r="O110" i="50"/>
  <c r="M6" i="47" s="1"/>
  <c r="V17" i="55"/>
  <c r="V90" i="50"/>
  <c r="CB90" i="50" s="1"/>
  <c r="V9" i="49"/>
  <c r="V76" i="50"/>
  <c r="CB76" i="50" s="1"/>
  <c r="V31" i="50"/>
  <c r="CB31" i="50" s="1"/>
  <c r="V14" i="57"/>
  <c r="V48" i="49"/>
  <c r="M82" i="51"/>
  <c r="K7" i="47" s="1"/>
  <c r="O6" i="51"/>
  <c r="O82" i="51" s="1"/>
  <c r="M7" i="47" s="1"/>
  <c r="V111" i="49"/>
  <c r="W35" i="53"/>
  <c r="O101" i="49"/>
  <c r="W58" i="51"/>
  <c r="V109" i="49"/>
  <c r="W40" i="51"/>
  <c r="W45" i="54"/>
  <c r="V82" i="49"/>
  <c r="V75" i="50"/>
  <c r="CB75" i="50" s="1"/>
  <c r="W59" i="51"/>
  <c r="V73" i="50"/>
  <c r="CB73" i="50" s="1"/>
  <c r="U120" i="49"/>
  <c r="V104" i="49"/>
  <c r="M54" i="54"/>
  <c r="K11" i="47" s="1"/>
  <c r="O31" i="54"/>
  <c r="O54" i="54" s="1"/>
  <c r="M11" i="47" s="1"/>
  <c r="T20" i="55"/>
  <c r="R13" i="47" s="1"/>
  <c r="W9" i="53"/>
  <c r="T12" i="56"/>
  <c r="U12" i="56" s="1"/>
  <c r="BJ12" i="56" s="1"/>
  <c r="BR12" i="56" s="1"/>
  <c r="V17" i="50"/>
  <c r="CB17" i="50" s="1"/>
  <c r="O20" i="55"/>
  <c r="M13" i="47" s="1"/>
  <c r="W11" i="54"/>
  <c r="W38" i="54"/>
  <c r="V52" i="50"/>
  <c r="CB52" i="50" s="1"/>
  <c r="V9" i="59"/>
  <c r="M67" i="54"/>
  <c r="O57" i="54"/>
  <c r="O67" i="54" s="1"/>
  <c r="U28" i="54"/>
  <c r="S10" i="47" s="1"/>
  <c r="W7" i="54"/>
  <c r="W12" i="53"/>
  <c r="W75" i="51"/>
  <c r="V67" i="49"/>
  <c r="V110" i="49"/>
  <c r="W45" i="51"/>
  <c r="V76" i="49"/>
  <c r="W18" i="54"/>
  <c r="T6" i="51"/>
  <c r="V28" i="50"/>
  <c r="CB28" i="50" s="1"/>
  <c r="M101" i="49"/>
  <c r="W61" i="51"/>
  <c r="V12" i="55"/>
  <c r="V91" i="49"/>
  <c r="V14" i="55"/>
  <c r="W52" i="54"/>
  <c r="W24" i="53"/>
  <c r="V95" i="49"/>
  <c r="T31" i="54"/>
  <c r="T11" i="56"/>
  <c r="U20" i="55"/>
  <c r="S13" i="47" s="1"/>
  <c r="V6" i="55"/>
  <c r="V11" i="57"/>
  <c r="W10" i="54"/>
  <c r="V94" i="49"/>
  <c r="V55" i="49"/>
  <c r="W49" i="51"/>
  <c r="M20" i="55"/>
  <c r="K13" i="47" s="1"/>
  <c r="W12" i="51"/>
  <c r="V94" i="50"/>
  <c r="CB94" i="50" s="1"/>
  <c r="M23" i="57"/>
  <c r="K15" i="47" s="1"/>
  <c r="O7" i="57"/>
  <c r="O23" i="57" s="1"/>
  <c r="M15" i="47" s="1"/>
  <c r="T57" i="54"/>
  <c r="T28" i="54"/>
  <c r="R10" i="47" s="1"/>
  <c r="W40" i="54"/>
  <c r="V63" i="50"/>
  <c r="CB63" i="50" s="1"/>
  <c r="V21" i="50"/>
  <c r="CB21" i="50" s="1"/>
  <c r="V26" i="50"/>
  <c r="CB26" i="50" s="1"/>
  <c r="V45" i="49"/>
  <c r="W34" i="54"/>
  <c r="W67" i="51"/>
  <c r="V25" i="49"/>
  <c r="V16" i="49"/>
  <c r="W32" i="51"/>
  <c r="W18" i="53"/>
  <c r="V11" i="50"/>
  <c r="CB11" i="50" s="1"/>
  <c r="N7" i="47"/>
  <c r="U7" i="50"/>
  <c r="BJ7" i="50" s="1"/>
  <c r="T84" i="50"/>
  <c r="W32" i="54"/>
  <c r="V19" i="49"/>
  <c r="V57" i="49"/>
  <c r="V9" i="55"/>
  <c r="W19" i="51"/>
  <c r="W47" i="54"/>
  <c r="W15" i="51"/>
  <c r="V92" i="50"/>
  <c r="CB92" i="50" s="1"/>
  <c r="W13" i="54"/>
  <c r="M25" i="53"/>
  <c r="O7" i="53"/>
  <c r="O25" i="53" s="1"/>
  <c r="V27" i="50"/>
  <c r="CB27" i="50" s="1"/>
  <c r="V23" i="49"/>
  <c r="V18" i="57"/>
  <c r="V22" i="57"/>
  <c r="V119" i="49"/>
  <c r="M43" i="53"/>
  <c r="M45" i="53" s="1"/>
  <c r="K9" i="47" s="1"/>
  <c r="O28" i="53"/>
  <c r="O43" i="53" s="1"/>
  <c r="AO27" i="47"/>
  <c r="W7" i="56"/>
  <c r="T23" i="57"/>
  <c r="R15" i="47" s="1"/>
  <c r="U7" i="57"/>
  <c r="BJ7" i="57" s="1"/>
  <c r="W7" i="52"/>
  <c r="U11" i="52"/>
  <c r="S8" i="47" s="1"/>
  <c r="BH11" i="52"/>
  <c r="AJ8" i="47" s="1"/>
  <c r="T108" i="50"/>
  <c r="W16" i="54"/>
  <c r="CB6" i="50"/>
  <c r="V15" i="49"/>
  <c r="W53" i="54"/>
  <c r="T7" i="49"/>
  <c r="V14" i="49"/>
  <c r="U8" i="58"/>
  <c r="BJ8" i="58" s="1"/>
  <c r="BS8" i="58" s="1"/>
  <c r="BS9" i="58" s="1"/>
  <c r="AU16" i="47" s="1"/>
  <c r="AU18" i="47" s="1"/>
  <c r="T9" i="58"/>
  <c r="R16" i="47" s="1"/>
  <c r="W13" i="56"/>
  <c r="V71" i="50"/>
  <c r="CB71" i="50" s="1"/>
  <c r="V39" i="50"/>
  <c r="CB39" i="50" s="1"/>
  <c r="BK18" i="59" l="1"/>
  <c r="BK19" i="59" s="1"/>
  <c r="AM17" i="47" s="1"/>
  <c r="BI19" i="59"/>
  <c r="AK17" i="47" s="1"/>
  <c r="AK18" i="47" s="1"/>
  <c r="AM18" i="47"/>
  <c r="D19" i="40" s="1"/>
  <c r="BJ19" i="59"/>
  <c r="AL17" i="47" s="1"/>
  <c r="BJ23" i="57"/>
  <c r="AL15" i="47" s="1"/>
  <c r="BQ7" i="57"/>
  <c r="BQ23" i="57" s="1"/>
  <c r="AS15" i="47" s="1"/>
  <c r="BR7" i="53"/>
  <c r="BR25" i="53" s="1"/>
  <c r="BJ25" i="53"/>
  <c r="BR28" i="53"/>
  <c r="BR43" i="53" s="1"/>
  <c r="BR45" i="53" s="1"/>
  <c r="AT9" i="47" s="1"/>
  <c r="BJ43" i="53"/>
  <c r="W11" i="52"/>
  <c r="U8" i="47" s="1"/>
  <c r="BQ7" i="50"/>
  <c r="BQ84" i="50" s="1"/>
  <c r="BQ110" i="50" s="1"/>
  <c r="AS6" i="47" s="1"/>
  <c r="BJ84" i="50"/>
  <c r="BJ110" i="50" s="1"/>
  <c r="AL6" i="47" s="1"/>
  <c r="V78" i="49"/>
  <c r="U101" i="49"/>
  <c r="O45" i="53"/>
  <c r="M9" i="47" s="1"/>
  <c r="T45" i="53"/>
  <c r="R9" i="47" s="1"/>
  <c r="T110" i="50"/>
  <c r="M115" i="50" s="1"/>
  <c r="M122" i="49"/>
  <c r="K5" i="47" s="1"/>
  <c r="O122" i="49"/>
  <c r="M5" i="47" s="1"/>
  <c r="O70" i="54"/>
  <c r="M12" i="47"/>
  <c r="V120" i="49"/>
  <c r="BH108" i="50"/>
  <c r="V8" i="58"/>
  <c r="V9" i="58" s="1"/>
  <c r="T16" i="47" s="1"/>
  <c r="BH9" i="58"/>
  <c r="AJ16" i="47" s="1"/>
  <c r="U9" i="58"/>
  <c r="S16" i="47" s="1"/>
  <c r="U23" i="57"/>
  <c r="S15" i="47" s="1"/>
  <c r="BH23" i="57"/>
  <c r="AJ15" i="47" s="1"/>
  <c r="V7" i="57"/>
  <c r="V23" i="57" s="1"/>
  <c r="T15" i="47" s="1"/>
  <c r="BH20" i="55"/>
  <c r="AJ13" i="47" s="1"/>
  <c r="V108" i="50"/>
  <c r="CB87" i="50"/>
  <c r="CB108" i="50" s="1"/>
  <c r="BH43" i="53"/>
  <c r="U43" i="53"/>
  <c r="W28" i="53"/>
  <c r="W43" i="53" s="1"/>
  <c r="BH84" i="50"/>
  <c r="V7" i="50"/>
  <c r="U84" i="50"/>
  <c r="U110" i="50" s="1"/>
  <c r="BJ101" i="49"/>
  <c r="U11" i="56"/>
  <c r="BJ11" i="56" s="1"/>
  <c r="T17" i="56"/>
  <c r="R14" i="47" s="1"/>
  <c r="U6" i="51"/>
  <c r="BJ6" i="51" s="1"/>
  <c r="T82" i="51"/>
  <c r="V101" i="49"/>
  <c r="W28" i="54"/>
  <c r="U10" i="47" s="1"/>
  <c r="M70" i="54"/>
  <c r="K12" i="47"/>
  <c r="BJ120" i="49"/>
  <c r="BH19" i="59"/>
  <c r="AJ17" i="47" s="1"/>
  <c r="BH25" i="53"/>
  <c r="U25" i="53"/>
  <c r="W7" i="53"/>
  <c r="W25" i="53" s="1"/>
  <c r="T73" i="49"/>
  <c r="T122" i="49" s="1"/>
  <c r="U7" i="49"/>
  <c r="BJ7" i="49" s="1"/>
  <c r="BQ7" i="49" s="1"/>
  <c r="BQ73" i="49" s="1"/>
  <c r="BQ122" i="49" s="1"/>
  <c r="AS5" i="47" s="1"/>
  <c r="U57" i="54"/>
  <c r="BJ57" i="54" s="1"/>
  <c r="T67" i="54"/>
  <c r="V20" i="55"/>
  <c r="T13" i="47" s="1"/>
  <c r="T54" i="54"/>
  <c r="R11" i="47" s="1"/>
  <c r="U31" i="54"/>
  <c r="BJ31" i="54" s="1"/>
  <c r="BH28" i="54"/>
  <c r="AJ10" i="47" s="1"/>
  <c r="W12" i="56"/>
  <c r="V19" i="59"/>
  <c r="T17" i="47" s="1"/>
  <c r="N18" i="47"/>
  <c r="BR11" i="56" l="1"/>
  <c r="BR17" i="56" s="1"/>
  <c r="AT14" i="47" s="1"/>
  <c r="BJ17" i="56"/>
  <c r="AL14" i="47" s="1"/>
  <c r="BR31" i="54"/>
  <c r="BR54" i="54" s="1"/>
  <c r="AT11" i="47" s="1"/>
  <c r="BJ54" i="54"/>
  <c r="AL11" i="47" s="1"/>
  <c r="BR57" i="54"/>
  <c r="BR67" i="54" s="1"/>
  <c r="AT12" i="47" s="1"/>
  <c r="BJ67" i="54"/>
  <c r="AL12" i="47" s="1"/>
  <c r="BJ45" i="53"/>
  <c r="AL9" i="47" s="1"/>
  <c r="BR6" i="51"/>
  <c r="BR82" i="51" s="1"/>
  <c r="AT7" i="47" s="1"/>
  <c r="BJ82" i="51"/>
  <c r="AL7" i="47" s="1"/>
  <c r="U115" i="50"/>
  <c r="R6" i="47"/>
  <c r="BH45" i="53"/>
  <c r="AJ9" i="47" s="1"/>
  <c r="U45" i="53"/>
  <c r="S9" i="47" s="1"/>
  <c r="M18" i="47"/>
  <c r="K18" i="47"/>
  <c r="R5" i="47"/>
  <c r="M125" i="49"/>
  <c r="X118" i="50"/>
  <c r="S6" i="47"/>
  <c r="BV123" i="50"/>
  <c r="BH17" i="56"/>
  <c r="AJ14" i="47" s="1"/>
  <c r="W11" i="56"/>
  <c r="W17" i="56" s="1"/>
  <c r="U14" i="47" s="1"/>
  <c r="U17" i="56"/>
  <c r="S14" i="47" s="1"/>
  <c r="BJ73" i="49"/>
  <c r="BJ122" i="49" s="1"/>
  <c r="AL5" i="47" s="1"/>
  <c r="V7" i="49"/>
  <c r="V73" i="49" s="1"/>
  <c r="V122" i="49" s="1"/>
  <c r="T5" i="47" s="1"/>
  <c r="U73" i="49"/>
  <c r="U122" i="49" s="1"/>
  <c r="S5" i="47" s="1"/>
  <c r="R7" i="47"/>
  <c r="M84" i="51"/>
  <c r="BH110" i="50"/>
  <c r="U54" i="54"/>
  <c r="S11" i="47" s="1"/>
  <c r="BH54" i="54"/>
  <c r="AJ11" i="47" s="1"/>
  <c r="W31" i="54"/>
  <c r="W54" i="54" s="1"/>
  <c r="U11" i="47" s="1"/>
  <c r="U67" i="54"/>
  <c r="W57" i="54"/>
  <c r="W67" i="54" s="1"/>
  <c r="BH67" i="54"/>
  <c r="AJ12" i="47" s="1"/>
  <c r="CB7" i="50"/>
  <c r="V84" i="50"/>
  <c r="V110" i="50" s="1"/>
  <c r="R12" i="47"/>
  <c r="T70" i="54"/>
  <c r="M71" i="54" s="1"/>
  <c r="BH82" i="51"/>
  <c r="U82" i="51"/>
  <c r="S7" i="47" s="1"/>
  <c r="W6" i="51"/>
  <c r="W82" i="51" s="1"/>
  <c r="U7" i="47" s="1"/>
  <c r="W45" i="53"/>
  <c r="U9" i="47" s="1"/>
  <c r="F16" i="44"/>
  <c r="Q14" i="44"/>
  <c r="Q16" i="44" s="1"/>
  <c r="F13" i="43" s="1"/>
  <c r="M13" i="44"/>
  <c r="M16" i="44" s="1"/>
  <c r="N10" i="44"/>
  <c r="R10" i="44" s="1"/>
  <c r="K9" i="44"/>
  <c r="R9" i="44" s="1"/>
  <c r="G8" i="44"/>
  <c r="G7" i="44"/>
  <c r="I16" i="44"/>
  <c r="J7" i="44"/>
  <c r="J16" i="44" s="1"/>
  <c r="F12" i="43" s="1"/>
  <c r="L16" i="44"/>
  <c r="E16" i="44"/>
  <c r="C16" i="44"/>
  <c r="R15" i="44"/>
  <c r="R12" i="44"/>
  <c r="R5" i="44"/>
  <c r="R4" i="44"/>
  <c r="G14" i="43"/>
  <c r="G22" i="42"/>
  <c r="E20" i="40"/>
  <c r="D20" i="40"/>
  <c r="G18" i="40"/>
  <c r="D13" i="40"/>
  <c r="H19" i="38"/>
  <c r="E19" i="38"/>
  <c r="K18" i="38"/>
  <c r="H18" i="38"/>
  <c r="E18" i="38"/>
  <c r="H17" i="38"/>
  <c r="G16" i="38"/>
  <c r="G20" i="38" s="1"/>
  <c r="G21" i="38" s="1"/>
  <c r="F16" i="38"/>
  <c r="F20" i="38" s="1"/>
  <c r="D16" i="38"/>
  <c r="D21" i="38" s="1"/>
  <c r="H15" i="38"/>
  <c r="E15" i="38"/>
  <c r="H14" i="38"/>
  <c r="E14" i="38"/>
  <c r="K12" i="38"/>
  <c r="H12" i="38"/>
  <c r="E12" i="38"/>
  <c r="H11" i="38"/>
  <c r="E11" i="38"/>
  <c r="H10" i="38"/>
  <c r="E10" i="38"/>
  <c r="C16" i="38"/>
  <c r="H9" i="38"/>
  <c r="E9" i="38"/>
  <c r="K16" i="44" l="1"/>
  <c r="AJ7" i="47"/>
  <c r="AJ6" i="47"/>
  <c r="AJ18" i="47" s="1"/>
  <c r="R14" i="44"/>
  <c r="R11" i="44"/>
  <c r="AL18" i="47"/>
  <c r="CB114" i="50"/>
  <c r="T6" i="47"/>
  <c r="T18" i="47" s="1"/>
  <c r="W70" i="54"/>
  <c r="U12" i="47"/>
  <c r="U18" i="47" s="1"/>
  <c r="U70" i="54"/>
  <c r="S12" i="47"/>
  <c r="S18" i="47" s="1"/>
  <c r="R18" i="47"/>
  <c r="E22" i="40"/>
  <c r="E23" i="40" s="1"/>
  <c r="D22" i="40"/>
  <c r="D23" i="40" s="1"/>
  <c r="R13" i="44"/>
  <c r="N16" i="44"/>
  <c r="G16" i="44"/>
  <c r="F8" i="43" s="1"/>
  <c r="R6" i="44"/>
  <c r="H16" i="38"/>
  <c r="G21" i="40"/>
  <c r="C21" i="38"/>
  <c r="E21" i="38" s="1"/>
  <c r="E16" i="38"/>
  <c r="C20" i="38"/>
  <c r="H20" i="38"/>
  <c r="H21" i="38" s="1"/>
  <c r="F21" i="38"/>
  <c r="D20" i="38"/>
  <c r="U21" i="97" s="1"/>
  <c r="T21" i="97" l="1"/>
  <c r="F8" i="100"/>
  <c r="U23" i="12"/>
  <c r="T23" i="12"/>
  <c r="E20" i="38"/>
  <c r="F13" i="100" l="1"/>
  <c r="J8" i="100"/>
  <c r="L15" i="33"/>
  <c r="N104" i="3"/>
  <c r="T15" i="37"/>
  <c r="U15" i="37" s="1"/>
  <c r="O15" i="37"/>
  <c r="Y14" i="37"/>
  <c r="W18" i="12" s="1"/>
  <c r="R14" i="37"/>
  <c r="Q14" i="37"/>
  <c r="N14" i="37"/>
  <c r="J14" i="37"/>
  <c r="I14" i="37"/>
  <c r="G18" i="12" s="1"/>
  <c r="H14" i="37"/>
  <c r="F18" i="12" s="1"/>
  <c r="G14" i="37"/>
  <c r="E18" i="12" s="1"/>
  <c r="E14" i="37"/>
  <c r="C18" i="12" s="1"/>
  <c r="D14" i="37"/>
  <c r="B18" i="12" s="1"/>
  <c r="K13" i="37"/>
  <c r="L13" i="37" s="1"/>
  <c r="F13" i="37"/>
  <c r="K12" i="37"/>
  <c r="L12" i="37" s="1"/>
  <c r="F12" i="37"/>
  <c r="K11" i="37"/>
  <c r="L11" i="37" s="1"/>
  <c r="F11" i="37"/>
  <c r="F10" i="96" s="1"/>
  <c r="F13" i="96" s="1"/>
  <c r="K10" i="37"/>
  <c r="L10" i="37" s="1"/>
  <c r="P10" i="37" s="1"/>
  <c r="F10" i="37"/>
  <c r="K9" i="37"/>
  <c r="L9" i="37" s="1"/>
  <c r="F9" i="37"/>
  <c r="K8" i="37"/>
  <c r="L8" i="37" s="1"/>
  <c r="F8" i="37"/>
  <c r="K7" i="37"/>
  <c r="L7" i="37" s="1"/>
  <c r="P7" i="37" s="1"/>
  <c r="F7" i="37"/>
  <c r="S6" i="37"/>
  <c r="S14" i="37" s="1"/>
  <c r="Q18" i="12" s="1"/>
  <c r="K6" i="37"/>
  <c r="F6" i="37"/>
  <c r="A6" i="37"/>
  <c r="A7" i="37" s="1"/>
  <c r="A8" i="37" s="1"/>
  <c r="A9" i="37" s="1"/>
  <c r="A10" i="37" s="1"/>
  <c r="A11" i="37" s="1"/>
  <c r="A12" i="37" s="1"/>
  <c r="A13" i="37" s="1"/>
  <c r="A14" i="37" s="1"/>
  <c r="U5" i="37"/>
  <c r="O5" i="37"/>
  <c r="J10" i="100" l="1"/>
  <c r="J9" i="100"/>
  <c r="J12" i="100"/>
  <c r="D7" i="97"/>
  <c r="F22" i="96"/>
  <c r="K14" i="37"/>
  <c r="I18" i="12" s="1"/>
  <c r="F14" i="37"/>
  <c r="D18" i="12" s="1"/>
  <c r="L18" i="12"/>
  <c r="P18" i="12"/>
  <c r="H18" i="12"/>
  <c r="O18" i="12"/>
  <c r="P9" i="37"/>
  <c r="M7" i="37"/>
  <c r="T7" i="37" s="1"/>
  <c r="U7" i="37" s="1"/>
  <c r="V7" i="37" s="1"/>
  <c r="P8" i="37"/>
  <c r="P12" i="37"/>
  <c r="P11" i="37"/>
  <c r="M10" i="37"/>
  <c r="T10" i="37" s="1"/>
  <c r="U10" i="37" s="1"/>
  <c r="V10" i="37" s="1"/>
  <c r="P13" i="37"/>
  <c r="M13" i="37" s="1"/>
  <c r="L6" i="37"/>
  <c r="J13" i="100" l="1"/>
  <c r="O7" i="37"/>
  <c r="P6" i="37"/>
  <c r="L14" i="37"/>
  <c r="J18" i="12" s="1"/>
  <c r="M12" i="37"/>
  <c r="O12" i="37" s="1"/>
  <c r="M8" i="37"/>
  <c r="O8" i="37" s="1"/>
  <c r="M9" i="37"/>
  <c r="O9" i="37" s="1"/>
  <c r="O10" i="37"/>
  <c r="O13" i="37"/>
  <c r="O11" i="37"/>
  <c r="O10" i="96" s="1"/>
  <c r="O13" i="96" s="1"/>
  <c r="M7" i="97" l="1"/>
  <c r="O22" i="96"/>
  <c r="T8" i="37"/>
  <c r="U8" i="37" s="1"/>
  <c r="V8" i="37" s="1"/>
  <c r="T12" i="37"/>
  <c r="U12" i="37" s="1"/>
  <c r="V12" i="37" s="1"/>
  <c r="T9" i="37"/>
  <c r="U9" i="37" s="1"/>
  <c r="V9" i="37" s="1"/>
  <c r="T11" i="37"/>
  <c r="T13" i="37"/>
  <c r="U13" i="37" s="1"/>
  <c r="V13" i="37" s="1"/>
  <c r="P14" i="37"/>
  <c r="M6" i="37"/>
  <c r="U11" i="37" l="1"/>
  <c r="U10" i="96" s="1"/>
  <c r="U13" i="96" s="1"/>
  <c r="T10" i="96"/>
  <c r="T13" i="96" s="1"/>
  <c r="W14" i="37"/>
  <c r="U18" i="12"/>
  <c r="E12" i="81"/>
  <c r="N18" i="12"/>
  <c r="M14" i="37"/>
  <c r="K18" i="12" s="1"/>
  <c r="O6" i="37"/>
  <c r="O14" i="37" s="1"/>
  <c r="T6" i="37"/>
  <c r="Z11" i="37" l="1"/>
  <c r="Z14" i="37" s="1"/>
  <c r="X18" i="12" s="1"/>
  <c r="R7" i="97"/>
  <c r="T22" i="96"/>
  <c r="S7" i="97"/>
  <c r="F8" i="61" s="1"/>
  <c r="U22" i="96"/>
  <c r="M18" i="12"/>
  <c r="U6" i="37"/>
  <c r="T14" i="37"/>
  <c r="Z10" i="96" l="1"/>
  <c r="Z13" i="96" s="1"/>
  <c r="Z22" i="96" s="1"/>
  <c r="X7" i="97"/>
  <c r="X17" i="97" s="1"/>
  <c r="R18" i="12"/>
  <c r="U14" i="37"/>
  <c r="F6" i="81" s="1"/>
  <c r="V6" i="37"/>
  <c r="V14" i="37" s="1"/>
  <c r="T18" i="12" l="1"/>
  <c r="E11" i="81"/>
  <c r="E13" i="81" s="1"/>
  <c r="S18" i="12"/>
  <c r="F21" i="42" s="1"/>
  <c r="Q16" i="36"/>
  <c r="Q15" i="36"/>
  <c r="Q17" i="36" s="1"/>
  <c r="Q13" i="36"/>
  <c r="T10" i="36"/>
  <c r="U10" i="36" s="1"/>
  <c r="O10" i="36"/>
  <c r="Z9" i="36"/>
  <c r="X17" i="12" s="1"/>
  <c r="Y9" i="36"/>
  <c r="W17" i="12" s="1"/>
  <c r="W9" i="36"/>
  <c r="U17" i="12" s="1"/>
  <c r="R9" i="36"/>
  <c r="P17" i="12" s="1"/>
  <c r="Q9" i="36"/>
  <c r="O17" i="12" s="1"/>
  <c r="N9" i="36"/>
  <c r="L17" i="12" s="1"/>
  <c r="J9" i="36"/>
  <c r="H17" i="12" s="1"/>
  <c r="I9" i="36"/>
  <c r="G17" i="12" s="1"/>
  <c r="H9" i="36"/>
  <c r="F17" i="12" s="1"/>
  <c r="G9" i="36"/>
  <c r="E9" i="36"/>
  <c r="C17" i="12" s="1"/>
  <c r="A9" i="36"/>
  <c r="S8" i="36"/>
  <c r="K8" i="36"/>
  <c r="L8" i="36" s="1"/>
  <c r="P8" i="36" s="1"/>
  <c r="F8" i="36"/>
  <c r="S7" i="36"/>
  <c r="K7" i="36"/>
  <c r="L7" i="36" s="1"/>
  <c r="D7" i="36"/>
  <c r="F7" i="36" s="1"/>
  <c r="A7" i="36"/>
  <c r="S6" i="36"/>
  <c r="K6" i="36"/>
  <c r="L6" i="36" s="1"/>
  <c r="F6" i="36"/>
  <c r="F11" i="81" l="1"/>
  <c r="F12" i="81"/>
  <c r="D9" i="36"/>
  <c r="B17" i="12" s="1"/>
  <c r="S9" i="36"/>
  <c r="Q17" i="12" s="1"/>
  <c r="K9" i="36"/>
  <c r="I17" i="12" s="1"/>
  <c r="F9" i="36"/>
  <c r="D17" i="12" s="1"/>
  <c r="E17" i="12"/>
  <c r="L9" i="36"/>
  <c r="J17" i="12" s="1"/>
  <c r="P6" i="36"/>
  <c r="P7" i="36"/>
  <c r="M8" i="36"/>
  <c r="O8" i="36" s="1"/>
  <c r="F13" i="81" l="1"/>
  <c r="T8" i="36"/>
  <c r="U8" i="36" s="1"/>
  <c r="V8" i="36" s="1"/>
  <c r="M7" i="36"/>
  <c r="O7" i="36" s="1"/>
  <c r="M6" i="36"/>
  <c r="P9" i="36"/>
  <c r="N17" i="12" s="1"/>
  <c r="T7" i="36" l="1"/>
  <c r="U7" i="36" s="1"/>
  <c r="V7" i="36" s="1"/>
  <c r="M9" i="36"/>
  <c r="K17" i="12" s="1"/>
  <c r="O6" i="36"/>
  <c r="O9" i="36" s="1"/>
  <c r="T6" i="36"/>
  <c r="M17" i="12" l="1"/>
  <c r="T9" i="36"/>
  <c r="R17" i="12" s="1"/>
  <c r="U6" i="36"/>
  <c r="U9" i="36" l="1"/>
  <c r="S17" i="12" s="1"/>
  <c r="F20" i="42" s="1"/>
  <c r="V6" i="36"/>
  <c r="V9" i="36" s="1"/>
  <c r="T17" i="12" s="1"/>
  <c r="X16" i="12" l="1"/>
  <c r="W16" i="12"/>
  <c r="U16" i="12"/>
  <c r="P16" i="12"/>
  <c r="O16" i="12"/>
  <c r="L16" i="12"/>
  <c r="H16" i="12"/>
  <c r="G16" i="12"/>
  <c r="F16" i="12"/>
  <c r="C16" i="12"/>
  <c r="S20" i="35"/>
  <c r="K20" i="35"/>
  <c r="L20" i="35" s="1"/>
  <c r="P20" i="35" s="1"/>
  <c r="F20" i="35"/>
  <c r="S19" i="35"/>
  <c r="K19" i="35"/>
  <c r="L19" i="35" s="1"/>
  <c r="P19" i="35" s="1"/>
  <c r="F19" i="35"/>
  <c r="S18" i="35"/>
  <c r="K18" i="35"/>
  <c r="L18" i="35" s="1"/>
  <c r="F18" i="35"/>
  <c r="S17" i="35"/>
  <c r="K17" i="35"/>
  <c r="L17" i="35" s="1"/>
  <c r="F17" i="35"/>
  <c r="S16" i="35"/>
  <c r="K16" i="35"/>
  <c r="L16" i="35" s="1"/>
  <c r="P16" i="35" s="1"/>
  <c r="F16" i="35"/>
  <c r="S15" i="35"/>
  <c r="K15" i="35"/>
  <c r="L15" i="35" s="1"/>
  <c r="P15" i="35" s="1"/>
  <c r="F15" i="35"/>
  <c r="S14" i="35"/>
  <c r="K14" i="35"/>
  <c r="L14" i="35" s="1"/>
  <c r="F14" i="35"/>
  <c r="S13" i="35"/>
  <c r="K13" i="35"/>
  <c r="L13" i="35" s="1"/>
  <c r="G13" i="35"/>
  <c r="F13" i="35"/>
  <c r="S12" i="35"/>
  <c r="K12" i="35"/>
  <c r="L12" i="35" s="1"/>
  <c r="F12" i="35"/>
  <c r="S11" i="35"/>
  <c r="K11" i="35"/>
  <c r="L11" i="35" s="1"/>
  <c r="F11" i="35"/>
  <c r="S10" i="35"/>
  <c r="K10" i="35"/>
  <c r="L10" i="35" s="1"/>
  <c r="P10" i="35" s="1"/>
  <c r="F10" i="35"/>
  <c r="S9" i="35"/>
  <c r="K9" i="35"/>
  <c r="L9" i="35" s="1"/>
  <c r="P9" i="35" s="1"/>
  <c r="F9" i="35"/>
  <c r="S8" i="35"/>
  <c r="K8" i="35"/>
  <c r="L8" i="35" s="1"/>
  <c r="F8" i="35"/>
  <c r="S7" i="35"/>
  <c r="K7" i="35"/>
  <c r="F7" i="35"/>
  <c r="S6" i="35"/>
  <c r="K6" i="35"/>
  <c r="D6" i="35"/>
  <c r="A6" i="35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T5" i="35"/>
  <c r="U5" i="35" s="1"/>
  <c r="O5" i="35"/>
  <c r="S23" i="35" l="1"/>
  <c r="Q16" i="12" s="1"/>
  <c r="G23" i="35"/>
  <c r="E16" i="12" s="1"/>
  <c r="D23" i="35"/>
  <c r="B16" i="12" s="1"/>
  <c r="L7" i="35"/>
  <c r="P7" i="35" s="1"/>
  <c r="K23" i="35"/>
  <c r="M10" i="35"/>
  <c r="O10" i="35" s="1"/>
  <c r="M9" i="35"/>
  <c r="O9" i="35" s="1"/>
  <c r="M19" i="35"/>
  <c r="O19" i="35" s="1"/>
  <c r="M15" i="35"/>
  <c r="O15" i="35" s="1"/>
  <c r="P17" i="35"/>
  <c r="P8" i="35"/>
  <c r="P12" i="35"/>
  <c r="P13" i="35"/>
  <c r="P11" i="35"/>
  <c r="T10" i="35"/>
  <c r="U10" i="35" s="1"/>
  <c r="V10" i="35" s="1"/>
  <c r="M16" i="35"/>
  <c r="O16" i="35" s="1"/>
  <c r="M20" i="35"/>
  <c r="O20" i="35" s="1"/>
  <c r="P14" i="35"/>
  <c r="P18" i="35"/>
  <c r="F6" i="35"/>
  <c r="F23" i="35" s="1"/>
  <c r="L6" i="35"/>
  <c r="L23" i="35" l="1"/>
  <c r="T15" i="35"/>
  <c r="U15" i="35" s="1"/>
  <c r="V15" i="35" s="1"/>
  <c r="T19" i="35"/>
  <c r="U19" i="35" s="1"/>
  <c r="V19" i="35" s="1"/>
  <c r="T9" i="35"/>
  <c r="U9" i="35" s="1"/>
  <c r="V9" i="35" s="1"/>
  <c r="D16" i="12"/>
  <c r="I16" i="12"/>
  <c r="M18" i="35"/>
  <c r="O18" i="35" s="1"/>
  <c r="M11" i="35"/>
  <c r="O11" i="35" s="1"/>
  <c r="J16" i="12"/>
  <c r="P6" i="35"/>
  <c r="P23" i="35" s="1"/>
  <c r="T20" i="35"/>
  <c r="U20" i="35" s="1"/>
  <c r="V20" i="35" s="1"/>
  <c r="M12" i="35"/>
  <c r="O12" i="35" s="1"/>
  <c r="M17" i="35"/>
  <c r="O17" i="35" s="1"/>
  <c r="M14" i="35"/>
  <c r="O14" i="35" s="1"/>
  <c r="M7" i="35"/>
  <c r="O7" i="35" s="1"/>
  <c r="T16" i="35"/>
  <c r="U16" i="35" s="1"/>
  <c r="V16" i="35" s="1"/>
  <c r="M13" i="35"/>
  <c r="O13" i="35" s="1"/>
  <c r="M8" i="35"/>
  <c r="O8" i="35" s="1"/>
  <c r="T8" i="35" l="1"/>
  <c r="U8" i="35" s="1"/>
  <c r="V8" i="35" s="1"/>
  <c r="T18" i="35"/>
  <c r="U18" i="35" s="1"/>
  <c r="V18" i="35" s="1"/>
  <c r="T7" i="35"/>
  <c r="U7" i="35" s="1"/>
  <c r="V7" i="35" s="1"/>
  <c r="T13" i="35"/>
  <c r="U13" i="35" s="1"/>
  <c r="V13" i="35" s="1"/>
  <c r="T14" i="35"/>
  <c r="U14" i="35" s="1"/>
  <c r="V14" i="35" s="1"/>
  <c r="T12" i="35"/>
  <c r="U12" i="35" s="1"/>
  <c r="V12" i="35" s="1"/>
  <c r="T11" i="35"/>
  <c r="U11" i="35" s="1"/>
  <c r="V11" i="35" s="1"/>
  <c r="N16" i="12"/>
  <c r="M6" i="35"/>
  <c r="M23" i="35" s="1"/>
  <c r="T17" i="35"/>
  <c r="U17" i="35" s="1"/>
  <c r="V17" i="35" s="1"/>
  <c r="K16" i="12" l="1"/>
  <c r="O6" i="35"/>
  <c r="T6" i="35"/>
  <c r="T23" i="35" s="1"/>
  <c r="O23" i="35" l="1"/>
  <c r="M16" i="12" s="1"/>
  <c r="R16" i="12"/>
  <c r="U6" i="35"/>
  <c r="U23" i="35" s="1"/>
  <c r="F6" i="79" s="1"/>
  <c r="S16" i="12" l="1"/>
  <c r="F19" i="42" s="1"/>
  <c r="V6" i="35"/>
  <c r="V23" i="35" l="1"/>
  <c r="T16" i="12" s="1"/>
  <c r="W15" i="34"/>
  <c r="S15" i="34"/>
  <c r="K15" i="34"/>
  <c r="L15" i="34" s="1"/>
  <c r="P15" i="34" s="1"/>
  <c r="AB14" i="34"/>
  <c r="Z14" i="34"/>
  <c r="X15" i="12" s="1"/>
  <c r="Y14" i="34"/>
  <c r="W15" i="12" s="1"/>
  <c r="R14" i="34"/>
  <c r="Q14" i="34"/>
  <c r="O15" i="12" s="1"/>
  <c r="N14" i="34"/>
  <c r="L15" i="12" s="1"/>
  <c r="J14" i="34"/>
  <c r="I14" i="34"/>
  <c r="G15" i="12" s="1"/>
  <c r="H14" i="34"/>
  <c r="F15" i="12" s="1"/>
  <c r="G14" i="34"/>
  <c r="E15" i="12" s="1"/>
  <c r="E14" i="34"/>
  <c r="C15" i="12" s="1"/>
  <c r="S13" i="34"/>
  <c r="K13" i="34"/>
  <c r="L13" i="34" s="1"/>
  <c r="F13" i="34"/>
  <c r="S12" i="34"/>
  <c r="K12" i="34"/>
  <c r="L12" i="34" s="1"/>
  <c r="F12" i="34"/>
  <c r="S11" i="34"/>
  <c r="K11" i="34"/>
  <c r="L11" i="34" s="1"/>
  <c r="O11" i="34" s="1"/>
  <c r="F11" i="34"/>
  <c r="S10" i="34"/>
  <c r="K10" i="34"/>
  <c r="L10" i="34" s="1"/>
  <c r="F10" i="34"/>
  <c r="S9" i="34"/>
  <c r="K9" i="34"/>
  <c r="L9" i="34" s="1"/>
  <c r="F9" i="34"/>
  <c r="S8" i="34"/>
  <c r="K8" i="34"/>
  <c r="L8" i="34" s="1"/>
  <c r="F8" i="34"/>
  <c r="S7" i="34"/>
  <c r="K7" i="34"/>
  <c r="L7" i="34" s="1"/>
  <c r="F7" i="34"/>
  <c r="S6" i="34"/>
  <c r="K6" i="34"/>
  <c r="D6" i="34"/>
  <c r="D14" i="34" s="1"/>
  <c r="B15" i="12" s="1"/>
  <c r="A6" i="34"/>
  <c r="A7" i="34" s="1"/>
  <c r="A8" i="34" s="1"/>
  <c r="A9" i="34" s="1"/>
  <c r="A10" i="34" s="1"/>
  <c r="A11" i="34" s="1"/>
  <c r="A12" i="34" s="1"/>
  <c r="A13" i="34" s="1"/>
  <c r="A14" i="34" s="1"/>
  <c r="S14" i="34" l="1"/>
  <c r="Q15" i="12" s="1"/>
  <c r="M15" i="34"/>
  <c r="O15" i="34" s="1"/>
  <c r="F6" i="34"/>
  <c r="F14" i="34" s="1"/>
  <c r="D15" i="12" s="1"/>
  <c r="P15" i="12"/>
  <c r="H15" i="12"/>
  <c r="K14" i="34"/>
  <c r="P7" i="34"/>
  <c r="P9" i="34"/>
  <c r="P10" i="34"/>
  <c r="P12" i="34"/>
  <c r="P8" i="34"/>
  <c r="P13" i="34"/>
  <c r="L6" i="34"/>
  <c r="P11" i="34"/>
  <c r="T11" i="34" l="1"/>
  <c r="U11" i="34" s="1"/>
  <c r="V11" i="34" s="1"/>
  <c r="V17" i="93" s="1"/>
  <c r="I15" i="12"/>
  <c r="L14" i="34"/>
  <c r="P6" i="34"/>
  <c r="M8" i="34"/>
  <c r="O8" i="34" s="1"/>
  <c r="M12" i="34"/>
  <c r="O12" i="34" s="1"/>
  <c r="M13" i="34"/>
  <c r="O13" i="34" s="1"/>
  <c r="M9" i="34"/>
  <c r="O9" i="34" s="1"/>
  <c r="M10" i="34"/>
  <c r="O10" i="34" s="1"/>
  <c r="M7" i="34"/>
  <c r="O7" i="34" s="1"/>
  <c r="T10" i="34" l="1"/>
  <c r="U10" i="34" s="1"/>
  <c r="V10" i="34" s="1"/>
  <c r="V21" i="93" s="1"/>
  <c r="J15" i="12"/>
  <c r="T13" i="34"/>
  <c r="U13" i="34" s="1"/>
  <c r="V13" i="34" s="1"/>
  <c r="V13" i="93" s="1"/>
  <c r="T12" i="34"/>
  <c r="U12" i="34" s="1"/>
  <c r="W12" i="34" s="1"/>
  <c r="T7" i="34"/>
  <c r="U7" i="34" s="1"/>
  <c r="V7" i="34" s="1"/>
  <c r="V6" i="93" s="1"/>
  <c r="V7" i="93" s="1"/>
  <c r="T5" i="97" s="1"/>
  <c r="P14" i="34"/>
  <c r="M6" i="34"/>
  <c r="T6" i="34" s="1"/>
  <c r="T9" i="34"/>
  <c r="U9" i="34" s="1"/>
  <c r="V9" i="34" s="1"/>
  <c r="V20" i="93" s="1"/>
  <c r="V22" i="93" s="1"/>
  <c r="T8" i="34"/>
  <c r="U8" i="34" s="1"/>
  <c r="V8" i="34" s="1"/>
  <c r="V12" i="93" s="1"/>
  <c r="T10" i="97" l="1"/>
  <c r="W14" i="34"/>
  <c r="U15" i="12" s="1"/>
  <c r="W9" i="93"/>
  <c r="W10" i="93" s="1"/>
  <c r="V14" i="93"/>
  <c r="E17" i="78"/>
  <c r="N15" i="12"/>
  <c r="U6" i="34"/>
  <c r="T14" i="34"/>
  <c r="R15" i="12" s="1"/>
  <c r="M14" i="34"/>
  <c r="O6" i="34"/>
  <c r="O14" i="34" s="1"/>
  <c r="U9" i="97" l="1"/>
  <c r="W24" i="93"/>
  <c r="M15" i="12"/>
  <c r="K15" i="12"/>
  <c r="U14" i="34"/>
  <c r="F8" i="78" s="1"/>
  <c r="V6" i="34"/>
  <c r="V14" i="34" l="1"/>
  <c r="V16" i="93"/>
  <c r="V18" i="93" s="1"/>
  <c r="T15" i="12"/>
  <c r="E16" i="78"/>
  <c r="E18" i="78" s="1"/>
  <c r="S15" i="12"/>
  <c r="F18" i="42" s="1"/>
  <c r="F20" i="33"/>
  <c r="X14" i="12"/>
  <c r="W14" i="12"/>
  <c r="U14" i="12"/>
  <c r="P14" i="12"/>
  <c r="L14" i="12"/>
  <c r="H14" i="12"/>
  <c r="U15" i="33"/>
  <c r="V15" i="33" s="1"/>
  <c r="S15" i="33"/>
  <c r="P15" i="33"/>
  <c r="F15" i="33"/>
  <c r="U14" i="33"/>
  <c r="V14" i="33" s="1"/>
  <c r="S14" i="33"/>
  <c r="K14" i="33"/>
  <c r="L14" i="33" s="1"/>
  <c r="P14" i="33" s="1"/>
  <c r="F14" i="33"/>
  <c r="U13" i="33"/>
  <c r="V13" i="33" s="1"/>
  <c r="S13" i="33"/>
  <c r="K13" i="33"/>
  <c r="L13" i="33" s="1"/>
  <c r="P13" i="33" s="1"/>
  <c r="F13" i="33"/>
  <c r="U12" i="33"/>
  <c r="V12" i="33" s="1"/>
  <c r="S12" i="33"/>
  <c r="M12" i="33" s="1"/>
  <c r="K12" i="33"/>
  <c r="L12" i="33" s="1"/>
  <c r="G12" i="33"/>
  <c r="G19" i="33" s="1"/>
  <c r="F12" i="33"/>
  <c r="U11" i="33"/>
  <c r="V11" i="33" s="1"/>
  <c r="S11" i="33"/>
  <c r="K11" i="33"/>
  <c r="L11" i="33" s="1"/>
  <c r="F11" i="33"/>
  <c r="U10" i="33"/>
  <c r="V10" i="33" s="1"/>
  <c r="S10" i="33"/>
  <c r="K10" i="33"/>
  <c r="L10" i="33" s="1"/>
  <c r="F10" i="33"/>
  <c r="U9" i="33"/>
  <c r="V9" i="33" s="1"/>
  <c r="S9" i="33"/>
  <c r="K9" i="33"/>
  <c r="L9" i="33" s="1"/>
  <c r="F9" i="33"/>
  <c r="U8" i="33"/>
  <c r="V8" i="33" s="1"/>
  <c r="S8" i="33"/>
  <c r="K8" i="33"/>
  <c r="L8" i="33" s="1"/>
  <c r="P8" i="33" s="1"/>
  <c r="F8" i="33"/>
  <c r="U7" i="33"/>
  <c r="S7" i="33"/>
  <c r="K7" i="33"/>
  <c r="F7" i="33"/>
  <c r="U6" i="33"/>
  <c r="V6" i="33" s="1"/>
  <c r="S6" i="33"/>
  <c r="K6" i="33"/>
  <c r="L6" i="33" s="1"/>
  <c r="F6" i="33"/>
  <c r="A6" i="33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V24" i="93" l="1"/>
  <c r="T9" i="97"/>
  <c r="T17" i="97" s="1"/>
  <c r="T22" i="97" s="1"/>
  <c r="F16" i="78"/>
  <c r="F17" i="78"/>
  <c r="S19" i="33"/>
  <c r="Q14" i="12" s="1"/>
  <c r="F19" i="33"/>
  <c r="D14" i="12" s="1"/>
  <c r="L7" i="33"/>
  <c r="L19" i="33" s="1"/>
  <c r="J14" i="12" s="1"/>
  <c r="K19" i="33"/>
  <c r="I14" i="12" s="1"/>
  <c r="V7" i="33"/>
  <c r="V19" i="33" s="1"/>
  <c r="U19" i="33"/>
  <c r="M15" i="33"/>
  <c r="O15" i="33" s="1"/>
  <c r="G14" i="12"/>
  <c r="B14" i="12"/>
  <c r="E14" i="12"/>
  <c r="C14" i="12"/>
  <c r="O14" i="12"/>
  <c r="M14" i="33"/>
  <c r="O14" i="33" s="1"/>
  <c r="F14" i="12"/>
  <c r="M13" i="33"/>
  <c r="T13" i="33" s="1"/>
  <c r="P9" i="33"/>
  <c r="P10" i="33"/>
  <c r="P11" i="33"/>
  <c r="P6" i="33"/>
  <c r="M8" i="33"/>
  <c r="T8" i="33" s="1"/>
  <c r="O12" i="33"/>
  <c r="F18" i="78" l="1"/>
  <c r="S14" i="12"/>
  <c r="F17" i="42" s="1"/>
  <c r="F7" i="77"/>
  <c r="T14" i="12"/>
  <c r="E15" i="77"/>
  <c r="P7" i="33"/>
  <c r="M7" i="33" s="1"/>
  <c r="O7" i="33" s="1"/>
  <c r="T15" i="33"/>
  <c r="T14" i="33"/>
  <c r="O13" i="33"/>
  <c r="O8" i="33"/>
  <c r="M9" i="33"/>
  <c r="O9" i="33" s="1"/>
  <c r="M6" i="33"/>
  <c r="M11" i="33"/>
  <c r="O11" i="33" s="1"/>
  <c r="M10" i="33"/>
  <c r="O10" i="33" s="1"/>
  <c r="E17" i="77" l="1"/>
  <c r="F16" i="77" s="1"/>
  <c r="P19" i="33"/>
  <c r="N14" i="12" s="1"/>
  <c r="T6" i="33"/>
  <c r="M19" i="33"/>
  <c r="K14" i="12" s="1"/>
  <c r="T11" i="33"/>
  <c r="T10" i="33"/>
  <c r="O6" i="33"/>
  <c r="T9" i="33"/>
  <c r="F15" i="77" l="1"/>
  <c r="F17" i="77" s="1"/>
  <c r="O19" i="33"/>
  <c r="M14" i="12" s="1"/>
  <c r="T19" i="33"/>
  <c r="R14" i="12" s="1"/>
  <c r="R60" i="32" l="1"/>
  <c r="R61" i="32" s="1"/>
  <c r="AB39" i="32"/>
  <c r="X12" i="12"/>
  <c r="W12" i="12"/>
  <c r="T12" i="12"/>
  <c r="P12" i="12"/>
  <c r="O12" i="12"/>
  <c r="L12" i="12"/>
  <c r="H12" i="12"/>
  <c r="G12" i="12"/>
  <c r="F12" i="12"/>
  <c r="E12" i="12"/>
  <c r="C12" i="12"/>
  <c r="B12" i="12"/>
  <c r="S30" i="32"/>
  <c r="K30" i="32"/>
  <c r="L30" i="32" s="1"/>
  <c r="F30" i="32"/>
  <c r="S29" i="32"/>
  <c r="K29" i="32"/>
  <c r="L29" i="32" s="1"/>
  <c r="F29" i="32"/>
  <c r="S28" i="32"/>
  <c r="K28" i="32"/>
  <c r="L28" i="32" s="1"/>
  <c r="F28" i="32"/>
  <c r="S27" i="32"/>
  <c r="K27" i="32"/>
  <c r="L27" i="32" s="1"/>
  <c r="F27" i="32"/>
  <c r="S26" i="32"/>
  <c r="K26" i="32"/>
  <c r="L26" i="32" s="1"/>
  <c r="F26" i="32"/>
  <c r="S25" i="32"/>
  <c r="K25" i="32"/>
  <c r="L25" i="32" s="1"/>
  <c r="F25" i="32"/>
  <c r="S24" i="32"/>
  <c r="K24" i="32"/>
  <c r="L24" i="32" s="1"/>
  <c r="F24" i="32"/>
  <c r="S23" i="32"/>
  <c r="K23" i="32"/>
  <c r="L23" i="32" s="1"/>
  <c r="F23" i="32"/>
  <c r="S22" i="32"/>
  <c r="K22" i="32"/>
  <c r="L22" i="32" s="1"/>
  <c r="F22" i="32"/>
  <c r="S21" i="32"/>
  <c r="K21" i="32"/>
  <c r="L21" i="32" s="1"/>
  <c r="F21" i="32"/>
  <c r="S20" i="32"/>
  <c r="K20" i="32"/>
  <c r="L20" i="32" s="1"/>
  <c r="F20" i="32"/>
  <c r="S19" i="32"/>
  <c r="K19" i="32"/>
  <c r="L19" i="32" s="1"/>
  <c r="F19" i="32"/>
  <c r="S18" i="32"/>
  <c r="K18" i="32"/>
  <c r="L18" i="32" s="1"/>
  <c r="P18" i="32" s="1"/>
  <c r="F18" i="32"/>
  <c r="S17" i="32"/>
  <c r="K17" i="32"/>
  <c r="L17" i="32" s="1"/>
  <c r="F17" i="32"/>
  <c r="S16" i="32"/>
  <c r="K16" i="32"/>
  <c r="L16" i="32" s="1"/>
  <c r="F16" i="32"/>
  <c r="S15" i="32"/>
  <c r="K15" i="32"/>
  <c r="L15" i="32" s="1"/>
  <c r="F15" i="32"/>
  <c r="S14" i="32"/>
  <c r="K14" i="32"/>
  <c r="L14" i="32" s="1"/>
  <c r="F14" i="32"/>
  <c r="S13" i="32"/>
  <c r="K13" i="32"/>
  <c r="L13" i="32" s="1"/>
  <c r="P13" i="32" s="1"/>
  <c r="F13" i="32"/>
  <c r="S12" i="32"/>
  <c r="K12" i="32"/>
  <c r="L12" i="32" s="1"/>
  <c r="P12" i="32" s="1"/>
  <c r="F12" i="32"/>
  <c r="S11" i="32"/>
  <c r="K11" i="32"/>
  <c r="L11" i="32" s="1"/>
  <c r="P11" i="32" s="1"/>
  <c r="F11" i="32"/>
  <c r="S10" i="32"/>
  <c r="K10" i="32"/>
  <c r="L10" i="32" s="1"/>
  <c r="P10" i="32" s="1"/>
  <c r="F10" i="32"/>
  <c r="S9" i="32"/>
  <c r="K9" i="32"/>
  <c r="L9" i="32" s="1"/>
  <c r="P9" i="32" s="1"/>
  <c r="F9" i="32"/>
  <c r="S8" i="32"/>
  <c r="K8" i="32"/>
  <c r="L8" i="32" s="1"/>
  <c r="P8" i="32" s="1"/>
  <c r="F8" i="32"/>
  <c r="S7" i="32"/>
  <c r="K7" i="32"/>
  <c r="L7" i="32" s="1"/>
  <c r="P7" i="32" s="1"/>
  <c r="F7" i="32"/>
  <c r="S6" i="32"/>
  <c r="K6" i="32"/>
  <c r="F6" i="32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l="1"/>
  <c r="A31" i="32" s="1"/>
  <c r="A32" i="32" s="1"/>
  <c r="A33" i="32" s="1"/>
  <c r="A34" i="32" s="1"/>
  <c r="A35" i="32" s="1"/>
  <c r="A36" i="32" s="1"/>
  <c r="A37" i="32" s="1"/>
  <c r="A38" i="32" s="1"/>
  <c r="A39" i="32" s="1"/>
  <c r="L6" i="32"/>
  <c r="L39" i="32" s="1"/>
  <c r="K39" i="32"/>
  <c r="S39" i="32"/>
  <c r="Q12" i="12" s="1"/>
  <c r="F39" i="32"/>
  <c r="D12" i="12" s="1"/>
  <c r="P14" i="32"/>
  <c r="P16" i="32"/>
  <c r="M10" i="32"/>
  <c r="O10" i="32" s="1"/>
  <c r="M7" i="32"/>
  <c r="T7" i="32" s="1"/>
  <c r="U7" i="32" s="1"/>
  <c r="W7" i="32" s="1"/>
  <c r="W7" i="90" s="1"/>
  <c r="M11" i="32"/>
  <c r="O11" i="32" s="1"/>
  <c r="M9" i="32"/>
  <c r="T9" i="32" s="1"/>
  <c r="U9" i="32" s="1"/>
  <c r="W9" i="32" s="1"/>
  <c r="W9" i="90" s="1"/>
  <c r="M13" i="32"/>
  <c r="T13" i="32" s="1"/>
  <c r="U13" i="32" s="1"/>
  <c r="W13" i="32" s="1"/>
  <c r="W13" i="90" s="1"/>
  <c r="P15" i="32"/>
  <c r="M8" i="32"/>
  <c r="T8" i="32" s="1"/>
  <c r="U8" i="32" s="1"/>
  <c r="W8" i="32" s="1"/>
  <c r="W8" i="90" s="1"/>
  <c r="M12" i="32"/>
  <c r="T12" i="32" s="1"/>
  <c r="U12" i="32" s="1"/>
  <c r="W12" i="32" s="1"/>
  <c r="W12" i="90" s="1"/>
  <c r="P19" i="32"/>
  <c r="P21" i="32"/>
  <c r="P25" i="32"/>
  <c r="P17" i="32"/>
  <c r="P22" i="32"/>
  <c r="P26" i="32"/>
  <c r="P30" i="32"/>
  <c r="M18" i="32"/>
  <c r="O18" i="32" s="1"/>
  <c r="P29" i="32"/>
  <c r="P23" i="32"/>
  <c r="P27" i="32"/>
  <c r="P20" i="32"/>
  <c r="P24" i="32"/>
  <c r="P28" i="32"/>
  <c r="P6" i="32" l="1"/>
  <c r="P39" i="32" s="1"/>
  <c r="N12" i="12" s="1"/>
  <c r="O13" i="32"/>
  <c r="O7" i="32"/>
  <c r="O12" i="32"/>
  <c r="O9" i="32"/>
  <c r="I12" i="12"/>
  <c r="J12" i="12"/>
  <c r="M16" i="32"/>
  <c r="O16" i="32" s="1"/>
  <c r="M20" i="32"/>
  <c r="O20" i="32" s="1"/>
  <c r="O8" i="32"/>
  <c r="T18" i="32"/>
  <c r="U18" i="32" s="1"/>
  <c r="W18" i="32" s="1"/>
  <c r="W18" i="90" s="1"/>
  <c r="M21" i="32"/>
  <c r="O21" i="32" s="1"/>
  <c r="M19" i="32"/>
  <c r="O19" i="32" s="1"/>
  <c r="T11" i="32"/>
  <c r="U11" i="32" s="1"/>
  <c r="W11" i="32" s="1"/>
  <c r="W11" i="90" s="1"/>
  <c r="T10" i="32"/>
  <c r="U10" i="32" s="1"/>
  <c r="W10" i="32" s="1"/>
  <c r="W10" i="90" s="1"/>
  <c r="M23" i="32"/>
  <c r="O23" i="32" s="1"/>
  <c r="M26" i="32"/>
  <c r="O26" i="32" s="1"/>
  <c r="M28" i="32"/>
  <c r="O28" i="32" s="1"/>
  <c r="M27" i="32"/>
  <c r="O27" i="32" s="1"/>
  <c r="M30" i="32"/>
  <c r="O30" i="32" s="1"/>
  <c r="M22" i="32"/>
  <c r="O22" i="32" s="1"/>
  <c r="M15" i="32"/>
  <c r="O15" i="32" s="1"/>
  <c r="M24" i="32"/>
  <c r="O24" i="32" s="1"/>
  <c r="M29" i="32"/>
  <c r="O29" i="32" s="1"/>
  <c r="M17" i="32"/>
  <c r="O17" i="32" s="1"/>
  <c r="M25" i="32"/>
  <c r="O25" i="32" s="1"/>
  <c r="M14" i="32"/>
  <c r="O14" i="32" s="1"/>
  <c r="M6" i="32" l="1"/>
  <c r="M39" i="32" s="1"/>
  <c r="K12" i="12" s="1"/>
  <c r="T28" i="32"/>
  <c r="U28" i="32" s="1"/>
  <c r="W28" i="32" s="1"/>
  <c r="W28" i="90" s="1"/>
  <c r="T24" i="32"/>
  <c r="U24" i="32" s="1"/>
  <c r="W24" i="32" s="1"/>
  <c r="W24" i="90" s="1"/>
  <c r="T17" i="32"/>
  <c r="U17" i="32" s="1"/>
  <c r="W17" i="32" s="1"/>
  <c r="W17" i="90" s="1"/>
  <c r="T21" i="32"/>
  <c r="U21" i="32" s="1"/>
  <c r="W21" i="32" s="1"/>
  <c r="W21" i="90" s="1"/>
  <c r="T22" i="32"/>
  <c r="U22" i="32" s="1"/>
  <c r="W22" i="32" s="1"/>
  <c r="W22" i="90" s="1"/>
  <c r="T23" i="32"/>
  <c r="U23" i="32" s="1"/>
  <c r="W23" i="32" s="1"/>
  <c r="W23" i="90" s="1"/>
  <c r="O6" i="32"/>
  <c r="T25" i="32"/>
  <c r="U25" i="32" s="1"/>
  <c r="W25" i="32" s="1"/>
  <c r="W25" i="90" s="1"/>
  <c r="T29" i="32"/>
  <c r="U29" i="32" s="1"/>
  <c r="W29" i="32" s="1"/>
  <c r="W29" i="90" s="1"/>
  <c r="T20" i="32"/>
  <c r="U20" i="32" s="1"/>
  <c r="W20" i="32" s="1"/>
  <c r="W20" i="90" s="1"/>
  <c r="T14" i="32"/>
  <c r="U14" i="32" s="1"/>
  <c r="W14" i="32" s="1"/>
  <c r="W14" i="90" s="1"/>
  <c r="T15" i="32"/>
  <c r="U15" i="32" s="1"/>
  <c r="W15" i="32" s="1"/>
  <c r="W15" i="90" s="1"/>
  <c r="T30" i="32"/>
  <c r="U30" i="32" s="1"/>
  <c r="W30" i="32" s="1"/>
  <c r="W30" i="90" s="1"/>
  <c r="T27" i="32"/>
  <c r="U27" i="32" s="1"/>
  <c r="W27" i="32" s="1"/>
  <c r="W27" i="90" s="1"/>
  <c r="T26" i="32"/>
  <c r="U26" i="32" s="1"/>
  <c r="W26" i="32" s="1"/>
  <c r="W26" i="90" s="1"/>
  <c r="T19" i="32"/>
  <c r="U19" i="32" s="1"/>
  <c r="W19" i="32" s="1"/>
  <c r="W19" i="90" s="1"/>
  <c r="T16" i="32"/>
  <c r="U16" i="32" s="1"/>
  <c r="W16" i="32" s="1"/>
  <c r="W16" i="90" s="1"/>
  <c r="T6" i="32" l="1"/>
  <c r="T39" i="32" s="1"/>
  <c r="O39" i="32"/>
  <c r="M12" i="12" s="1"/>
  <c r="U6" i="32" l="1"/>
  <c r="U39" i="32" s="1"/>
  <c r="F7" i="75" s="1"/>
  <c r="R12" i="12"/>
  <c r="W6" i="32" l="1"/>
  <c r="S12" i="12"/>
  <c r="F15" i="42" s="1"/>
  <c r="R46" i="31"/>
  <c r="R47" i="31" s="1"/>
  <c r="M22" i="31"/>
  <c r="L22" i="31"/>
  <c r="X13" i="12"/>
  <c r="W13" i="12"/>
  <c r="T13" i="12"/>
  <c r="P13" i="12"/>
  <c r="O13" i="12"/>
  <c r="L13" i="12"/>
  <c r="H13" i="12"/>
  <c r="G13" i="12"/>
  <c r="F13" i="12"/>
  <c r="E13" i="12"/>
  <c r="C13" i="12"/>
  <c r="B13" i="12"/>
  <c r="S16" i="31"/>
  <c r="K16" i="31"/>
  <c r="L16" i="31" s="1"/>
  <c r="F16" i="31"/>
  <c r="S15" i="31"/>
  <c r="K15" i="31"/>
  <c r="L15" i="31" s="1"/>
  <c r="F15" i="31"/>
  <c r="S14" i="31"/>
  <c r="K14" i="31"/>
  <c r="L14" i="31" s="1"/>
  <c r="F14" i="31"/>
  <c r="S13" i="31"/>
  <c r="S16" i="91" s="1"/>
  <c r="S20" i="91" s="1"/>
  <c r="K13" i="31"/>
  <c r="L13" i="31" s="1"/>
  <c r="L16" i="91" s="1"/>
  <c r="L20" i="91" s="1"/>
  <c r="F13" i="31"/>
  <c r="F16" i="91" s="1"/>
  <c r="F20" i="91" s="1"/>
  <c r="S12" i="31"/>
  <c r="K12" i="31"/>
  <c r="L12" i="31" s="1"/>
  <c r="F12" i="31"/>
  <c r="S11" i="31"/>
  <c r="K11" i="31"/>
  <c r="L11" i="31" s="1"/>
  <c r="F11" i="31"/>
  <c r="S10" i="31"/>
  <c r="K10" i="31"/>
  <c r="L10" i="31" s="1"/>
  <c r="F10" i="31"/>
  <c r="S9" i="31"/>
  <c r="K9" i="31"/>
  <c r="L9" i="31" s="1"/>
  <c r="S8" i="31"/>
  <c r="K8" i="31"/>
  <c r="L8" i="31" s="1"/>
  <c r="P8" i="31" s="1"/>
  <c r="F8" i="31"/>
  <c r="S7" i="31"/>
  <c r="K7" i="31"/>
  <c r="L7" i="31" s="1"/>
  <c r="P7" i="31" s="1"/>
  <c r="F7" i="3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S6" i="31"/>
  <c r="K6" i="31"/>
  <c r="F6" i="31"/>
  <c r="W39" i="32" l="1"/>
  <c r="W6" i="90"/>
  <c r="W39" i="90" s="1"/>
  <c r="U8" i="97" s="1"/>
  <c r="D12" i="97"/>
  <c r="F22" i="91"/>
  <c r="Q12" i="97"/>
  <c r="Q17" i="97" s="1"/>
  <c r="S22" i="91"/>
  <c r="J12" i="97"/>
  <c r="J17" i="97" s="1"/>
  <c r="N19" i="97" s="1"/>
  <c r="L22" i="91"/>
  <c r="U12" i="12"/>
  <c r="E15" i="75"/>
  <c r="F18" i="31"/>
  <c r="D13" i="12" s="1"/>
  <c r="L6" i="31"/>
  <c r="L18" i="31" s="1"/>
  <c r="J13" i="12" s="1"/>
  <c r="K18" i="31"/>
  <c r="S18" i="31"/>
  <c r="Q13" i="12" s="1"/>
  <c r="P9" i="31"/>
  <c r="P11" i="31"/>
  <c r="P14" i="31"/>
  <c r="P16" i="31"/>
  <c r="M8" i="31"/>
  <c r="O8" i="31" s="1"/>
  <c r="M7" i="31"/>
  <c r="O7" i="31" s="1"/>
  <c r="P10" i="31"/>
  <c r="P12" i="31"/>
  <c r="P13" i="31"/>
  <c r="P16" i="91" s="1"/>
  <c r="P20" i="91" s="1"/>
  <c r="P15" i="31"/>
  <c r="N12" i="97" l="1"/>
  <c r="N17" i="97" s="1"/>
  <c r="P22" i="91"/>
  <c r="P6" i="31"/>
  <c r="E17" i="75"/>
  <c r="F16" i="75" s="1"/>
  <c r="P18" i="31"/>
  <c r="N13" i="12" s="1"/>
  <c r="T8" i="31"/>
  <c r="U8" i="31" s="1"/>
  <c r="W8" i="31" s="1"/>
  <c r="I13" i="12"/>
  <c r="M16" i="31"/>
  <c r="O16" i="31" s="1"/>
  <c r="T7" i="31"/>
  <c r="U7" i="31" s="1"/>
  <c r="W7" i="31" s="1"/>
  <c r="M6" i="31"/>
  <c r="M15" i="31"/>
  <c r="O15" i="31" s="1"/>
  <c r="M12" i="31"/>
  <c r="O12" i="31" s="1"/>
  <c r="M11" i="31"/>
  <c r="O11" i="31" s="1"/>
  <c r="M13" i="31"/>
  <c r="M10" i="31"/>
  <c r="O10" i="31" s="1"/>
  <c r="M14" i="31"/>
  <c r="O14" i="31" s="1"/>
  <c r="M9" i="31"/>
  <c r="O9" i="31" s="1"/>
  <c r="O13" i="31" l="1"/>
  <c r="O16" i="91" s="1"/>
  <c r="O20" i="91" s="1"/>
  <c r="M16" i="91"/>
  <c r="M20" i="91" s="1"/>
  <c r="F15" i="75"/>
  <c r="F17" i="75" s="1"/>
  <c r="M18" i="31"/>
  <c r="K13" i="12" s="1"/>
  <c r="T11" i="31"/>
  <c r="U11" i="31" s="1"/>
  <c r="W11" i="31" s="1"/>
  <c r="T10" i="31"/>
  <c r="U10" i="31" s="1"/>
  <c r="W10" i="31" s="1"/>
  <c r="T9" i="31"/>
  <c r="U9" i="31" s="1"/>
  <c r="W9" i="31" s="1"/>
  <c r="T14" i="31"/>
  <c r="U14" i="31" s="1"/>
  <c r="W14" i="31" s="1"/>
  <c r="T13" i="31"/>
  <c r="T16" i="31"/>
  <c r="U16" i="31" s="1"/>
  <c r="W16" i="31" s="1"/>
  <c r="O6" i="31"/>
  <c r="T12" i="31"/>
  <c r="U12" i="31" s="1"/>
  <c r="W12" i="31" s="1"/>
  <c r="T6" i="31"/>
  <c r="T15" i="31"/>
  <c r="U15" i="31" s="1"/>
  <c r="W15" i="31" s="1"/>
  <c r="K12" i="97" l="1"/>
  <c r="K17" i="97" s="1"/>
  <c r="M22" i="91"/>
  <c r="U13" i="31"/>
  <c r="T16" i="91"/>
  <c r="T20" i="91" s="1"/>
  <c r="M12" i="97"/>
  <c r="O22" i="91"/>
  <c r="T18" i="31"/>
  <c r="O18" i="31"/>
  <c r="M13" i="12" s="1"/>
  <c r="U6" i="31"/>
  <c r="R12" i="97" l="1"/>
  <c r="R17" i="97" s="1"/>
  <c r="T22" i="91"/>
  <c r="W13" i="31"/>
  <c r="W16" i="91" s="1"/>
  <c r="W20" i="91" s="1"/>
  <c r="W22" i="91" s="1"/>
  <c r="U16" i="91"/>
  <c r="U20" i="91" s="1"/>
  <c r="W6" i="31"/>
  <c r="U18" i="31"/>
  <c r="F7" i="76" s="1"/>
  <c r="R13" i="12"/>
  <c r="S12" i="97" l="1"/>
  <c r="U22" i="91"/>
  <c r="W18" i="31"/>
  <c r="E18" i="76" s="1"/>
  <c r="F16" i="76" s="1"/>
  <c r="S19" i="97"/>
  <c r="K19" i="97"/>
  <c r="S13" i="12"/>
  <c r="F16" i="42" s="1"/>
  <c r="R63" i="30"/>
  <c r="R64" i="30" s="1"/>
  <c r="X11" i="12"/>
  <c r="W11" i="12"/>
  <c r="O11" i="12"/>
  <c r="G11" i="12"/>
  <c r="F11" i="12"/>
  <c r="E11" i="12"/>
  <c r="R27" i="30"/>
  <c r="R36" i="30" s="1"/>
  <c r="K27" i="30"/>
  <c r="L27" i="30" s="1"/>
  <c r="P27" i="30" s="1"/>
  <c r="E27" i="30"/>
  <c r="D27" i="30"/>
  <c r="S26" i="30"/>
  <c r="K26" i="30"/>
  <c r="L26" i="30" s="1"/>
  <c r="P26" i="30" s="1"/>
  <c r="F26" i="30"/>
  <c r="S25" i="30"/>
  <c r="K25" i="30"/>
  <c r="L25" i="30" s="1"/>
  <c r="P25" i="30" s="1"/>
  <c r="F25" i="30"/>
  <c r="S24" i="30"/>
  <c r="K24" i="30"/>
  <c r="L24" i="30" s="1"/>
  <c r="P24" i="30" s="1"/>
  <c r="F24" i="30"/>
  <c r="S23" i="30"/>
  <c r="K23" i="30"/>
  <c r="L23" i="30" s="1"/>
  <c r="P23" i="30" s="1"/>
  <c r="F23" i="30"/>
  <c r="S22" i="30"/>
  <c r="K22" i="30"/>
  <c r="L22" i="30" s="1"/>
  <c r="P22" i="30" s="1"/>
  <c r="F22" i="30"/>
  <c r="S21" i="30"/>
  <c r="K21" i="30"/>
  <c r="L21" i="30" s="1"/>
  <c r="P21" i="30" s="1"/>
  <c r="F21" i="30"/>
  <c r="S20" i="30"/>
  <c r="K20" i="30"/>
  <c r="L20" i="30" s="1"/>
  <c r="F20" i="30"/>
  <c r="S19" i="30"/>
  <c r="K19" i="30"/>
  <c r="L19" i="30" s="1"/>
  <c r="F19" i="30"/>
  <c r="S18" i="30"/>
  <c r="K18" i="30"/>
  <c r="L18" i="30" s="1"/>
  <c r="F18" i="30"/>
  <c r="S17" i="30"/>
  <c r="K17" i="30"/>
  <c r="L17" i="30" s="1"/>
  <c r="F17" i="30"/>
  <c r="S16" i="30"/>
  <c r="K16" i="30"/>
  <c r="L16" i="30" s="1"/>
  <c r="F16" i="30"/>
  <c r="S15" i="30"/>
  <c r="K15" i="30"/>
  <c r="L15" i="30" s="1"/>
  <c r="F15" i="30"/>
  <c r="S14" i="30"/>
  <c r="K14" i="30"/>
  <c r="L14" i="30" s="1"/>
  <c r="F14" i="30"/>
  <c r="S13" i="30"/>
  <c r="K13" i="30"/>
  <c r="L13" i="30" s="1"/>
  <c r="F13" i="30"/>
  <c r="S12" i="30"/>
  <c r="K12" i="30"/>
  <c r="L12" i="30" s="1"/>
  <c r="P12" i="30" s="1"/>
  <c r="F12" i="30"/>
  <c r="S11" i="30"/>
  <c r="K11" i="30"/>
  <c r="L11" i="30" s="1"/>
  <c r="P11" i="30" s="1"/>
  <c r="F11" i="30"/>
  <c r="S10" i="30"/>
  <c r="K10" i="30"/>
  <c r="L10" i="30" s="1"/>
  <c r="P10" i="30" s="1"/>
  <c r="F10" i="30"/>
  <c r="S9" i="30"/>
  <c r="K9" i="30"/>
  <c r="L9" i="30" s="1"/>
  <c r="P9" i="30" s="1"/>
  <c r="F9" i="30"/>
  <c r="S8" i="30"/>
  <c r="K8" i="30"/>
  <c r="L8" i="30" s="1"/>
  <c r="P8" i="30" s="1"/>
  <c r="D8" i="30"/>
  <c r="F8" i="30" s="1"/>
  <c r="S7" i="30"/>
  <c r="K7" i="30"/>
  <c r="D7" i="30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S6" i="30"/>
  <c r="K6" i="30"/>
  <c r="F6" i="30"/>
  <c r="U13" i="12" l="1"/>
  <c r="F18" i="61"/>
  <c r="S17" i="97"/>
  <c r="F15" i="76"/>
  <c r="F17" i="76"/>
  <c r="E36" i="30"/>
  <c r="C11" i="12" s="1"/>
  <c r="D36" i="30"/>
  <c r="L7" i="30"/>
  <c r="K36" i="30"/>
  <c r="I11" i="12" s="1"/>
  <c r="M25" i="30"/>
  <c r="T25" i="30" s="1"/>
  <c r="U25" i="30" s="1"/>
  <c r="H11" i="12"/>
  <c r="L11" i="12"/>
  <c r="P11" i="12"/>
  <c r="M11" i="30"/>
  <c r="T11" i="30" s="1"/>
  <c r="U11" i="30" s="1"/>
  <c r="W11" i="30" s="1"/>
  <c r="P14" i="30"/>
  <c r="P20" i="30"/>
  <c r="M21" i="30"/>
  <c r="T21" i="30" s="1"/>
  <c r="U21" i="30" s="1"/>
  <c r="W21" i="30" s="1"/>
  <c r="M22" i="30"/>
  <c r="T22" i="30" s="1"/>
  <c r="U22" i="30" s="1"/>
  <c r="M23" i="30"/>
  <c r="T23" i="30" s="1"/>
  <c r="U23" i="30" s="1"/>
  <c r="M24" i="30"/>
  <c r="T24" i="30" s="1"/>
  <c r="U24" i="30" s="1"/>
  <c r="W24" i="30" s="1"/>
  <c r="P17" i="30"/>
  <c r="M9" i="30"/>
  <c r="T9" i="30" s="1"/>
  <c r="U9" i="30" s="1"/>
  <c r="P18" i="30"/>
  <c r="P16" i="30"/>
  <c r="M26" i="30"/>
  <c r="T26" i="30" s="1"/>
  <c r="U26" i="30" s="1"/>
  <c r="M10" i="30"/>
  <c r="T10" i="30" s="1"/>
  <c r="U10" i="30" s="1"/>
  <c r="W10" i="30" s="1"/>
  <c r="L6" i="30"/>
  <c r="F7" i="30"/>
  <c r="M8" i="30"/>
  <c r="O8" i="30" s="1"/>
  <c r="M12" i="30"/>
  <c r="O12" i="30" s="1"/>
  <c r="P13" i="30"/>
  <c r="P15" i="30"/>
  <c r="P19" i="30"/>
  <c r="S27" i="30"/>
  <c r="S36" i="30" s="1"/>
  <c r="F27" i="30"/>
  <c r="F19" i="61" l="1"/>
  <c r="I18" i="61" s="1"/>
  <c r="F18" i="76"/>
  <c r="F36" i="30"/>
  <c r="D11" i="12" s="1"/>
  <c r="Q11" i="12"/>
  <c r="P7" i="30"/>
  <c r="L36" i="30"/>
  <c r="J11" i="12" s="1"/>
  <c r="O25" i="30"/>
  <c r="M27" i="30"/>
  <c r="T27" i="30" s="1"/>
  <c r="U27" i="30" s="1"/>
  <c r="O24" i="30"/>
  <c r="O21" i="30"/>
  <c r="O9" i="30"/>
  <c r="O23" i="30"/>
  <c r="O26" i="30"/>
  <c r="B11" i="12"/>
  <c r="P6" i="30"/>
  <c r="M16" i="30"/>
  <c r="O16" i="30" s="1"/>
  <c r="M18" i="30"/>
  <c r="O18" i="30" s="1"/>
  <c r="M17" i="30"/>
  <c r="O17" i="30" s="1"/>
  <c r="M20" i="30"/>
  <c r="O20" i="30" s="1"/>
  <c r="O22" i="30"/>
  <c r="M15" i="30"/>
  <c r="O15" i="30" s="1"/>
  <c r="T12" i="30"/>
  <c r="U12" i="30" s="1"/>
  <c r="O10" i="30"/>
  <c r="O11" i="30"/>
  <c r="M14" i="30"/>
  <c r="O14" i="30" s="1"/>
  <c r="M19" i="30"/>
  <c r="O19" i="30" s="1"/>
  <c r="M13" i="30"/>
  <c r="O13" i="30" s="1"/>
  <c r="T8" i="30"/>
  <c r="U8" i="30" s="1"/>
  <c r="I17" i="61" l="1"/>
  <c r="I9" i="61"/>
  <c r="I8" i="61"/>
  <c r="I16" i="61"/>
  <c r="I12" i="61"/>
  <c r="I14" i="61"/>
  <c r="I13" i="61"/>
  <c r="I11" i="61"/>
  <c r="I15" i="61"/>
  <c r="I10" i="61"/>
  <c r="P36" i="30"/>
  <c r="N11" i="12" s="1"/>
  <c r="M7" i="30"/>
  <c r="O27" i="30"/>
  <c r="T14" i="30"/>
  <c r="U14" i="30" s="1"/>
  <c r="W14" i="30" s="1"/>
  <c r="W40" i="89" s="1"/>
  <c r="W41" i="89" s="1"/>
  <c r="W50" i="89" s="1"/>
  <c r="T20" i="30"/>
  <c r="U20" i="30" s="1"/>
  <c r="W20" i="30" s="1"/>
  <c r="T18" i="30"/>
  <c r="U18" i="30" s="1"/>
  <c r="W18" i="30" s="1"/>
  <c r="T17" i="30"/>
  <c r="U17" i="30" s="1"/>
  <c r="W17" i="30" s="1"/>
  <c r="T16" i="30"/>
  <c r="U16" i="30" s="1"/>
  <c r="W16" i="30" s="1"/>
  <c r="T13" i="30"/>
  <c r="U13" i="30" s="1"/>
  <c r="W12" i="30"/>
  <c r="T19" i="30"/>
  <c r="U19" i="30" s="1"/>
  <c r="W19" i="30" s="1"/>
  <c r="T15" i="30"/>
  <c r="U15" i="30" s="1"/>
  <c r="M6" i="30"/>
  <c r="I19" i="61" l="1"/>
  <c r="T7" i="30"/>
  <c r="M36" i="30"/>
  <c r="K11" i="12" s="1"/>
  <c r="O7" i="30"/>
  <c r="O6" i="30"/>
  <c r="T6" i="30"/>
  <c r="O36" i="30" l="1"/>
  <c r="M11" i="12" s="1"/>
  <c r="U7" i="30"/>
  <c r="T36" i="30"/>
  <c r="R11" i="12" s="1"/>
  <c r="U6" i="30"/>
  <c r="U36" i="30" l="1"/>
  <c r="F7" i="73" s="1"/>
  <c r="V6" i="30"/>
  <c r="W6" i="30" s="1"/>
  <c r="W36" i="30" s="1"/>
  <c r="E16" i="73" s="1"/>
  <c r="S11" i="12" l="1"/>
  <c r="F14" i="42" s="1"/>
  <c r="AB18" i="29" l="1"/>
  <c r="Z18" i="29"/>
  <c r="X10" i="12" s="1"/>
  <c r="Y18" i="29"/>
  <c r="W10" i="12" s="1"/>
  <c r="V18" i="29"/>
  <c r="T10" i="12" s="1"/>
  <c r="R18" i="29"/>
  <c r="P10" i="12" s="1"/>
  <c r="Q18" i="29"/>
  <c r="O10" i="12" s="1"/>
  <c r="N18" i="29"/>
  <c r="L10" i="12" s="1"/>
  <c r="J18" i="29"/>
  <c r="H10" i="12" s="1"/>
  <c r="I18" i="29"/>
  <c r="G10" i="12" s="1"/>
  <c r="H18" i="29"/>
  <c r="F10" i="12" s="1"/>
  <c r="G18" i="29"/>
  <c r="E10" i="12" s="1"/>
  <c r="E18" i="29"/>
  <c r="C10" i="12" s="1"/>
  <c r="D18" i="29"/>
  <c r="B10" i="12" s="1"/>
  <c r="S17" i="29"/>
  <c r="K17" i="29"/>
  <c r="L17" i="29" s="1"/>
  <c r="P17" i="29" s="1"/>
  <c r="F17" i="29"/>
  <c r="S16" i="29"/>
  <c r="K16" i="29"/>
  <c r="L16" i="29" s="1"/>
  <c r="F16" i="29"/>
  <c r="S15" i="29"/>
  <c r="K15" i="29"/>
  <c r="L15" i="29" s="1"/>
  <c r="F15" i="29"/>
  <c r="S14" i="29"/>
  <c r="K14" i="29"/>
  <c r="L14" i="29" s="1"/>
  <c r="P14" i="29" s="1"/>
  <c r="F14" i="29"/>
  <c r="S13" i="29"/>
  <c r="K13" i="29"/>
  <c r="L13" i="29" s="1"/>
  <c r="P13" i="29" s="1"/>
  <c r="S12" i="29"/>
  <c r="K12" i="29"/>
  <c r="L12" i="29" s="1"/>
  <c r="F12" i="29"/>
  <c r="S11" i="29"/>
  <c r="K11" i="29"/>
  <c r="L11" i="29" s="1"/>
  <c r="P11" i="29" s="1"/>
  <c r="F11" i="29"/>
  <c r="S10" i="29"/>
  <c r="K10" i="29"/>
  <c r="L10" i="29" s="1"/>
  <c r="P10" i="29" s="1"/>
  <c r="F10" i="29"/>
  <c r="S9" i="29"/>
  <c r="K9" i="29"/>
  <c r="L9" i="29" s="1"/>
  <c r="F9" i="29"/>
  <c r="S8" i="29"/>
  <c r="K8" i="29"/>
  <c r="L8" i="29" s="1"/>
  <c r="F8" i="29"/>
  <c r="S7" i="29"/>
  <c r="K7" i="29"/>
  <c r="L7" i="29" s="1"/>
  <c r="P7" i="29" s="1"/>
  <c r="F7" i="29"/>
  <c r="S6" i="29"/>
  <c r="K6" i="29"/>
  <c r="L6" i="29" s="1"/>
  <c r="P6" i="29" s="1"/>
  <c r="F6" i="29"/>
  <c r="A6" i="29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F9" i="74" s="1"/>
  <c r="T5" i="29"/>
  <c r="U5" i="29" s="1"/>
  <c r="S18" i="29" l="1"/>
  <c r="Q10" i="12" s="1"/>
  <c r="F18" i="29"/>
  <c r="D10" i="12" s="1"/>
  <c r="P12" i="29"/>
  <c r="P9" i="29"/>
  <c r="M10" i="29"/>
  <c r="T10" i="29" s="1"/>
  <c r="U10" i="29" s="1"/>
  <c r="W10" i="29" s="1"/>
  <c r="W13" i="88" s="1"/>
  <c r="M11" i="29"/>
  <c r="O11" i="29" s="1"/>
  <c r="P16" i="29"/>
  <c r="M17" i="29"/>
  <c r="O17" i="29" s="1"/>
  <c r="M6" i="29"/>
  <c r="O6" i="29" s="1"/>
  <c r="P8" i="29"/>
  <c r="P15" i="29"/>
  <c r="M7" i="29"/>
  <c r="O7" i="29" s="1"/>
  <c r="M13" i="29"/>
  <c r="T13" i="29" s="1"/>
  <c r="U13" i="29" s="1"/>
  <c r="W13" i="29" s="1"/>
  <c r="W16" i="88" s="1"/>
  <c r="M14" i="29"/>
  <c r="O14" i="29" s="1"/>
  <c r="K18" i="29"/>
  <c r="L18" i="29"/>
  <c r="J10" i="12" s="1"/>
  <c r="O10" i="29" l="1"/>
  <c r="T6" i="29"/>
  <c r="O13" i="29"/>
  <c r="I10" i="12"/>
  <c r="M8" i="29"/>
  <c r="O8" i="29" s="1"/>
  <c r="M9" i="29"/>
  <c r="O9" i="29" s="1"/>
  <c r="U6" i="29"/>
  <c r="T11" i="29"/>
  <c r="U11" i="29" s="1"/>
  <c r="W11" i="29" s="1"/>
  <c r="W14" i="88" s="1"/>
  <c r="T14" i="29"/>
  <c r="U14" i="29" s="1"/>
  <c r="W14" i="29" s="1"/>
  <c r="W6" i="88" s="1"/>
  <c r="T7" i="29"/>
  <c r="U7" i="29" s="1"/>
  <c r="W7" i="29" s="1"/>
  <c r="W21" i="88" s="1"/>
  <c r="W22" i="88" s="1"/>
  <c r="M15" i="29"/>
  <c r="O15" i="29" s="1"/>
  <c r="P18" i="29"/>
  <c r="M16" i="29"/>
  <c r="O16" i="29" s="1"/>
  <c r="M12" i="29"/>
  <c r="O12" i="29" s="1"/>
  <c r="T17" i="29"/>
  <c r="U17" i="29" s="1"/>
  <c r="W17" i="29" s="1"/>
  <c r="W18" i="88" s="1"/>
  <c r="U15" i="97" l="1"/>
  <c r="W8" i="88"/>
  <c r="M18" i="29"/>
  <c r="K10" i="12" s="1"/>
  <c r="T16" i="29"/>
  <c r="U16" i="29" s="1"/>
  <c r="W16" i="29" s="1"/>
  <c r="W17" i="88" s="1"/>
  <c r="T9" i="29"/>
  <c r="U9" i="29" s="1"/>
  <c r="W9" i="29" s="1"/>
  <c r="W12" i="88" s="1"/>
  <c r="O18" i="29"/>
  <c r="M10" i="12" s="1"/>
  <c r="T15" i="29"/>
  <c r="U15" i="29" s="1"/>
  <c r="W15" i="29" s="1"/>
  <c r="W7" i="88" s="1"/>
  <c r="N10" i="12"/>
  <c r="W6" i="29"/>
  <c r="W10" i="88" s="1"/>
  <c r="T8" i="29"/>
  <c r="U8" i="29" s="1"/>
  <c r="W8" i="29" s="1"/>
  <c r="W11" i="88" s="1"/>
  <c r="T12" i="29"/>
  <c r="U12" i="29" s="1"/>
  <c r="W12" i="29" s="1"/>
  <c r="W15" i="88" s="1"/>
  <c r="W19" i="88" l="1"/>
  <c r="W24" i="88" s="1"/>
  <c r="U18" i="29"/>
  <c r="W18" i="29"/>
  <c r="T18" i="29"/>
  <c r="R10" i="12" s="1"/>
  <c r="U10" i="12" l="1"/>
  <c r="E14" i="74"/>
  <c r="E15" i="74" s="1"/>
  <c r="F14" i="74" s="1"/>
  <c r="F15" i="74" s="1"/>
  <c r="S10" i="12"/>
  <c r="F13" i="42" s="1"/>
  <c r="F7" i="74"/>
  <c r="X9" i="12"/>
  <c r="W9" i="12"/>
  <c r="T9" i="12"/>
  <c r="H9" i="12"/>
  <c r="G9" i="12"/>
  <c r="C9" i="12"/>
  <c r="P9" i="12"/>
  <c r="K22" i="28"/>
  <c r="L22" i="28" s="1"/>
  <c r="P22" i="28" s="1"/>
  <c r="D22" i="28"/>
  <c r="S21" i="28"/>
  <c r="K21" i="28"/>
  <c r="L21" i="28" s="1"/>
  <c r="F21" i="28"/>
  <c r="S20" i="28"/>
  <c r="K20" i="28"/>
  <c r="L20" i="28" s="1"/>
  <c r="F20" i="28"/>
  <c r="S19" i="28"/>
  <c r="K19" i="28"/>
  <c r="L19" i="28" s="1"/>
  <c r="P19" i="28" s="1"/>
  <c r="F19" i="28"/>
  <c r="S18" i="28"/>
  <c r="K18" i="28"/>
  <c r="L18" i="28" s="1"/>
  <c r="P18" i="28" s="1"/>
  <c r="F18" i="28"/>
  <c r="S17" i="28"/>
  <c r="K17" i="28"/>
  <c r="L17" i="28" s="1"/>
  <c r="F17" i="28"/>
  <c r="S16" i="28"/>
  <c r="K16" i="28"/>
  <c r="L16" i="28" s="1"/>
  <c r="F16" i="28"/>
  <c r="S15" i="28"/>
  <c r="K15" i="28"/>
  <c r="L15" i="28" s="1"/>
  <c r="G15" i="28"/>
  <c r="D15" i="28"/>
  <c r="D15" i="87" s="1"/>
  <c r="D25" i="87" s="1"/>
  <c r="B10" i="97" s="1"/>
  <c r="B17" i="97" s="1"/>
  <c r="S14" i="28"/>
  <c r="K14" i="28"/>
  <c r="L14" i="28" s="1"/>
  <c r="F14" i="28"/>
  <c r="S13" i="28"/>
  <c r="K13" i="28"/>
  <c r="L13" i="28" s="1"/>
  <c r="P13" i="28" s="1"/>
  <c r="F13" i="28"/>
  <c r="S12" i="28"/>
  <c r="K12" i="28"/>
  <c r="L12" i="28" s="1"/>
  <c r="F12" i="28"/>
  <c r="S11" i="28"/>
  <c r="K11" i="28"/>
  <c r="L11" i="28" s="1"/>
  <c r="G11" i="28"/>
  <c r="D11" i="28"/>
  <c r="S10" i="28"/>
  <c r="K10" i="28"/>
  <c r="L10" i="28" s="1"/>
  <c r="P10" i="28" s="1"/>
  <c r="F10" i="28"/>
  <c r="S9" i="28"/>
  <c r="K9" i="28"/>
  <c r="L9" i="28" s="1"/>
  <c r="F9" i="28"/>
  <c r="S8" i="28"/>
  <c r="K8" i="28"/>
  <c r="L8" i="28" s="1"/>
  <c r="F8" i="28"/>
  <c r="S7" i="28"/>
  <c r="K7" i="28"/>
  <c r="L7" i="28" s="1"/>
  <c r="P7" i="28" s="1"/>
  <c r="F7" i="28"/>
  <c r="S6" i="28"/>
  <c r="K6" i="28"/>
  <c r="F6" i="28"/>
  <c r="A6" i="28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l="1"/>
  <c r="A24" i="28" s="1"/>
  <c r="F9" i="72" s="1"/>
  <c r="D25" i="28"/>
  <c r="L6" i="28"/>
  <c r="K25" i="28"/>
  <c r="G25" i="28"/>
  <c r="E9" i="12" s="1"/>
  <c r="M10" i="28"/>
  <c r="T10" i="28" s="1"/>
  <c r="U10" i="28" s="1"/>
  <c r="W10" i="28" s="1"/>
  <c r="P11" i="28"/>
  <c r="M11" i="28" s="1"/>
  <c r="T11" i="28" s="1"/>
  <c r="U11" i="28" s="1"/>
  <c r="W11" i="28" s="1"/>
  <c r="M18" i="28"/>
  <c r="O18" i="28" s="1"/>
  <c r="O9" i="12"/>
  <c r="F9" i="12"/>
  <c r="P8" i="28"/>
  <c r="P20" i="28"/>
  <c r="P12" i="28"/>
  <c r="P16" i="28"/>
  <c r="M13" i="28"/>
  <c r="T13" i="28" s="1"/>
  <c r="U13" i="28" s="1"/>
  <c r="W13" i="28" s="1"/>
  <c r="P14" i="28"/>
  <c r="P17" i="28"/>
  <c r="M19" i="28"/>
  <c r="O19" i="28" s="1"/>
  <c r="F11" i="28"/>
  <c r="F15" i="28"/>
  <c r="F15" i="87" s="1"/>
  <c r="F25" i="87" s="1"/>
  <c r="D10" i="97" s="1"/>
  <c r="D17" i="97" s="1"/>
  <c r="P21" i="28"/>
  <c r="M7" i="28"/>
  <c r="O7" i="28" s="1"/>
  <c r="P9" i="28"/>
  <c r="F22" i="28"/>
  <c r="P15" i="28"/>
  <c r="S22" i="28"/>
  <c r="S25" i="28" s="1"/>
  <c r="O10" i="28" l="1"/>
  <c r="F25" i="28"/>
  <c r="P6" i="28"/>
  <c r="L25" i="28"/>
  <c r="J9" i="12" s="1"/>
  <c r="O11" i="28"/>
  <c r="T18" i="28"/>
  <c r="U18" i="28" s="1"/>
  <c r="W18" i="28" s="1"/>
  <c r="M22" i="28"/>
  <c r="T22" i="28" s="1"/>
  <c r="U22" i="28" s="1"/>
  <c r="W22" i="28" s="1"/>
  <c r="Q9" i="12"/>
  <c r="I9" i="12"/>
  <c r="B9" i="12"/>
  <c r="L9" i="12"/>
  <c r="M9" i="28"/>
  <c r="O9" i="28" s="1"/>
  <c r="M16" i="28"/>
  <c r="O16" i="28" s="1"/>
  <c r="M20" i="28"/>
  <c r="O20" i="28" s="1"/>
  <c r="O13" i="28"/>
  <c r="T19" i="28"/>
  <c r="U19" i="28" s="1"/>
  <c r="W19" i="28" s="1"/>
  <c r="M17" i="28"/>
  <c r="O17" i="28" s="1"/>
  <c r="T7" i="28"/>
  <c r="U7" i="28" s="1"/>
  <c r="W7" i="28" s="1"/>
  <c r="M8" i="28"/>
  <c r="O8" i="28" s="1"/>
  <c r="M15" i="28"/>
  <c r="O15" i="28" s="1"/>
  <c r="O15" i="87" s="1"/>
  <c r="O25" i="87" s="1"/>
  <c r="M10" i="97" s="1"/>
  <c r="M17" i="97" s="1"/>
  <c r="M21" i="28"/>
  <c r="O21" i="28" s="1"/>
  <c r="M14" i="28"/>
  <c r="O14" i="28" s="1"/>
  <c r="M12" i="28"/>
  <c r="O12" i="28" s="1"/>
  <c r="P25" i="28" l="1"/>
  <c r="M6" i="28"/>
  <c r="O22" i="28"/>
  <c r="D9" i="12"/>
  <c r="T21" i="28"/>
  <c r="U21" i="28" s="1"/>
  <c r="W21" i="28" s="1"/>
  <c r="T9" i="28"/>
  <c r="U9" i="28" s="1"/>
  <c r="W9" i="28" s="1"/>
  <c r="T12" i="28"/>
  <c r="U12" i="28" s="1"/>
  <c r="W12" i="28" s="1"/>
  <c r="T20" i="28"/>
  <c r="U20" i="28" s="1"/>
  <c r="W20" i="28" s="1"/>
  <c r="T14" i="28"/>
  <c r="U14" i="28" s="1"/>
  <c r="W14" i="28" s="1"/>
  <c r="T15" i="28"/>
  <c r="U15" i="28" s="1"/>
  <c r="W15" i="28" s="1"/>
  <c r="T8" i="28"/>
  <c r="U8" i="28" s="1"/>
  <c r="W8" i="28" s="1"/>
  <c r="T17" i="28"/>
  <c r="U17" i="28" s="1"/>
  <c r="W17" i="28" s="1"/>
  <c r="T16" i="28"/>
  <c r="U16" i="28" s="1"/>
  <c r="W16" i="28" s="1"/>
  <c r="N9" i="12" l="1"/>
  <c r="T6" i="28"/>
  <c r="M25" i="28"/>
  <c r="O6" i="28"/>
  <c r="O25" i="28" s="1"/>
  <c r="K9" i="12" l="1"/>
  <c r="M9" i="12"/>
  <c r="T25" i="28"/>
  <c r="U6" i="28"/>
  <c r="X8" i="12"/>
  <c r="W8" i="12"/>
  <c r="T8" i="12"/>
  <c r="U9" i="27"/>
  <c r="W9" i="27" s="1"/>
  <c r="S9" i="27"/>
  <c r="K9" i="27"/>
  <c r="L9" i="27" s="1"/>
  <c r="F9" i="27"/>
  <c r="U8" i="27"/>
  <c r="W8" i="27" s="1"/>
  <c r="S8" i="27"/>
  <c r="K8" i="27"/>
  <c r="L8" i="27" s="1"/>
  <c r="P8" i="27" s="1"/>
  <c r="F8" i="27"/>
  <c r="U7" i="27"/>
  <c r="S7" i="27"/>
  <c r="K7" i="27"/>
  <c r="F7" i="27"/>
  <c r="A7" i="27"/>
  <c r="A8" i="27" s="1"/>
  <c r="A9" i="27" s="1"/>
  <c r="A10" i="27" s="1"/>
  <c r="A11" i="27" s="1"/>
  <c r="F8" i="71" s="1"/>
  <c r="U6" i="27"/>
  <c r="S6" i="27"/>
  <c r="K6" i="27"/>
  <c r="F6" i="27"/>
  <c r="R9" i="12" l="1"/>
  <c r="U25" i="28"/>
  <c r="F7" i="72" s="1"/>
  <c r="W6" i="28"/>
  <c r="W25" i="28" s="1"/>
  <c r="E14" i="72" s="1"/>
  <c r="E16" i="72" s="1"/>
  <c r="F11" i="27"/>
  <c r="D8" i="12" s="1"/>
  <c r="S11" i="27"/>
  <c r="Q8" i="12" s="1"/>
  <c r="W7" i="27"/>
  <c r="U11" i="27"/>
  <c r="L7" i="27"/>
  <c r="K11" i="27"/>
  <c r="I8" i="12" s="1"/>
  <c r="W6" i="27"/>
  <c r="H8" i="12"/>
  <c r="E8" i="12"/>
  <c r="L8" i="12"/>
  <c r="B8" i="12"/>
  <c r="G8" i="12"/>
  <c r="P8" i="12"/>
  <c r="C8" i="12"/>
  <c r="F8" i="12"/>
  <c r="O8" i="12"/>
  <c r="M8" i="27"/>
  <c r="O8" i="27" s="1"/>
  <c r="P9" i="27"/>
  <c r="L6" i="27"/>
  <c r="S8" i="12" l="1"/>
  <c r="F11" i="42" s="1"/>
  <c r="F6" i="71"/>
  <c r="F14" i="72"/>
  <c r="F15" i="72"/>
  <c r="F16" i="72" s="1"/>
  <c r="U9" i="12"/>
  <c r="S9" i="12"/>
  <c r="F12" i="42" s="1"/>
  <c r="W11" i="27"/>
  <c r="L11" i="27"/>
  <c r="P7" i="27"/>
  <c r="M7" i="27" s="1"/>
  <c r="M9" i="27"/>
  <c r="O9" i="27" s="1"/>
  <c r="T8" i="27"/>
  <c r="P6" i="27"/>
  <c r="U8" i="12" l="1"/>
  <c r="E13" i="71"/>
  <c r="E14" i="71" s="1"/>
  <c r="F13" i="71" s="1"/>
  <c r="F14" i="71" s="1"/>
  <c r="P11" i="27"/>
  <c r="O7" i="27"/>
  <c r="J8" i="12"/>
  <c r="T7" i="27"/>
  <c r="M6" i="27"/>
  <c r="T6" i="27" s="1"/>
  <c r="T9" i="27"/>
  <c r="M11" i="27" l="1"/>
  <c r="T11" i="27"/>
  <c r="N8" i="12"/>
  <c r="O6" i="27"/>
  <c r="O11" i="27" s="1"/>
  <c r="R8" i="12" l="1"/>
  <c r="M8" i="12"/>
  <c r="K8" i="12"/>
  <c r="AB77" i="26"/>
  <c r="W7" i="12"/>
  <c r="P7" i="12"/>
  <c r="H7" i="12"/>
  <c r="G7" i="12"/>
  <c r="F7" i="12"/>
  <c r="C7" i="12"/>
  <c r="S71" i="26"/>
  <c r="K71" i="26"/>
  <c r="L71" i="26" s="1"/>
  <c r="P71" i="26" s="1"/>
  <c r="M71" i="26" s="1"/>
  <c r="F71" i="26"/>
  <c r="S70" i="26"/>
  <c r="K70" i="26"/>
  <c r="L70" i="26" s="1"/>
  <c r="P70" i="26" s="1"/>
  <c r="F70" i="26"/>
  <c r="Q69" i="26"/>
  <c r="S69" i="26" s="1"/>
  <c r="K69" i="26"/>
  <c r="L69" i="26" s="1"/>
  <c r="G69" i="26"/>
  <c r="D69" i="26"/>
  <c r="F69" i="26" s="1"/>
  <c r="S68" i="26"/>
  <c r="K68" i="26"/>
  <c r="L68" i="26" s="1"/>
  <c r="F68" i="26"/>
  <c r="S67" i="26"/>
  <c r="K67" i="26"/>
  <c r="L67" i="26" s="1"/>
  <c r="P67" i="26" s="1"/>
  <c r="F67" i="26"/>
  <c r="S66" i="26"/>
  <c r="K66" i="26"/>
  <c r="L66" i="26" s="1"/>
  <c r="P66" i="26" s="1"/>
  <c r="D66" i="26"/>
  <c r="S65" i="26"/>
  <c r="K65" i="26"/>
  <c r="L65" i="26" s="1"/>
  <c r="P65" i="26" s="1"/>
  <c r="F65" i="26"/>
  <c r="S64" i="26"/>
  <c r="K64" i="26"/>
  <c r="L64" i="26" s="1"/>
  <c r="P64" i="26" s="1"/>
  <c r="F64" i="26"/>
  <c r="S63" i="26"/>
  <c r="K63" i="26"/>
  <c r="L63" i="26" s="1"/>
  <c r="F63" i="26"/>
  <c r="S62" i="26"/>
  <c r="K62" i="26"/>
  <c r="L62" i="26" s="1"/>
  <c r="P62" i="26" s="1"/>
  <c r="D62" i="26"/>
  <c r="S61" i="26"/>
  <c r="K61" i="26"/>
  <c r="L61" i="26" s="1"/>
  <c r="P61" i="26" s="1"/>
  <c r="F61" i="26"/>
  <c r="S60" i="26"/>
  <c r="K60" i="26"/>
  <c r="L60" i="26" s="1"/>
  <c r="F60" i="26"/>
  <c r="S59" i="26"/>
  <c r="K59" i="26"/>
  <c r="L59" i="26" s="1"/>
  <c r="F59" i="26"/>
  <c r="S58" i="26"/>
  <c r="K58" i="26"/>
  <c r="L58" i="26" s="1"/>
  <c r="P58" i="26" s="1"/>
  <c r="F58" i="26"/>
  <c r="S57" i="26"/>
  <c r="K57" i="26"/>
  <c r="L57" i="26" s="1"/>
  <c r="P57" i="26" s="1"/>
  <c r="F57" i="26"/>
  <c r="S56" i="26"/>
  <c r="K56" i="26"/>
  <c r="L56" i="26" s="1"/>
  <c r="P56" i="26" s="1"/>
  <c r="F56" i="26"/>
  <c r="S55" i="26"/>
  <c r="K55" i="26"/>
  <c r="L55" i="26" s="1"/>
  <c r="P55" i="26" s="1"/>
  <c r="F55" i="26"/>
  <c r="S54" i="26"/>
  <c r="K54" i="26"/>
  <c r="L54" i="26" s="1"/>
  <c r="P54" i="26" s="1"/>
  <c r="F54" i="26"/>
  <c r="S53" i="26"/>
  <c r="K53" i="26"/>
  <c r="L53" i="26" s="1"/>
  <c r="F53" i="26"/>
  <c r="S51" i="26"/>
  <c r="K51" i="26"/>
  <c r="L51" i="26" s="1"/>
  <c r="F51" i="26"/>
  <c r="S50" i="26"/>
  <c r="K50" i="26"/>
  <c r="L50" i="26" s="1"/>
  <c r="P50" i="26" s="1"/>
  <c r="D50" i="26"/>
  <c r="F50" i="26" s="1"/>
  <c r="S49" i="26"/>
  <c r="K49" i="26"/>
  <c r="L49" i="26" s="1"/>
  <c r="F49" i="26"/>
  <c r="S48" i="26"/>
  <c r="K48" i="26"/>
  <c r="L48" i="26" s="1"/>
  <c r="F48" i="26"/>
  <c r="S47" i="26"/>
  <c r="K47" i="26"/>
  <c r="L47" i="26" s="1"/>
  <c r="F47" i="26"/>
  <c r="S46" i="26"/>
  <c r="K46" i="26"/>
  <c r="L46" i="26" s="1"/>
  <c r="P46" i="26" s="1"/>
  <c r="F46" i="26"/>
  <c r="S45" i="26"/>
  <c r="K45" i="26"/>
  <c r="L45" i="26" s="1"/>
  <c r="P45" i="26" s="1"/>
  <c r="D45" i="26"/>
  <c r="F45" i="26" s="1"/>
  <c r="S44" i="26"/>
  <c r="K44" i="26"/>
  <c r="L44" i="26" s="1"/>
  <c r="F44" i="26"/>
  <c r="S43" i="26"/>
  <c r="K43" i="26"/>
  <c r="L43" i="26" s="1"/>
  <c r="P43" i="26" s="1"/>
  <c r="D43" i="26"/>
  <c r="S42" i="26"/>
  <c r="K42" i="26"/>
  <c r="L42" i="26" s="1"/>
  <c r="P42" i="26" s="1"/>
  <c r="D42" i="26"/>
  <c r="Q41" i="26"/>
  <c r="S41" i="26" s="1"/>
  <c r="K41" i="26"/>
  <c r="L41" i="26" s="1"/>
  <c r="G41" i="26"/>
  <c r="F41" i="26"/>
  <c r="S40" i="26"/>
  <c r="K40" i="26"/>
  <c r="L40" i="26" s="1"/>
  <c r="F40" i="26"/>
  <c r="Q39" i="26"/>
  <c r="K39" i="26"/>
  <c r="L39" i="26" s="1"/>
  <c r="G39" i="26"/>
  <c r="D39" i="26"/>
  <c r="F39" i="26" s="1"/>
  <c r="S38" i="26"/>
  <c r="K38" i="26"/>
  <c r="L38" i="26" s="1"/>
  <c r="P38" i="26" s="1"/>
  <c r="F38" i="26"/>
  <c r="S37" i="26"/>
  <c r="K37" i="26"/>
  <c r="L37" i="26" s="1"/>
  <c r="P37" i="26" s="1"/>
  <c r="F37" i="26"/>
  <c r="S36" i="26"/>
  <c r="K36" i="26"/>
  <c r="L36" i="26" s="1"/>
  <c r="P36" i="26" s="1"/>
  <c r="F36" i="26"/>
  <c r="S35" i="26"/>
  <c r="K35" i="26"/>
  <c r="L35" i="26" s="1"/>
  <c r="F35" i="26"/>
  <c r="S34" i="26"/>
  <c r="K34" i="26"/>
  <c r="L34" i="26" s="1"/>
  <c r="G34" i="26"/>
  <c r="F34" i="26"/>
  <c r="S33" i="26"/>
  <c r="K33" i="26"/>
  <c r="L33" i="26" s="1"/>
  <c r="F33" i="26"/>
  <c r="S32" i="26"/>
  <c r="K32" i="26"/>
  <c r="L32" i="26" s="1"/>
  <c r="P32" i="26" s="1"/>
  <c r="F32" i="26"/>
  <c r="S31" i="26"/>
  <c r="K31" i="26"/>
  <c r="L31" i="26" s="1"/>
  <c r="D31" i="26"/>
  <c r="F31" i="26" s="1"/>
  <c r="S30" i="26"/>
  <c r="K30" i="26"/>
  <c r="L30" i="26" s="1"/>
  <c r="F30" i="26"/>
  <c r="S29" i="26"/>
  <c r="K29" i="26"/>
  <c r="L29" i="26" s="1"/>
  <c r="F29" i="26"/>
  <c r="S28" i="26"/>
  <c r="K28" i="26"/>
  <c r="L28" i="26" s="1"/>
  <c r="F28" i="26"/>
  <c r="S27" i="26"/>
  <c r="K27" i="26"/>
  <c r="L27" i="26" s="1"/>
  <c r="F27" i="26"/>
  <c r="S26" i="26"/>
  <c r="K26" i="26"/>
  <c r="L26" i="26" s="1"/>
  <c r="P26" i="26" s="1"/>
  <c r="D26" i="26"/>
  <c r="S25" i="26"/>
  <c r="K25" i="26"/>
  <c r="L25" i="26" s="1"/>
  <c r="P25" i="26" s="1"/>
  <c r="F25" i="26"/>
  <c r="S24" i="26"/>
  <c r="K24" i="26"/>
  <c r="L24" i="26" s="1"/>
  <c r="G24" i="26"/>
  <c r="F24" i="26"/>
  <c r="S23" i="26"/>
  <c r="K23" i="26"/>
  <c r="L23" i="26" s="1"/>
  <c r="P23" i="26" s="1"/>
  <c r="F23" i="26"/>
  <c r="S22" i="26"/>
  <c r="K22" i="26"/>
  <c r="L22" i="26" s="1"/>
  <c r="P22" i="26" s="1"/>
  <c r="D22" i="26"/>
  <c r="S21" i="26"/>
  <c r="K21" i="26"/>
  <c r="L21" i="26" s="1"/>
  <c r="F21" i="26"/>
  <c r="S20" i="26"/>
  <c r="K20" i="26"/>
  <c r="L20" i="26" s="1"/>
  <c r="F20" i="26"/>
  <c r="Q19" i="26"/>
  <c r="S19" i="26" s="1"/>
  <c r="K19" i="26"/>
  <c r="L19" i="26" s="1"/>
  <c r="G19" i="26"/>
  <c r="F19" i="26"/>
  <c r="S18" i="26"/>
  <c r="K18" i="26"/>
  <c r="L18" i="26" s="1"/>
  <c r="F18" i="26"/>
  <c r="S17" i="26"/>
  <c r="K17" i="26"/>
  <c r="L17" i="26" s="1"/>
  <c r="P17" i="26" s="1"/>
  <c r="F17" i="26"/>
  <c r="S16" i="26"/>
  <c r="K16" i="26"/>
  <c r="L16" i="26" s="1"/>
  <c r="F16" i="26"/>
  <c r="S15" i="26"/>
  <c r="K15" i="26"/>
  <c r="L15" i="26" s="1"/>
  <c r="P15" i="26" s="1"/>
  <c r="F15" i="26"/>
  <c r="S14" i="26"/>
  <c r="K14" i="26"/>
  <c r="L14" i="26" s="1"/>
  <c r="F14" i="26"/>
  <c r="S13" i="26"/>
  <c r="K13" i="26"/>
  <c r="L13" i="26" s="1"/>
  <c r="P13" i="26" s="1"/>
  <c r="D13" i="26"/>
  <c r="F13" i="26" s="1"/>
  <c r="S12" i="26"/>
  <c r="K12" i="26"/>
  <c r="L12" i="26" s="1"/>
  <c r="P12" i="26" s="1"/>
  <c r="F12" i="26"/>
  <c r="S11" i="26"/>
  <c r="K11" i="26"/>
  <c r="L11" i="26" s="1"/>
  <c r="P11" i="26" s="1"/>
  <c r="F11" i="26"/>
  <c r="S10" i="26"/>
  <c r="K10" i="26"/>
  <c r="L10" i="26" s="1"/>
  <c r="P10" i="26" s="1"/>
  <c r="F10" i="26"/>
  <c r="S9" i="26"/>
  <c r="K9" i="26"/>
  <c r="L9" i="26" s="1"/>
  <c r="F9" i="26"/>
  <c r="S8" i="26"/>
  <c r="K8" i="26"/>
  <c r="L8" i="26" s="1"/>
  <c r="P8" i="26" s="1"/>
  <c r="D8" i="26"/>
  <c r="S7" i="26"/>
  <c r="K7" i="26"/>
  <c r="L7" i="26" s="1"/>
  <c r="F7" i="26"/>
  <c r="A7" i="26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V6" i="26"/>
  <c r="Q6" i="26"/>
  <c r="K6" i="26"/>
  <c r="G6" i="26"/>
  <c r="F6" i="26"/>
  <c r="Q77" i="26" l="1"/>
  <c r="K77" i="26"/>
  <c r="I7" i="12" s="1"/>
  <c r="N77" i="26"/>
  <c r="L7" i="12" s="1"/>
  <c r="G77" i="26"/>
  <c r="F8" i="26"/>
  <c r="D77" i="26"/>
  <c r="M22" i="26"/>
  <c r="T22" i="26" s="1"/>
  <c r="U22" i="26" s="1"/>
  <c r="W22" i="26" s="1"/>
  <c r="M10" i="26"/>
  <c r="O10" i="26" s="1"/>
  <c r="M36" i="26"/>
  <c r="O36" i="26" s="1"/>
  <c r="M54" i="26"/>
  <c r="O54" i="26" s="1"/>
  <c r="M13" i="26"/>
  <c r="O13" i="26" s="1"/>
  <c r="M42" i="26"/>
  <c r="O42" i="26" s="1"/>
  <c r="M55" i="26"/>
  <c r="O55" i="26" s="1"/>
  <c r="M17" i="26"/>
  <c r="O17" i="26" s="1"/>
  <c r="P34" i="26"/>
  <c r="M34" i="26" s="1"/>
  <c r="T34" i="26" s="1"/>
  <c r="U34" i="26" s="1"/>
  <c r="W34" i="26" s="1"/>
  <c r="P39" i="26"/>
  <c r="M39" i="26" s="1"/>
  <c r="O39" i="26" s="1"/>
  <c r="M67" i="26"/>
  <c r="O67" i="26" s="1"/>
  <c r="M58" i="26"/>
  <c r="O58" i="26" s="1"/>
  <c r="M61" i="26"/>
  <c r="O61" i="26" s="1"/>
  <c r="P24" i="26"/>
  <c r="A57" i="26"/>
  <c r="A58" i="26" s="1"/>
  <c r="A59" i="26" s="1"/>
  <c r="A60" i="26" s="1"/>
  <c r="M15" i="26"/>
  <c r="O15" i="26" s="1"/>
  <c r="M43" i="26"/>
  <c r="T43" i="26" s="1"/>
  <c r="U43" i="26" s="1"/>
  <c r="W43" i="26" s="1"/>
  <c r="M8" i="26"/>
  <c r="T8" i="26" s="1"/>
  <c r="U8" i="26" s="1"/>
  <c r="W8" i="26" s="1"/>
  <c r="P19" i="26"/>
  <c r="F43" i="26"/>
  <c r="P47" i="26"/>
  <c r="M56" i="26"/>
  <c r="T56" i="26" s="1"/>
  <c r="U56" i="26" s="1"/>
  <c r="Z56" i="26" s="1"/>
  <c r="P60" i="26"/>
  <c r="M62" i="26"/>
  <c r="T62" i="26" s="1"/>
  <c r="U62" i="26" s="1"/>
  <c r="W62" i="26" s="1"/>
  <c r="P63" i="26"/>
  <c r="M70" i="26"/>
  <c r="O70" i="26" s="1"/>
  <c r="P7" i="26"/>
  <c r="P9" i="26"/>
  <c r="M12" i="26"/>
  <c r="O12" i="26" s="1"/>
  <c r="M26" i="26"/>
  <c r="T26" i="26" s="1"/>
  <c r="U26" i="26" s="1"/>
  <c r="W26" i="26" s="1"/>
  <c r="P29" i="26"/>
  <c r="P33" i="26"/>
  <c r="P35" i="26"/>
  <c r="M38" i="26"/>
  <c r="T38" i="26" s="1"/>
  <c r="U38" i="26" s="1"/>
  <c r="W38" i="26" s="1"/>
  <c r="P48" i="26"/>
  <c r="M50" i="26"/>
  <c r="T50" i="26" s="1"/>
  <c r="U50" i="26" s="1"/>
  <c r="W50" i="26" s="1"/>
  <c r="M64" i="26"/>
  <c r="O64" i="26" s="1"/>
  <c r="M65" i="26"/>
  <c r="O65" i="26" s="1"/>
  <c r="L6" i="26"/>
  <c r="L77" i="26" s="1"/>
  <c r="P14" i="26"/>
  <c r="P16" i="26"/>
  <c r="P18" i="26"/>
  <c r="P20" i="26"/>
  <c r="P27" i="26"/>
  <c r="P30" i="26"/>
  <c r="P31" i="26"/>
  <c r="M32" i="26"/>
  <c r="T32" i="26" s="1"/>
  <c r="U32" i="26" s="1"/>
  <c r="W32" i="26" s="1"/>
  <c r="P40" i="26"/>
  <c r="P49" i="26"/>
  <c r="P51" i="26"/>
  <c r="S6" i="26"/>
  <c r="S77" i="26" s="1"/>
  <c r="P21" i="26"/>
  <c r="M25" i="26"/>
  <c r="T25" i="26" s="1"/>
  <c r="U25" i="26" s="1"/>
  <c r="W25" i="26" s="1"/>
  <c r="P28" i="26"/>
  <c r="P41" i="26"/>
  <c r="P44" i="26"/>
  <c r="M46" i="26"/>
  <c r="O46" i="26" s="1"/>
  <c r="P59" i="26"/>
  <c r="M66" i="26"/>
  <c r="T66" i="26" s="1"/>
  <c r="U66" i="26" s="1"/>
  <c r="W66" i="26" s="1"/>
  <c r="W56" i="85" s="1"/>
  <c r="P69" i="26"/>
  <c r="F26" i="26"/>
  <c r="F22" i="26"/>
  <c r="F42" i="26"/>
  <c r="F66" i="26"/>
  <c r="P68" i="26"/>
  <c r="M11" i="26"/>
  <c r="O11" i="26" s="1"/>
  <c r="M23" i="26"/>
  <c r="O23" i="26" s="1"/>
  <c r="M37" i="26"/>
  <c r="O37" i="26" s="1"/>
  <c r="M45" i="26"/>
  <c r="O45" i="26" s="1"/>
  <c r="P53" i="26"/>
  <c r="M57" i="26"/>
  <c r="F62" i="26"/>
  <c r="O71" i="26"/>
  <c r="A61" i="26" l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T10" i="26"/>
  <c r="U10" i="26" s="1"/>
  <c r="W10" i="26" s="1"/>
  <c r="T15" i="26"/>
  <c r="U15" i="26" s="1"/>
  <c r="W15" i="26" s="1"/>
  <c r="T54" i="26"/>
  <c r="U54" i="26" s="1"/>
  <c r="W54" i="26" s="1"/>
  <c r="O22" i="26"/>
  <c r="O25" i="26"/>
  <c r="F77" i="26"/>
  <c r="O62" i="26"/>
  <c r="T55" i="26"/>
  <c r="U55" i="26" s="1"/>
  <c r="W55" i="26" s="1"/>
  <c r="T36" i="26"/>
  <c r="U36" i="26" s="1"/>
  <c r="W36" i="26" s="1"/>
  <c r="T13" i="26"/>
  <c r="U13" i="26" s="1"/>
  <c r="W13" i="26" s="1"/>
  <c r="T42" i="26"/>
  <c r="U42" i="26" s="1"/>
  <c r="W42" i="26" s="1"/>
  <c r="O26" i="26"/>
  <c r="T17" i="26"/>
  <c r="U17" i="26" s="1"/>
  <c r="W17" i="26" s="1"/>
  <c r="O32" i="26"/>
  <c r="T71" i="26"/>
  <c r="U71" i="26" s="1"/>
  <c r="W71" i="26" s="1"/>
  <c r="T61" i="26"/>
  <c r="U61" i="26" s="1"/>
  <c r="W61" i="26" s="1"/>
  <c r="W67" i="85" s="1"/>
  <c r="W69" i="85" s="1"/>
  <c r="O34" i="26"/>
  <c r="M24" i="26"/>
  <c r="O24" i="26" s="1"/>
  <c r="O50" i="26"/>
  <c r="T65" i="26"/>
  <c r="U65" i="26" s="1"/>
  <c r="T67" i="26"/>
  <c r="U67" i="26" s="1"/>
  <c r="W67" i="26" s="1"/>
  <c r="W74" i="85" s="1"/>
  <c r="W75" i="85" s="1"/>
  <c r="U13" i="97" s="1"/>
  <c r="O56" i="26"/>
  <c r="T46" i="26"/>
  <c r="U46" i="26" s="1"/>
  <c r="W46" i="26" s="1"/>
  <c r="O7" i="12"/>
  <c r="O38" i="26"/>
  <c r="E7" i="12"/>
  <c r="B7" i="12"/>
  <c r="Q7" i="12"/>
  <c r="T39" i="26"/>
  <c r="U39" i="26" s="1"/>
  <c r="W39" i="26" s="1"/>
  <c r="T23" i="26"/>
  <c r="U23" i="26" s="1"/>
  <c r="W23" i="26" s="1"/>
  <c r="T58" i="26"/>
  <c r="U58" i="26" s="1"/>
  <c r="W58" i="26" s="1"/>
  <c r="V56" i="26"/>
  <c r="T57" i="26"/>
  <c r="U57" i="26" s="1"/>
  <c r="W57" i="26" s="1"/>
  <c r="O57" i="26"/>
  <c r="M68" i="26"/>
  <c r="O68" i="26" s="1"/>
  <c r="M69" i="26"/>
  <c r="O69" i="26" s="1"/>
  <c r="M59" i="26"/>
  <c r="O59" i="26" s="1"/>
  <c r="T37" i="26"/>
  <c r="U37" i="26" s="1"/>
  <c r="W37" i="26" s="1"/>
  <c r="M40" i="26"/>
  <c r="O40" i="26" s="1"/>
  <c r="M31" i="26"/>
  <c r="O31" i="26" s="1"/>
  <c r="M9" i="26"/>
  <c r="O9" i="26" s="1"/>
  <c r="M63" i="26"/>
  <c r="O63" i="26" s="1"/>
  <c r="M53" i="26"/>
  <c r="O53" i="26" s="1"/>
  <c r="M44" i="26"/>
  <c r="O44" i="26" s="1"/>
  <c r="M51" i="26"/>
  <c r="O51" i="26" s="1"/>
  <c r="M30" i="26"/>
  <c r="O30" i="26" s="1"/>
  <c r="M20" i="26"/>
  <c r="O20" i="26" s="1"/>
  <c r="M16" i="26"/>
  <c r="O16" i="26" s="1"/>
  <c r="P6" i="26"/>
  <c r="P77" i="26" s="1"/>
  <c r="J7" i="12"/>
  <c r="M35" i="26"/>
  <c r="O35" i="26" s="1"/>
  <c r="M29" i="26"/>
  <c r="O29" i="26" s="1"/>
  <c r="O8" i="26"/>
  <c r="M60" i="26"/>
  <c r="O60" i="26" s="1"/>
  <c r="M47" i="26"/>
  <c r="O47" i="26" s="1"/>
  <c r="M19" i="26"/>
  <c r="O19" i="26" s="1"/>
  <c r="O66" i="26"/>
  <c r="M21" i="26"/>
  <c r="O21" i="26" s="1"/>
  <c r="T64" i="26"/>
  <c r="U64" i="26" s="1"/>
  <c r="W64" i="26" s="1"/>
  <c r="M48" i="26"/>
  <c r="O48" i="26" s="1"/>
  <c r="T12" i="26"/>
  <c r="U12" i="26" s="1"/>
  <c r="W12" i="26" s="1"/>
  <c r="T70" i="26"/>
  <c r="U70" i="26" s="1"/>
  <c r="W70" i="26" s="1"/>
  <c r="M41" i="26"/>
  <c r="O41" i="26" s="1"/>
  <c r="M28" i="26"/>
  <c r="O28" i="26" s="1"/>
  <c r="T11" i="26"/>
  <c r="U11" i="26" s="1"/>
  <c r="W11" i="26" s="1"/>
  <c r="M49" i="26"/>
  <c r="O49" i="26" s="1"/>
  <c r="M27" i="26"/>
  <c r="O27" i="26" s="1"/>
  <c r="M18" i="26"/>
  <c r="O18" i="26" s="1"/>
  <c r="M14" i="26"/>
  <c r="O14" i="26" s="1"/>
  <c r="T45" i="26"/>
  <c r="U45" i="26" s="1"/>
  <c r="W45" i="26" s="1"/>
  <c r="M33" i="26"/>
  <c r="O33" i="26" s="1"/>
  <c r="M7" i="26"/>
  <c r="O7" i="26" s="1"/>
  <c r="O43" i="26"/>
  <c r="A77" i="26" l="1"/>
  <c r="F7" i="69" s="1"/>
  <c r="T68" i="26"/>
  <c r="U68" i="26" s="1"/>
  <c r="W68" i="26" s="1"/>
  <c r="W57" i="85" s="1"/>
  <c r="T24" i="26"/>
  <c r="U24" i="26" s="1"/>
  <c r="W24" i="26" s="1"/>
  <c r="V77" i="26"/>
  <c r="Z77" i="26"/>
  <c r="T53" i="26"/>
  <c r="U53" i="26" s="1"/>
  <c r="W53" i="26" s="1"/>
  <c r="W65" i="26"/>
  <c r="W89" i="85" s="1"/>
  <c r="W90" i="85" s="1"/>
  <c r="U12" i="97" s="1"/>
  <c r="T18" i="26"/>
  <c r="U18" i="26" s="1"/>
  <c r="W18" i="26" s="1"/>
  <c r="T16" i="26"/>
  <c r="U16" i="26" s="1"/>
  <c r="W16" i="26" s="1"/>
  <c r="T20" i="26"/>
  <c r="U20" i="26" s="1"/>
  <c r="W20" i="26" s="1"/>
  <c r="T19" i="26"/>
  <c r="U19" i="26" s="1"/>
  <c r="W19" i="26" s="1"/>
  <c r="T41" i="26"/>
  <c r="U41" i="26" s="1"/>
  <c r="W41" i="26" s="1"/>
  <c r="T40" i="26"/>
  <c r="U40" i="26" s="1"/>
  <c r="W40" i="26" s="1"/>
  <c r="T69" i="26"/>
  <c r="U69" i="26" s="1"/>
  <c r="W69" i="26" s="1"/>
  <c r="W58" i="85" s="1"/>
  <c r="T51" i="26"/>
  <c r="U51" i="26" s="1"/>
  <c r="W51" i="26" s="1"/>
  <c r="T63" i="26"/>
  <c r="U63" i="26" s="1"/>
  <c r="W63" i="26" s="1"/>
  <c r="D7" i="12"/>
  <c r="T29" i="26"/>
  <c r="U29" i="26" s="1"/>
  <c r="W29" i="26" s="1"/>
  <c r="T44" i="26"/>
  <c r="U44" i="26" s="1"/>
  <c r="W44" i="26" s="1"/>
  <c r="H8" i="44"/>
  <c r="T33" i="26"/>
  <c r="U33" i="26" s="1"/>
  <c r="W33" i="26" s="1"/>
  <c r="T28" i="26"/>
  <c r="U28" i="26" s="1"/>
  <c r="W28" i="26" s="1"/>
  <c r="T35" i="26"/>
  <c r="U35" i="26" s="1"/>
  <c r="W35" i="26" s="1"/>
  <c r="T49" i="26"/>
  <c r="U49" i="26" s="1"/>
  <c r="W49" i="26" s="1"/>
  <c r="T47" i="26"/>
  <c r="U47" i="26" s="1"/>
  <c r="W47" i="26" s="1"/>
  <c r="T30" i="26"/>
  <c r="U30" i="26" s="1"/>
  <c r="W30" i="26" s="1"/>
  <c r="T7" i="26"/>
  <c r="U7" i="26" s="1"/>
  <c r="W7" i="26" s="1"/>
  <c r="W12" i="85" s="1"/>
  <c r="W22" i="85" s="1"/>
  <c r="U7" i="97" s="1"/>
  <c r="T14" i="26"/>
  <c r="U14" i="26" s="1"/>
  <c r="W14" i="26" s="1"/>
  <c r="T27" i="26"/>
  <c r="U27" i="26" s="1"/>
  <c r="W27" i="26" s="1"/>
  <c r="T48" i="26"/>
  <c r="U48" i="26" s="1"/>
  <c r="W48" i="26" s="1"/>
  <c r="T21" i="26"/>
  <c r="U21" i="26" s="1"/>
  <c r="W21" i="26" s="1"/>
  <c r="T60" i="26"/>
  <c r="U60" i="26" s="1"/>
  <c r="W60" i="26" s="1"/>
  <c r="M6" i="26"/>
  <c r="N7" i="12"/>
  <c r="T9" i="26"/>
  <c r="U9" i="26" s="1"/>
  <c r="W9" i="26" s="1"/>
  <c r="T31" i="26"/>
  <c r="U31" i="26" s="1"/>
  <c r="W31" i="26" s="1"/>
  <c r="T59" i="26"/>
  <c r="U59" i="26" s="1"/>
  <c r="W59" i="26" s="1"/>
  <c r="W63" i="85" l="1"/>
  <c r="U10" i="97"/>
  <c r="U17" i="97" s="1"/>
  <c r="U22" i="97" s="1"/>
  <c r="W97" i="85"/>
  <c r="T8" i="44"/>
  <c r="E14" i="69"/>
  <c r="T7" i="12"/>
  <c r="E12" i="69"/>
  <c r="W77" i="26"/>
  <c r="X7" i="12"/>
  <c r="T6" i="26"/>
  <c r="T77" i="26" s="1"/>
  <c r="R7" i="12" s="1"/>
  <c r="M77" i="26"/>
  <c r="K7" i="12" s="1"/>
  <c r="R8" i="44"/>
  <c r="U8" i="44" s="1"/>
  <c r="H16" i="44"/>
  <c r="F11" i="43" s="1"/>
  <c r="O6" i="26"/>
  <c r="U7" i="12" l="1"/>
  <c r="E13" i="69"/>
  <c r="E15" i="69" s="1"/>
  <c r="U6" i="26"/>
  <c r="O77" i="26"/>
  <c r="M7" i="12" s="1"/>
  <c r="F13" i="69" l="1"/>
  <c r="F14" i="69"/>
  <c r="F12" i="69"/>
  <c r="U77" i="26"/>
  <c r="F15" i="69" l="1"/>
  <c r="S7" i="12"/>
  <c r="F10" i="42" s="1"/>
  <c r="F5" i="69"/>
  <c r="AB101" i="25"/>
  <c r="Z101" i="25"/>
  <c r="Y101" i="25"/>
  <c r="W101" i="25"/>
  <c r="R101" i="25"/>
  <c r="Q101" i="25"/>
  <c r="J101" i="25"/>
  <c r="I101" i="25"/>
  <c r="H101" i="25"/>
  <c r="S100" i="25"/>
  <c r="K100" i="25"/>
  <c r="L100" i="25" s="1"/>
  <c r="F100" i="25"/>
  <c r="S99" i="25"/>
  <c r="K99" i="25"/>
  <c r="L99" i="25" s="1"/>
  <c r="P99" i="25" s="1"/>
  <c r="D99" i="25"/>
  <c r="F99" i="25" s="1"/>
  <c r="S98" i="25"/>
  <c r="K98" i="25"/>
  <c r="L98" i="25" s="1"/>
  <c r="P98" i="25" s="1"/>
  <c r="F98" i="25"/>
  <c r="S97" i="25"/>
  <c r="K97" i="25"/>
  <c r="L97" i="25" s="1"/>
  <c r="P97" i="25" s="1"/>
  <c r="F97" i="25"/>
  <c r="S96" i="25"/>
  <c r="K96" i="25"/>
  <c r="L96" i="25" s="1"/>
  <c r="F96" i="25"/>
  <c r="S95" i="25"/>
  <c r="K95" i="25"/>
  <c r="L95" i="25" s="1"/>
  <c r="F95" i="25"/>
  <c r="S94" i="25"/>
  <c r="K94" i="25"/>
  <c r="L94" i="25" s="1"/>
  <c r="P94" i="25" s="1"/>
  <c r="F94" i="25"/>
  <c r="S93" i="25"/>
  <c r="N93" i="25"/>
  <c r="N101" i="25" s="1"/>
  <c r="K93" i="25"/>
  <c r="L93" i="25" s="1"/>
  <c r="D93" i="25"/>
  <c r="F93" i="25" s="1"/>
  <c r="S92" i="25"/>
  <c r="K92" i="25"/>
  <c r="L92" i="25" s="1"/>
  <c r="G92" i="25"/>
  <c r="F92" i="25"/>
  <c r="S91" i="25"/>
  <c r="K91" i="25"/>
  <c r="L91" i="25" s="1"/>
  <c r="G91" i="25"/>
  <c r="G101" i="25" s="1"/>
  <c r="E91" i="25"/>
  <c r="E101" i="25" s="1"/>
  <c r="D91" i="25"/>
  <c r="S90" i="25"/>
  <c r="K90" i="25"/>
  <c r="L90" i="25" s="1"/>
  <c r="P90" i="25" s="1"/>
  <c r="D90" i="25"/>
  <c r="F90" i="25" s="1"/>
  <c r="S89" i="25"/>
  <c r="K89" i="25"/>
  <c r="L89" i="25" s="1"/>
  <c r="F89" i="25"/>
  <c r="S88" i="25"/>
  <c r="K88" i="25"/>
  <c r="L88" i="25" s="1"/>
  <c r="P88" i="25" s="1"/>
  <c r="F88" i="25"/>
  <c r="S87" i="25"/>
  <c r="K87" i="25"/>
  <c r="L87" i="25" s="1"/>
  <c r="D87" i="25"/>
  <c r="F87" i="25" s="1"/>
  <c r="S86" i="25"/>
  <c r="K86" i="25"/>
  <c r="L86" i="25" s="1"/>
  <c r="P86" i="25" s="1"/>
  <c r="D86" i="25"/>
  <c r="F86" i="25" s="1"/>
  <c r="AB83" i="25"/>
  <c r="S80" i="25"/>
  <c r="K80" i="25"/>
  <c r="L80" i="25" s="1"/>
  <c r="P80" i="25" s="1"/>
  <c r="D80" i="25"/>
  <c r="F80" i="25" s="1"/>
  <c r="V79" i="25"/>
  <c r="S79" i="25"/>
  <c r="K79" i="25"/>
  <c r="L79" i="25" s="1"/>
  <c r="P79" i="25" s="1"/>
  <c r="F79" i="25"/>
  <c r="S78" i="25"/>
  <c r="K78" i="25"/>
  <c r="L78" i="25" s="1"/>
  <c r="P78" i="25" s="1"/>
  <c r="F78" i="25"/>
  <c r="S77" i="25"/>
  <c r="K77" i="25"/>
  <c r="L77" i="25" s="1"/>
  <c r="P77" i="25" s="1"/>
  <c r="D77" i="25"/>
  <c r="F77" i="25" s="1"/>
  <c r="S76" i="25"/>
  <c r="K76" i="25"/>
  <c r="L76" i="25" s="1"/>
  <c r="F76" i="25"/>
  <c r="S75" i="25"/>
  <c r="K75" i="25"/>
  <c r="L75" i="25" s="1"/>
  <c r="P75" i="25" s="1"/>
  <c r="F75" i="25"/>
  <c r="S74" i="25"/>
  <c r="K74" i="25"/>
  <c r="L74" i="25" s="1"/>
  <c r="P74" i="25" s="1"/>
  <c r="F74" i="25"/>
  <c r="S73" i="25"/>
  <c r="K73" i="25"/>
  <c r="L73" i="25" s="1"/>
  <c r="P73" i="25" s="1"/>
  <c r="F73" i="25"/>
  <c r="S72" i="25"/>
  <c r="K72" i="25"/>
  <c r="L72" i="25" s="1"/>
  <c r="F72" i="25"/>
  <c r="S71" i="25"/>
  <c r="K71" i="25"/>
  <c r="L71" i="25" s="1"/>
  <c r="P71" i="25" s="1"/>
  <c r="D71" i="25"/>
  <c r="S70" i="25"/>
  <c r="K70" i="25"/>
  <c r="L70" i="25" s="1"/>
  <c r="F70" i="25"/>
  <c r="S69" i="25"/>
  <c r="K69" i="25"/>
  <c r="L69" i="25" s="1"/>
  <c r="P69" i="25" s="1"/>
  <c r="D69" i="25"/>
  <c r="S68" i="25"/>
  <c r="K68" i="25"/>
  <c r="L68" i="25" s="1"/>
  <c r="P68" i="25" s="1"/>
  <c r="F68" i="25"/>
  <c r="S67" i="25"/>
  <c r="K67" i="25"/>
  <c r="L67" i="25" s="1"/>
  <c r="P67" i="25" s="1"/>
  <c r="F67" i="25"/>
  <c r="S66" i="25"/>
  <c r="K66" i="25"/>
  <c r="L66" i="25" s="1"/>
  <c r="F66" i="25"/>
  <c r="S65" i="25"/>
  <c r="K65" i="25"/>
  <c r="L65" i="25" s="1"/>
  <c r="P65" i="25" s="1"/>
  <c r="F65" i="25"/>
  <c r="S64" i="25"/>
  <c r="K64" i="25"/>
  <c r="L64" i="25" s="1"/>
  <c r="F64" i="25"/>
  <c r="S63" i="25"/>
  <c r="K63" i="25"/>
  <c r="L63" i="25" s="1"/>
  <c r="P63" i="25" s="1"/>
  <c r="D63" i="25"/>
  <c r="S62" i="25"/>
  <c r="K62" i="25"/>
  <c r="L62" i="25" s="1"/>
  <c r="P62" i="25" s="1"/>
  <c r="S61" i="25"/>
  <c r="K61" i="25"/>
  <c r="F61" i="25"/>
  <c r="AB58" i="25"/>
  <c r="Z58" i="25"/>
  <c r="Y58" i="25"/>
  <c r="W58" i="25"/>
  <c r="R58" i="25"/>
  <c r="Q58" i="25"/>
  <c r="J58" i="25"/>
  <c r="I58" i="25"/>
  <c r="H58" i="25"/>
  <c r="G58" i="25"/>
  <c r="E58" i="25"/>
  <c r="S51" i="25"/>
  <c r="K51" i="25"/>
  <c r="L51" i="25" s="1"/>
  <c r="P51" i="25" s="1"/>
  <c r="D51" i="25"/>
  <c r="S50" i="25"/>
  <c r="K50" i="25"/>
  <c r="L50" i="25" s="1"/>
  <c r="P50" i="25" s="1"/>
  <c r="F50" i="25"/>
  <c r="S49" i="25"/>
  <c r="K49" i="25"/>
  <c r="L49" i="25" s="1"/>
  <c r="F49" i="25"/>
  <c r="S48" i="25"/>
  <c r="K48" i="25"/>
  <c r="L48" i="25" s="1"/>
  <c r="P48" i="25" s="1"/>
  <c r="F48" i="25"/>
  <c r="S47" i="25"/>
  <c r="K47" i="25"/>
  <c r="L47" i="25" s="1"/>
  <c r="F47" i="25"/>
  <c r="S46" i="25"/>
  <c r="K46" i="25"/>
  <c r="L46" i="25" s="1"/>
  <c r="P46" i="25" s="1"/>
  <c r="F46" i="25"/>
  <c r="S45" i="25"/>
  <c r="K45" i="25"/>
  <c r="L45" i="25" s="1"/>
  <c r="P45" i="25" s="1"/>
  <c r="F45" i="25"/>
  <c r="S44" i="25"/>
  <c r="K44" i="25"/>
  <c r="L44" i="25" s="1"/>
  <c r="P44" i="25" s="1"/>
  <c r="F44" i="25"/>
  <c r="S43" i="25"/>
  <c r="K43" i="25"/>
  <c r="L43" i="25" s="1"/>
  <c r="F43" i="25"/>
  <c r="S42" i="25"/>
  <c r="K42" i="25"/>
  <c r="L42" i="25" s="1"/>
  <c r="P42" i="25" s="1"/>
  <c r="F42" i="25"/>
  <c r="S41" i="25"/>
  <c r="K41" i="25"/>
  <c r="L41" i="25" s="1"/>
  <c r="P41" i="25" s="1"/>
  <c r="F41" i="25"/>
  <c r="S40" i="25"/>
  <c r="K40" i="25"/>
  <c r="L40" i="25" s="1"/>
  <c r="P40" i="25" s="1"/>
  <c r="F40" i="25"/>
  <c r="S39" i="25"/>
  <c r="K39" i="25"/>
  <c r="L39" i="25" s="1"/>
  <c r="F39" i="25"/>
  <c r="S37" i="25"/>
  <c r="K37" i="25"/>
  <c r="L37" i="25" s="1"/>
  <c r="P37" i="25" s="1"/>
  <c r="F37" i="25"/>
  <c r="S36" i="25"/>
  <c r="K36" i="25"/>
  <c r="L36" i="25" s="1"/>
  <c r="P36" i="25" s="1"/>
  <c r="F36" i="25"/>
  <c r="S35" i="25"/>
  <c r="K35" i="25"/>
  <c r="L35" i="25" s="1"/>
  <c r="P35" i="25" s="1"/>
  <c r="F35" i="25"/>
  <c r="S34" i="25"/>
  <c r="K34" i="25"/>
  <c r="L34" i="25" s="1"/>
  <c r="F34" i="25"/>
  <c r="S33" i="25"/>
  <c r="K33" i="25"/>
  <c r="L33" i="25" s="1"/>
  <c r="P33" i="25" s="1"/>
  <c r="F33" i="25"/>
  <c r="S32" i="25"/>
  <c r="K32" i="25"/>
  <c r="L32" i="25" s="1"/>
  <c r="P32" i="25" s="1"/>
  <c r="F32" i="25"/>
  <c r="S31" i="25"/>
  <c r="K31" i="25"/>
  <c r="L31" i="25" s="1"/>
  <c r="P31" i="25" s="1"/>
  <c r="F31" i="25"/>
  <c r="S30" i="25"/>
  <c r="K30" i="25"/>
  <c r="L30" i="25" s="1"/>
  <c r="P30" i="25" s="1"/>
  <c r="F30" i="25"/>
  <c r="S29" i="25"/>
  <c r="K29" i="25"/>
  <c r="L29" i="25" s="1"/>
  <c r="F29" i="25"/>
  <c r="S28" i="25"/>
  <c r="K28" i="25"/>
  <c r="L28" i="25" s="1"/>
  <c r="F28" i="25"/>
  <c r="S27" i="25"/>
  <c r="K27" i="25"/>
  <c r="L27" i="25" s="1"/>
  <c r="P27" i="25" s="1"/>
  <c r="D27" i="25"/>
  <c r="F27" i="25" s="1"/>
  <c r="S26" i="25"/>
  <c r="K26" i="25"/>
  <c r="L26" i="25" s="1"/>
  <c r="P26" i="25" s="1"/>
  <c r="F26" i="25"/>
  <c r="S25" i="25"/>
  <c r="K25" i="25"/>
  <c r="L25" i="25" s="1"/>
  <c r="P25" i="25" s="1"/>
  <c r="F25" i="25"/>
  <c r="S24" i="25"/>
  <c r="K24" i="25"/>
  <c r="L24" i="25" s="1"/>
  <c r="F24" i="25"/>
  <c r="S23" i="25"/>
  <c r="K23" i="25"/>
  <c r="L23" i="25" s="1"/>
  <c r="F23" i="25"/>
  <c r="S22" i="25"/>
  <c r="K22" i="25"/>
  <c r="L22" i="25" s="1"/>
  <c r="P22" i="25" s="1"/>
  <c r="F22" i="25"/>
  <c r="S21" i="25"/>
  <c r="K21" i="25"/>
  <c r="L21" i="25" s="1"/>
  <c r="P21" i="25" s="1"/>
  <c r="F21" i="25"/>
  <c r="S20" i="25"/>
  <c r="K20" i="25"/>
  <c r="L20" i="25" s="1"/>
  <c r="P20" i="25" s="1"/>
  <c r="D20" i="25"/>
  <c r="S19" i="25"/>
  <c r="K19" i="25"/>
  <c r="L19" i="25" s="1"/>
  <c r="P19" i="25" s="1"/>
  <c r="D19" i="25"/>
  <c r="S18" i="25"/>
  <c r="K18" i="25"/>
  <c r="L18" i="25" s="1"/>
  <c r="P18" i="25" s="1"/>
  <c r="D18" i="25"/>
  <c r="S17" i="25"/>
  <c r="K17" i="25"/>
  <c r="L17" i="25" s="1"/>
  <c r="P17" i="25" s="1"/>
  <c r="S16" i="25"/>
  <c r="K16" i="25"/>
  <c r="L16" i="25" s="1"/>
  <c r="F16" i="25"/>
  <c r="S15" i="25"/>
  <c r="K15" i="25"/>
  <c r="L15" i="25" s="1"/>
  <c r="F15" i="25"/>
  <c r="S14" i="25"/>
  <c r="K14" i="25"/>
  <c r="L14" i="25" s="1"/>
  <c r="P14" i="25" s="1"/>
  <c r="F14" i="25"/>
  <c r="S13" i="25"/>
  <c r="K13" i="25"/>
  <c r="L13" i="25" s="1"/>
  <c r="P13" i="25" s="1"/>
  <c r="F13" i="25"/>
  <c r="S12" i="25"/>
  <c r="K12" i="25"/>
  <c r="L12" i="25" s="1"/>
  <c r="F12" i="25"/>
  <c r="S11" i="25"/>
  <c r="K11" i="25"/>
  <c r="L11" i="25" s="1"/>
  <c r="D11" i="25"/>
  <c r="F11" i="25" s="1"/>
  <c r="S10" i="25"/>
  <c r="N58" i="25"/>
  <c r="K10" i="25"/>
  <c r="L10" i="25" s="1"/>
  <c r="P10" i="25" s="1"/>
  <c r="D10" i="25"/>
  <c r="F10" i="25" s="1"/>
  <c r="S9" i="25"/>
  <c r="K9" i="25"/>
  <c r="L9" i="25" s="1"/>
  <c r="F9" i="25"/>
  <c r="S8" i="25"/>
  <c r="K8" i="25"/>
  <c r="L8" i="25" s="1"/>
  <c r="P8" i="25" s="1"/>
  <c r="D8" i="25"/>
  <c r="F8" i="25" s="1"/>
  <c r="S7" i="25"/>
  <c r="K7" i="25"/>
  <c r="L7" i="25" s="1"/>
  <c r="P7" i="25" s="1"/>
  <c r="F7" i="25"/>
  <c r="S6" i="25"/>
  <c r="K6" i="25"/>
  <c r="L6" i="25" s="1"/>
  <c r="F6" i="25"/>
  <c r="A6" i="25"/>
  <c r="A7" i="25" s="1"/>
  <c r="D83" i="25" l="1"/>
  <c r="L61" i="25"/>
  <c r="L83" i="25" s="1"/>
  <c r="K83" i="25"/>
  <c r="S83" i="25"/>
  <c r="Y103" i="25"/>
  <c r="W5" i="12" s="1"/>
  <c r="W103" i="25"/>
  <c r="Z103" i="25"/>
  <c r="E13" i="67" s="1"/>
  <c r="M42" i="25"/>
  <c r="O42" i="25" s="1"/>
  <c r="M40" i="25"/>
  <c r="O40" i="25" s="1"/>
  <c r="M69" i="25"/>
  <c r="O69" i="25" s="1"/>
  <c r="M97" i="25"/>
  <c r="T97" i="25" s="1"/>
  <c r="U97" i="25" s="1"/>
  <c r="J103" i="25"/>
  <c r="H5" i="12" s="1"/>
  <c r="M13" i="25"/>
  <c r="T13" i="25" s="1"/>
  <c r="U13" i="25" s="1"/>
  <c r="V13" i="25" s="1"/>
  <c r="M20" i="25"/>
  <c r="T20" i="25" s="1"/>
  <c r="U20" i="25" s="1"/>
  <c r="V20" i="25" s="1"/>
  <c r="M31" i="25"/>
  <c r="O31" i="25" s="1"/>
  <c r="M35" i="25"/>
  <c r="O35" i="25" s="1"/>
  <c r="M14" i="25"/>
  <c r="T14" i="25" s="1"/>
  <c r="U14" i="25" s="1"/>
  <c r="V14" i="25" s="1"/>
  <c r="M41" i="25"/>
  <c r="O41" i="25" s="1"/>
  <c r="A8" i="25"/>
  <c r="A9" i="25" s="1"/>
  <c r="A10" i="25" s="1"/>
  <c r="A11" i="25" s="1"/>
  <c r="A12" i="25" s="1"/>
  <c r="A13" i="25" s="1"/>
  <c r="A14" i="25" s="1"/>
  <c r="M63" i="25"/>
  <c r="T63" i="25" s="1"/>
  <c r="U63" i="25" s="1"/>
  <c r="M71" i="25"/>
  <c r="T71" i="25" s="1"/>
  <c r="U71" i="25" s="1"/>
  <c r="M75" i="25"/>
  <c r="O75" i="25" s="1"/>
  <c r="M51" i="25"/>
  <c r="T51" i="25" s="1"/>
  <c r="U51" i="25" s="1"/>
  <c r="V51" i="25" s="1"/>
  <c r="G103" i="25"/>
  <c r="R103" i="25"/>
  <c r="P5" i="12" s="1"/>
  <c r="M18" i="25"/>
  <c r="T18" i="25" s="1"/>
  <c r="U18" i="25" s="1"/>
  <c r="M30" i="25"/>
  <c r="O30" i="25" s="1"/>
  <c r="M50" i="25"/>
  <c r="O50" i="25" s="1"/>
  <c r="M25" i="25"/>
  <c r="O25" i="25" s="1"/>
  <c r="M68" i="25"/>
  <c r="O68" i="25" s="1"/>
  <c r="F71" i="25"/>
  <c r="M74" i="25"/>
  <c r="O74" i="25" s="1"/>
  <c r="P89" i="25"/>
  <c r="M89" i="25" s="1"/>
  <c r="O89" i="25" s="1"/>
  <c r="M19" i="25"/>
  <c r="T19" i="25" s="1"/>
  <c r="U19" i="25" s="1"/>
  <c r="V19" i="25" s="1"/>
  <c r="M62" i="25"/>
  <c r="O62" i="25" s="1"/>
  <c r="P92" i="25"/>
  <c r="M92" i="25" s="1"/>
  <c r="O92" i="25" s="1"/>
  <c r="H103" i="25"/>
  <c r="Q103" i="25"/>
  <c r="O5" i="12" s="1"/>
  <c r="M78" i="25"/>
  <c r="O78" i="25" s="1"/>
  <c r="M21" i="25"/>
  <c r="O21" i="25" s="1"/>
  <c r="S101" i="25"/>
  <c r="P39" i="25"/>
  <c r="P76" i="25"/>
  <c r="M77" i="25"/>
  <c r="O77" i="25" s="1"/>
  <c r="M10" i="25"/>
  <c r="T10" i="25" s="1"/>
  <c r="U10" i="25" s="1"/>
  <c r="V10" i="25" s="1"/>
  <c r="P12" i="25"/>
  <c r="M12" i="25" s="1"/>
  <c r="P9" i="25"/>
  <c r="M9" i="25" s="1"/>
  <c r="P11" i="25"/>
  <c r="P15" i="25"/>
  <c r="P23" i="25"/>
  <c r="P28" i="25"/>
  <c r="P47" i="25"/>
  <c r="P66" i="25"/>
  <c r="M66" i="25" s="1"/>
  <c r="M7" i="25"/>
  <c r="T7" i="25" s="1"/>
  <c r="U7" i="25" s="1"/>
  <c r="M8" i="25"/>
  <c r="T8" i="25" s="1"/>
  <c r="U8" i="25" s="1"/>
  <c r="P43" i="25"/>
  <c r="P72" i="25"/>
  <c r="L58" i="25"/>
  <c r="P6" i="25"/>
  <c r="F19" i="25"/>
  <c r="M22" i="25"/>
  <c r="O22" i="25" s="1"/>
  <c r="M26" i="25"/>
  <c r="T26" i="25" s="1"/>
  <c r="U26" i="25" s="1"/>
  <c r="V26" i="25" s="1"/>
  <c r="M27" i="25"/>
  <c r="T27" i="25" s="1"/>
  <c r="U27" i="25" s="1"/>
  <c r="V27" i="25" s="1"/>
  <c r="P34" i="25"/>
  <c r="M34" i="25" s="1"/>
  <c r="M36" i="25"/>
  <c r="O36" i="25" s="1"/>
  <c r="M46" i="25"/>
  <c r="T46" i="25" s="1"/>
  <c r="U46" i="25" s="1"/>
  <c r="P49" i="25"/>
  <c r="M49" i="25" s="1"/>
  <c r="N103" i="25"/>
  <c r="M65" i="25"/>
  <c r="O65" i="25" s="1"/>
  <c r="M67" i="25"/>
  <c r="O67" i="25" s="1"/>
  <c r="M73" i="25"/>
  <c r="T73" i="25" s="1"/>
  <c r="U73" i="25" s="1"/>
  <c r="M79" i="25"/>
  <c r="O79" i="25" s="1"/>
  <c r="M80" i="25"/>
  <c r="T80" i="25" s="1"/>
  <c r="U80" i="25" s="1"/>
  <c r="P93" i="25"/>
  <c r="P95" i="25"/>
  <c r="P16" i="25"/>
  <c r="M16" i="25" s="1"/>
  <c r="M17" i="25"/>
  <c r="O17" i="25" s="1"/>
  <c r="F18" i="25"/>
  <c r="P24" i="25"/>
  <c r="P29" i="25"/>
  <c r="M33" i="25"/>
  <c r="T33" i="25" s="1"/>
  <c r="U33" i="25" s="1"/>
  <c r="V33" i="25" s="1"/>
  <c r="M48" i="25"/>
  <c r="T48" i="25" s="1"/>
  <c r="U48" i="25" s="1"/>
  <c r="V48" i="25" s="1"/>
  <c r="F51" i="25"/>
  <c r="D58" i="25"/>
  <c r="I103" i="25"/>
  <c r="K101" i="25"/>
  <c r="M94" i="25"/>
  <c r="T94" i="25" s="1"/>
  <c r="U94" i="25" s="1"/>
  <c r="V94" i="25" s="1"/>
  <c r="F17" i="25"/>
  <c r="M37" i="25"/>
  <c r="T37" i="25" s="1"/>
  <c r="U37" i="25" s="1"/>
  <c r="V37" i="25" s="1"/>
  <c r="M45" i="25"/>
  <c r="O45" i="25" s="1"/>
  <c r="E103" i="25"/>
  <c r="P64" i="25"/>
  <c r="P70" i="25"/>
  <c r="M70" i="25" s="1"/>
  <c r="P87" i="25"/>
  <c r="M90" i="25"/>
  <c r="T90" i="25" s="1"/>
  <c r="U90" i="25" s="1"/>
  <c r="F91" i="25"/>
  <c r="F101" i="25" s="1"/>
  <c r="D101" i="25"/>
  <c r="L101" i="25"/>
  <c r="S58" i="25"/>
  <c r="F20" i="25"/>
  <c r="M32" i="25"/>
  <c r="O32" i="25" s="1"/>
  <c r="M44" i="25"/>
  <c r="O44" i="25" s="1"/>
  <c r="F62" i="25"/>
  <c r="M86" i="25"/>
  <c r="M88" i="25"/>
  <c r="T88" i="25" s="1"/>
  <c r="U88" i="25" s="1"/>
  <c r="P96" i="25"/>
  <c r="M98" i="25"/>
  <c r="T98" i="25" s="1"/>
  <c r="U98" i="25" s="1"/>
  <c r="M99" i="25"/>
  <c r="O99" i="25" s="1"/>
  <c r="P100" i="25"/>
  <c r="K58" i="25"/>
  <c r="F63" i="25"/>
  <c r="F69" i="25"/>
  <c r="P91" i="25"/>
  <c r="P61" i="25" l="1"/>
  <c r="M61" i="25" s="1"/>
  <c r="F83" i="25"/>
  <c r="U5" i="12"/>
  <c r="X5" i="12"/>
  <c r="O20" i="25"/>
  <c r="T69" i="25"/>
  <c r="U69" i="25" s="1"/>
  <c r="V69" i="25" s="1"/>
  <c r="O97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V46" i="25"/>
  <c r="T78" i="25"/>
  <c r="U78" i="25" s="1"/>
  <c r="O13" i="25"/>
  <c r="T35" i="25"/>
  <c r="U35" i="25" s="1"/>
  <c r="V35" i="25" s="1"/>
  <c r="T31" i="25"/>
  <c r="U31" i="25" s="1"/>
  <c r="V31" i="25" s="1"/>
  <c r="O63" i="25"/>
  <c r="T40" i="25"/>
  <c r="U40" i="25" s="1"/>
  <c r="O48" i="25"/>
  <c r="O90" i="25"/>
  <c r="O51" i="25"/>
  <c r="V90" i="25"/>
  <c r="V7" i="25"/>
  <c r="V63" i="25"/>
  <c r="V97" i="25"/>
  <c r="V80" i="25"/>
  <c r="V88" i="25"/>
  <c r="V71" i="25"/>
  <c r="T89" i="25"/>
  <c r="U89" i="25" s="1"/>
  <c r="V98" i="25"/>
  <c r="V73" i="25"/>
  <c r="O80" i="25"/>
  <c r="O98" i="25"/>
  <c r="V8" i="25"/>
  <c r="T77" i="25"/>
  <c r="U77" i="25" s="1"/>
  <c r="O71" i="25"/>
  <c r="V18" i="25"/>
  <c r="T75" i="25"/>
  <c r="U75" i="25" s="1"/>
  <c r="O18" i="25"/>
  <c r="T67" i="25"/>
  <c r="U67" i="25" s="1"/>
  <c r="V67" i="25" s="1"/>
  <c r="E5" i="12"/>
  <c r="T50" i="25"/>
  <c r="U50" i="25" s="1"/>
  <c r="T62" i="25"/>
  <c r="U62" i="25" s="1"/>
  <c r="T30" i="25"/>
  <c r="U30" i="25" s="1"/>
  <c r="O7" i="25"/>
  <c r="O8" i="25"/>
  <c r="T21" i="25"/>
  <c r="U21" i="25" s="1"/>
  <c r="V21" i="25" s="1"/>
  <c r="O19" i="25"/>
  <c r="G5" i="12"/>
  <c r="F5" i="12"/>
  <c r="O33" i="25"/>
  <c r="T92" i="25"/>
  <c r="U92" i="25" s="1"/>
  <c r="O27" i="25"/>
  <c r="T68" i="25"/>
  <c r="U68" i="25" s="1"/>
  <c r="T99" i="25"/>
  <c r="U99" i="25" s="1"/>
  <c r="T45" i="25"/>
  <c r="U45" i="25" s="1"/>
  <c r="F58" i="25"/>
  <c r="T25" i="25"/>
  <c r="U25" i="25" s="1"/>
  <c r="V25" i="25" s="1"/>
  <c r="T44" i="25"/>
  <c r="U44" i="25" s="1"/>
  <c r="V44" i="25" s="1"/>
  <c r="C5" i="12"/>
  <c r="O10" i="25"/>
  <c r="T65" i="25"/>
  <c r="U65" i="25" s="1"/>
  <c r="L5" i="12"/>
  <c r="T74" i="25"/>
  <c r="U74" i="25" s="1"/>
  <c r="M96" i="25"/>
  <c r="O96" i="25" s="1"/>
  <c r="P101" i="25"/>
  <c r="M87" i="25"/>
  <c r="O87" i="25" s="1"/>
  <c r="O70" i="25"/>
  <c r="O34" i="25"/>
  <c r="L103" i="25"/>
  <c r="J5" i="12" s="1"/>
  <c r="M43" i="25"/>
  <c r="O43" i="25" s="1"/>
  <c r="M47" i="25"/>
  <c r="O47" i="25" s="1"/>
  <c r="T17" i="25"/>
  <c r="U17" i="25" s="1"/>
  <c r="O26" i="25"/>
  <c r="M39" i="25"/>
  <c r="O39" i="25" s="1"/>
  <c r="M100" i="25"/>
  <c r="O100" i="25" s="1"/>
  <c r="O73" i="25"/>
  <c r="T32" i="25"/>
  <c r="U32" i="25" s="1"/>
  <c r="S103" i="25"/>
  <c r="O86" i="25"/>
  <c r="M64" i="25"/>
  <c r="O64" i="25" s="1"/>
  <c r="O46" i="25"/>
  <c r="M24" i="25"/>
  <c r="O24" i="25" s="1"/>
  <c r="M93" i="25"/>
  <c r="O93" i="25" s="1"/>
  <c r="M23" i="25"/>
  <c r="O23" i="25" s="1"/>
  <c r="M15" i="25"/>
  <c r="O15" i="25" s="1"/>
  <c r="O9" i="25"/>
  <c r="O12" i="25"/>
  <c r="M91" i="25"/>
  <c r="O91" i="25" s="1"/>
  <c r="T86" i="25"/>
  <c r="T42" i="25"/>
  <c r="U42" i="25" s="1"/>
  <c r="O94" i="25"/>
  <c r="D103" i="25"/>
  <c r="O16" i="25"/>
  <c r="T79" i="25"/>
  <c r="O49" i="25"/>
  <c r="M28" i="25"/>
  <c r="O28" i="25" s="1"/>
  <c r="K103" i="25"/>
  <c r="O88" i="25"/>
  <c r="O37" i="25"/>
  <c r="O14" i="25"/>
  <c r="T41" i="25"/>
  <c r="U41" i="25" s="1"/>
  <c r="V41" i="25" s="1"/>
  <c r="M29" i="25"/>
  <c r="O29" i="25" s="1"/>
  <c r="M95" i="25"/>
  <c r="O95" i="25" s="1"/>
  <c r="T36" i="25"/>
  <c r="U36" i="25" s="1"/>
  <c r="V36" i="25" s="1"/>
  <c r="T22" i="25"/>
  <c r="U22" i="25" s="1"/>
  <c r="P58" i="25"/>
  <c r="M6" i="25"/>
  <c r="T6" i="25" s="1"/>
  <c r="M72" i="25"/>
  <c r="O72" i="25" s="1"/>
  <c r="O66" i="25"/>
  <c r="M11" i="25"/>
  <c r="O11" i="25" s="1"/>
  <c r="M76" i="25"/>
  <c r="O76" i="25" s="1"/>
  <c r="F98" i="3"/>
  <c r="F100" i="3"/>
  <c r="F101" i="3"/>
  <c r="F102" i="3"/>
  <c r="F103" i="3"/>
  <c r="F104" i="3"/>
  <c r="F105" i="3"/>
  <c r="F107" i="3"/>
  <c r="F108" i="3"/>
  <c r="F110" i="3"/>
  <c r="F111" i="3"/>
  <c r="F113" i="3"/>
  <c r="F114" i="3"/>
  <c r="F115" i="3"/>
  <c r="F116" i="3"/>
  <c r="Z99" i="3"/>
  <c r="P83" i="25" l="1"/>
  <c r="P103" i="25" s="1"/>
  <c r="N5" i="12" s="1"/>
  <c r="T61" i="25"/>
  <c r="M83" i="25"/>
  <c r="V78" i="25"/>
  <c r="A31" i="25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V40" i="25"/>
  <c r="T93" i="25"/>
  <c r="U93" i="25" s="1"/>
  <c r="V93" i="25" s="1"/>
  <c r="V74" i="25"/>
  <c r="V68" i="25"/>
  <c r="V32" i="25"/>
  <c r="V92" i="25"/>
  <c r="V30" i="25"/>
  <c r="V62" i="25"/>
  <c r="V50" i="25"/>
  <c r="V75" i="25"/>
  <c r="V77" i="25"/>
  <c r="V89" i="25"/>
  <c r="V17" i="25"/>
  <c r="V65" i="25"/>
  <c r="V45" i="25"/>
  <c r="V22" i="25"/>
  <c r="V42" i="25"/>
  <c r="V99" i="25"/>
  <c r="T9" i="25"/>
  <c r="U9" i="25" s="1"/>
  <c r="T24" i="25"/>
  <c r="U24" i="25" s="1"/>
  <c r="V24" i="25" s="1"/>
  <c r="T87" i="25"/>
  <c r="U87" i="25" s="1"/>
  <c r="T39" i="25"/>
  <c r="U39" i="25" s="1"/>
  <c r="V39" i="25" s="1"/>
  <c r="T47" i="25"/>
  <c r="U47" i="25" s="1"/>
  <c r="I5" i="12"/>
  <c r="B5" i="12"/>
  <c r="T12" i="25"/>
  <c r="U12" i="25" s="1"/>
  <c r="V12" i="25" s="1"/>
  <c r="T15" i="25"/>
  <c r="U15" i="25" s="1"/>
  <c r="V15" i="25" s="1"/>
  <c r="T49" i="25"/>
  <c r="U49" i="25" s="1"/>
  <c r="V49" i="25" s="1"/>
  <c r="Q5" i="12"/>
  <c r="T43" i="25"/>
  <c r="U43" i="25" s="1"/>
  <c r="V43" i="25" s="1"/>
  <c r="T34" i="25"/>
  <c r="U34" i="25" s="1"/>
  <c r="U6" i="25"/>
  <c r="U6" i="83" s="1"/>
  <c r="U48" i="83" s="1"/>
  <c r="U105" i="83" s="1"/>
  <c r="T66" i="25"/>
  <c r="U66" i="25" s="1"/>
  <c r="M58" i="25"/>
  <c r="O6" i="25"/>
  <c r="T28" i="25"/>
  <c r="U28" i="25" s="1"/>
  <c r="V28" i="25" s="1"/>
  <c r="T95" i="25"/>
  <c r="U95" i="25" s="1"/>
  <c r="V95" i="25" s="1"/>
  <c r="U86" i="25"/>
  <c r="T91" i="25"/>
  <c r="U91" i="25" s="1"/>
  <c r="T23" i="25"/>
  <c r="U23" i="25" s="1"/>
  <c r="V23" i="25" s="1"/>
  <c r="T64" i="25"/>
  <c r="U64" i="25" s="1"/>
  <c r="M101" i="25"/>
  <c r="T70" i="25"/>
  <c r="U70" i="25" s="1"/>
  <c r="F103" i="25"/>
  <c r="T76" i="25"/>
  <c r="U76" i="25" s="1"/>
  <c r="T11" i="25"/>
  <c r="U11" i="25" s="1"/>
  <c r="T72" i="25"/>
  <c r="U72" i="25" s="1"/>
  <c r="V72" i="25" s="1"/>
  <c r="T29" i="25"/>
  <c r="U29" i="25" s="1"/>
  <c r="T16" i="25"/>
  <c r="U16" i="25" s="1"/>
  <c r="O61" i="25"/>
  <c r="O83" i="25" s="1"/>
  <c r="O101" i="25"/>
  <c r="T100" i="25"/>
  <c r="U100" i="25" s="1"/>
  <c r="T96" i="25"/>
  <c r="U96" i="25" s="1"/>
  <c r="V96" i="25" s="1"/>
  <c r="O58" i="25" l="1"/>
  <c r="O6" i="83"/>
  <c r="O48" i="83" s="1"/>
  <c r="O105" i="83" s="1"/>
  <c r="T83" i="25"/>
  <c r="U61" i="25"/>
  <c r="U83" i="25" s="1"/>
  <c r="H20" i="67" s="1"/>
  <c r="A46" i="25"/>
  <c r="A47" i="25" s="1"/>
  <c r="A48" i="25" s="1"/>
  <c r="V34" i="25"/>
  <c r="V64" i="25"/>
  <c r="V87" i="25"/>
  <c r="V16" i="25"/>
  <c r="V11" i="25"/>
  <c r="V100" i="25"/>
  <c r="V76" i="25"/>
  <c r="V66" i="25"/>
  <c r="V9" i="25"/>
  <c r="V29" i="25"/>
  <c r="V70" i="25"/>
  <c r="V91" i="25"/>
  <c r="V47" i="25"/>
  <c r="D5" i="12"/>
  <c r="M103" i="25"/>
  <c r="K5" i="12" s="1"/>
  <c r="U101" i="25"/>
  <c r="V86" i="25"/>
  <c r="V6" i="25"/>
  <c r="V6" i="83" s="1"/>
  <c r="V48" i="83" s="1"/>
  <c r="V105" i="83" s="1"/>
  <c r="U58" i="25"/>
  <c r="H19" i="67" s="1"/>
  <c r="T101" i="25"/>
  <c r="T58" i="25"/>
  <c r="O103" i="25"/>
  <c r="M5" i="12" s="1"/>
  <c r="K7" i="3"/>
  <c r="L7" i="3" s="1"/>
  <c r="K8" i="3"/>
  <c r="L8" i="3" s="1"/>
  <c r="K9" i="3"/>
  <c r="L9" i="3" s="1"/>
  <c r="K10" i="3"/>
  <c r="L10" i="3" s="1"/>
  <c r="K11" i="3"/>
  <c r="L11" i="3" s="1"/>
  <c r="K12" i="3"/>
  <c r="L12" i="3" s="1"/>
  <c r="K13" i="3"/>
  <c r="L13" i="3" s="1"/>
  <c r="K14" i="3"/>
  <c r="L14" i="3" s="1"/>
  <c r="K15" i="3"/>
  <c r="L15" i="3" s="1"/>
  <c r="K16" i="3"/>
  <c r="L16" i="3" s="1"/>
  <c r="K17" i="3"/>
  <c r="L17" i="3" s="1"/>
  <c r="K18" i="3"/>
  <c r="L18" i="3" s="1"/>
  <c r="K19" i="3"/>
  <c r="L19" i="3" s="1"/>
  <c r="K20" i="3"/>
  <c r="L20" i="3" s="1"/>
  <c r="K21" i="3"/>
  <c r="L21" i="3" s="1"/>
  <c r="K22" i="3"/>
  <c r="L22" i="3" s="1"/>
  <c r="K23" i="3"/>
  <c r="L23" i="3" s="1"/>
  <c r="K24" i="3"/>
  <c r="L24" i="3" s="1"/>
  <c r="K25" i="3"/>
  <c r="L25" i="3" s="1"/>
  <c r="K26" i="3"/>
  <c r="L26" i="3" s="1"/>
  <c r="K27" i="3"/>
  <c r="L27" i="3" s="1"/>
  <c r="K28" i="3"/>
  <c r="L28" i="3" s="1"/>
  <c r="K29" i="3"/>
  <c r="L29" i="3" s="1"/>
  <c r="K30" i="3"/>
  <c r="L30" i="3" s="1"/>
  <c r="K31" i="3"/>
  <c r="L31" i="3" s="1"/>
  <c r="K32" i="3"/>
  <c r="L32" i="3" s="1"/>
  <c r="K33" i="3"/>
  <c r="L33" i="3" s="1"/>
  <c r="K34" i="3"/>
  <c r="L34" i="3" s="1"/>
  <c r="K35" i="3"/>
  <c r="L35" i="3" s="1"/>
  <c r="K36" i="3"/>
  <c r="L36" i="3" s="1"/>
  <c r="K37" i="3"/>
  <c r="L37" i="3" s="1"/>
  <c r="K38" i="3"/>
  <c r="L38" i="3" s="1"/>
  <c r="K39" i="3"/>
  <c r="L39" i="3" s="1"/>
  <c r="K40" i="3"/>
  <c r="L40" i="3" s="1"/>
  <c r="K41" i="3"/>
  <c r="L41" i="3" s="1"/>
  <c r="K42" i="3"/>
  <c r="L42" i="3" s="1"/>
  <c r="K43" i="3"/>
  <c r="L43" i="3" s="1"/>
  <c r="K44" i="3"/>
  <c r="L44" i="3" s="1"/>
  <c r="K45" i="3"/>
  <c r="L45" i="3" s="1"/>
  <c r="K46" i="3"/>
  <c r="L46" i="3" s="1"/>
  <c r="K47" i="3"/>
  <c r="L47" i="3" s="1"/>
  <c r="K48" i="3"/>
  <c r="L48" i="3" s="1"/>
  <c r="K49" i="3"/>
  <c r="L49" i="3" s="1"/>
  <c r="K50" i="3"/>
  <c r="L50" i="3" s="1"/>
  <c r="K51" i="3"/>
  <c r="L51" i="3" s="1"/>
  <c r="K52" i="3"/>
  <c r="L52" i="3" s="1"/>
  <c r="K53" i="3"/>
  <c r="L53" i="3" s="1"/>
  <c r="K54" i="3"/>
  <c r="L54" i="3" s="1"/>
  <c r="K55" i="3"/>
  <c r="L55" i="3" s="1"/>
  <c r="K56" i="3"/>
  <c r="L56" i="3" s="1"/>
  <c r="K57" i="3"/>
  <c r="L57" i="3" s="1"/>
  <c r="K58" i="3"/>
  <c r="L58" i="3" s="1"/>
  <c r="K59" i="3"/>
  <c r="L59" i="3" s="1"/>
  <c r="K60" i="3"/>
  <c r="L60" i="3" s="1"/>
  <c r="K61" i="3"/>
  <c r="L61" i="3" s="1"/>
  <c r="K62" i="3"/>
  <c r="L62" i="3" s="1"/>
  <c r="K63" i="3"/>
  <c r="L63" i="3" s="1"/>
  <c r="K64" i="3"/>
  <c r="L64" i="3" s="1"/>
  <c r="K65" i="3"/>
  <c r="L65" i="3" s="1"/>
  <c r="K66" i="3"/>
  <c r="L66" i="3" s="1"/>
  <c r="K67" i="3"/>
  <c r="L67" i="3" s="1"/>
  <c r="K68" i="3"/>
  <c r="L68" i="3" s="1"/>
  <c r="K69" i="3"/>
  <c r="L69" i="3" s="1"/>
  <c r="K70" i="3"/>
  <c r="L70" i="3" s="1"/>
  <c r="K71" i="3"/>
  <c r="L71" i="3" s="1"/>
  <c r="K72" i="3"/>
  <c r="L72" i="3" s="1"/>
  <c r="K73" i="3"/>
  <c r="L73" i="3" s="1"/>
  <c r="K74" i="3"/>
  <c r="L74" i="3" s="1"/>
  <c r="K75" i="3"/>
  <c r="L75" i="3" s="1"/>
  <c r="K76" i="3"/>
  <c r="L76" i="3" s="1"/>
  <c r="K77" i="3"/>
  <c r="L77" i="3" s="1"/>
  <c r="K78" i="3"/>
  <c r="L78" i="3" s="1"/>
  <c r="K79" i="3"/>
  <c r="L79" i="3" s="1"/>
  <c r="K80" i="3"/>
  <c r="L80" i="3" s="1"/>
  <c r="K81" i="3"/>
  <c r="L81" i="3" s="1"/>
  <c r="F7" i="3"/>
  <c r="F8" i="3"/>
  <c r="F9" i="3"/>
  <c r="F11" i="3"/>
  <c r="F12" i="3"/>
  <c r="F15" i="3"/>
  <c r="F18" i="3"/>
  <c r="F19" i="3"/>
  <c r="F20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1" i="3"/>
  <c r="F42" i="3"/>
  <c r="F43" i="3"/>
  <c r="F44" i="3"/>
  <c r="F45" i="3"/>
  <c r="F46" i="3"/>
  <c r="F48" i="3"/>
  <c r="F49" i="3"/>
  <c r="F50" i="3"/>
  <c r="F51" i="3"/>
  <c r="F52" i="3"/>
  <c r="F54" i="3"/>
  <c r="F55" i="3"/>
  <c r="F60" i="3"/>
  <c r="F61" i="3"/>
  <c r="F62" i="3"/>
  <c r="F63" i="3"/>
  <c r="F64" i="3"/>
  <c r="F65" i="3"/>
  <c r="F66" i="3"/>
  <c r="F67" i="3"/>
  <c r="F68" i="3"/>
  <c r="F69" i="3"/>
  <c r="F71" i="3"/>
  <c r="F72" i="3"/>
  <c r="F73" i="3"/>
  <c r="F74" i="3"/>
  <c r="F75" i="3"/>
  <c r="F76" i="3"/>
  <c r="F77" i="3"/>
  <c r="F78" i="3"/>
  <c r="F79" i="3"/>
  <c r="F80" i="3"/>
  <c r="F81" i="3"/>
  <c r="V61" i="25" l="1"/>
  <c r="V83" i="25" s="1"/>
  <c r="A49" i="25"/>
  <c r="A50" i="25" s="1"/>
  <c r="A51" i="25" s="1"/>
  <c r="A52" i="25" s="1"/>
  <c r="A53" i="25" s="1"/>
  <c r="A54" i="25" s="1"/>
  <c r="A55" i="25" s="1"/>
  <c r="A56" i="25" s="1"/>
  <c r="A57" i="25" s="1"/>
  <c r="A58" i="25" s="1"/>
  <c r="V58" i="25"/>
  <c r="V101" i="25"/>
  <c r="H21" i="67" s="1"/>
  <c r="H22" i="67" s="1"/>
  <c r="U103" i="25"/>
  <c r="T103" i="25"/>
  <c r="R5" i="12" s="1"/>
  <c r="Z106" i="3"/>
  <c r="D7" i="44" s="1"/>
  <c r="N70" i="3"/>
  <c r="D70" i="3"/>
  <c r="S5" i="12" l="1"/>
  <c r="F8" i="42" s="1"/>
  <c r="H5" i="67"/>
  <c r="A61" i="25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6" i="25" s="1"/>
  <c r="V103" i="25"/>
  <c r="D16" i="44"/>
  <c r="F70" i="3"/>
  <c r="D99" i="3"/>
  <c r="F99" i="3" s="1"/>
  <c r="T5" i="12" l="1"/>
  <c r="E12" i="67"/>
  <c r="E14" i="67" s="1"/>
  <c r="A87" i="25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3" i="25" s="1"/>
  <c r="H7" i="67" s="1"/>
  <c r="F10" i="43"/>
  <c r="N19" i="44"/>
  <c r="D97" i="3"/>
  <c r="N56" i="3" l="1"/>
  <c r="Q55" i="3"/>
  <c r="Q40" i="3"/>
  <c r="N27" i="3"/>
  <c r="P7" i="44" l="1"/>
  <c r="P16" i="44" s="1"/>
  <c r="F7" i="43" s="1"/>
  <c r="F14" i="43" s="1"/>
  <c r="Z94" i="3"/>
  <c r="R7" i="44" l="1"/>
  <c r="R16" i="44" s="1"/>
  <c r="X23" i="12" l="1"/>
  <c r="X21" i="97"/>
  <c r="R10" i="3"/>
  <c r="R94" i="3" s="1"/>
  <c r="N10" i="3"/>
  <c r="Q10" i="3"/>
  <c r="X22" i="97" l="1"/>
  <c r="S21" i="97"/>
  <c r="S22" i="97" s="1"/>
  <c r="R124" i="3"/>
  <c r="R125" i="3" s="1"/>
  <c r="E10" i="3"/>
  <c r="G103" i="3"/>
  <c r="G106" i="3"/>
  <c r="F10" i="3" l="1"/>
  <c r="E94" i="3"/>
  <c r="N40" i="3"/>
  <c r="Z117" i="3" l="1"/>
  <c r="Y117" i="3"/>
  <c r="X117" i="3"/>
  <c r="R117" i="3"/>
  <c r="Q117" i="3"/>
  <c r="N117" i="3"/>
  <c r="J117" i="3"/>
  <c r="I117" i="3"/>
  <c r="H117" i="3"/>
  <c r="G117" i="3"/>
  <c r="E117" i="3"/>
  <c r="S116" i="3"/>
  <c r="K116" i="3"/>
  <c r="L116" i="3" s="1"/>
  <c r="P116" i="3" s="1"/>
  <c r="S115" i="3"/>
  <c r="K115" i="3"/>
  <c r="L115" i="3" s="1"/>
  <c r="P115" i="3" s="1"/>
  <c r="S114" i="3"/>
  <c r="K114" i="3"/>
  <c r="L114" i="3" s="1"/>
  <c r="S113" i="3"/>
  <c r="K113" i="3"/>
  <c r="L113" i="3" s="1"/>
  <c r="S112" i="3"/>
  <c r="K112" i="3"/>
  <c r="L112" i="3" s="1"/>
  <c r="P112" i="3" s="1"/>
  <c r="D112" i="3"/>
  <c r="F112" i="3" s="1"/>
  <c r="S111" i="3"/>
  <c r="K111" i="3"/>
  <c r="L111" i="3" s="1"/>
  <c r="P111" i="3" s="1"/>
  <c r="S110" i="3"/>
  <c r="K110" i="3"/>
  <c r="L110" i="3" s="1"/>
  <c r="P110" i="3" s="1"/>
  <c r="S109" i="3"/>
  <c r="K109" i="3"/>
  <c r="L109" i="3" s="1"/>
  <c r="P109" i="3" s="1"/>
  <c r="D109" i="3"/>
  <c r="F109" i="3" s="1"/>
  <c r="S108" i="3"/>
  <c r="K108" i="3"/>
  <c r="L108" i="3" s="1"/>
  <c r="S107" i="3"/>
  <c r="K107" i="3"/>
  <c r="L107" i="3" s="1"/>
  <c r="S106" i="3"/>
  <c r="K106" i="3"/>
  <c r="L106" i="3" s="1"/>
  <c r="P106" i="3" s="1"/>
  <c r="D106" i="3"/>
  <c r="F106" i="3" s="1"/>
  <c r="S105" i="3"/>
  <c r="K105" i="3"/>
  <c r="L105" i="3" s="1"/>
  <c r="S104" i="3"/>
  <c r="K104" i="3"/>
  <c r="L104" i="3" s="1"/>
  <c r="P104" i="3" s="1"/>
  <c r="S103" i="3"/>
  <c r="K103" i="3"/>
  <c r="L103" i="3" s="1"/>
  <c r="S102" i="3"/>
  <c r="K102" i="3"/>
  <c r="L102" i="3" s="1"/>
  <c r="S101" i="3"/>
  <c r="K101" i="3"/>
  <c r="L101" i="3" s="1"/>
  <c r="P101" i="3" s="1"/>
  <c r="S100" i="3"/>
  <c r="K100" i="3"/>
  <c r="L100" i="3" s="1"/>
  <c r="P100" i="3" s="1"/>
  <c r="S99" i="3"/>
  <c r="K99" i="3"/>
  <c r="L99" i="3" s="1"/>
  <c r="P99" i="3" s="1"/>
  <c r="S98" i="3"/>
  <c r="K98" i="3"/>
  <c r="L98" i="3" s="1"/>
  <c r="P98" i="3" s="1"/>
  <c r="S97" i="3"/>
  <c r="K97" i="3"/>
  <c r="L97" i="3" s="1"/>
  <c r="F97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P62" i="3"/>
  <c r="S61" i="3"/>
  <c r="P61" i="3"/>
  <c r="S60" i="3"/>
  <c r="S59" i="3"/>
  <c r="P59" i="3"/>
  <c r="D59" i="3"/>
  <c r="S58" i="3"/>
  <c r="P58" i="3"/>
  <c r="D58" i="3"/>
  <c r="S57" i="3"/>
  <c r="P57" i="3"/>
  <c r="D57" i="3"/>
  <c r="S56" i="3"/>
  <c r="P56" i="3"/>
  <c r="D56" i="3"/>
  <c r="S55" i="3"/>
  <c r="P55" i="3"/>
  <c r="S54" i="3"/>
  <c r="P54" i="3"/>
  <c r="S53" i="3"/>
  <c r="P53" i="3"/>
  <c r="D53" i="3"/>
  <c r="S52" i="3"/>
  <c r="P52" i="3"/>
  <c r="S51" i="3"/>
  <c r="P51" i="3"/>
  <c r="S50" i="3"/>
  <c r="S49" i="3"/>
  <c r="P49" i="3"/>
  <c r="S48" i="3"/>
  <c r="P48" i="3"/>
  <c r="S47" i="3"/>
  <c r="P47" i="3"/>
  <c r="D47" i="3"/>
  <c r="S46" i="3"/>
  <c r="S45" i="3"/>
  <c r="S44" i="3"/>
  <c r="S43" i="3"/>
  <c r="S42" i="3"/>
  <c r="S41" i="3"/>
  <c r="S40" i="3"/>
  <c r="P40" i="3"/>
  <c r="D40" i="3"/>
  <c r="S39" i="3"/>
  <c r="P39" i="3"/>
  <c r="S38" i="3"/>
  <c r="P38" i="3"/>
  <c r="S37" i="3"/>
  <c r="P37" i="3"/>
  <c r="S36" i="3"/>
  <c r="P36" i="3"/>
  <c r="S35" i="3"/>
  <c r="P35" i="3"/>
  <c r="S34" i="3"/>
  <c r="P34" i="3"/>
  <c r="S33" i="3"/>
  <c r="P33" i="3"/>
  <c r="S32" i="3"/>
  <c r="P32" i="3"/>
  <c r="S31" i="3"/>
  <c r="P31" i="3"/>
  <c r="S30" i="3"/>
  <c r="P30" i="3"/>
  <c r="S29" i="3"/>
  <c r="P29" i="3"/>
  <c r="S28" i="3"/>
  <c r="S27" i="3"/>
  <c r="P27" i="3"/>
  <c r="S26" i="3"/>
  <c r="P26" i="3"/>
  <c r="S25" i="3"/>
  <c r="P25" i="3"/>
  <c r="S24" i="3"/>
  <c r="S23" i="3"/>
  <c r="P23" i="3"/>
  <c r="S22" i="3"/>
  <c r="P22" i="3"/>
  <c r="S21" i="3"/>
  <c r="P21" i="3"/>
  <c r="D21" i="3"/>
  <c r="S20" i="3"/>
  <c r="S19" i="3"/>
  <c r="S18" i="3"/>
  <c r="P18" i="3"/>
  <c r="S17" i="3"/>
  <c r="N94" i="3"/>
  <c r="P17" i="3"/>
  <c r="D17" i="3"/>
  <c r="S16" i="3"/>
  <c r="P16" i="3"/>
  <c r="D16" i="3"/>
  <c r="S15" i="3"/>
  <c r="S14" i="3"/>
  <c r="P14" i="3"/>
  <c r="D14" i="3"/>
  <c r="S13" i="3"/>
  <c r="P13" i="3"/>
  <c r="D13" i="3"/>
  <c r="S12" i="3"/>
  <c r="S11" i="3"/>
  <c r="S10" i="3"/>
  <c r="S9" i="3"/>
  <c r="S8" i="3"/>
  <c r="S7" i="3"/>
  <c r="S6" i="3"/>
  <c r="K6" i="3"/>
  <c r="D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97" i="3" l="1"/>
  <c r="F6" i="3"/>
  <c r="D94" i="3"/>
  <c r="L6" i="3"/>
  <c r="L94" i="3" s="1"/>
  <c r="K94" i="3"/>
  <c r="S94" i="3"/>
  <c r="Q94" i="3"/>
  <c r="Q119" i="3" s="1"/>
  <c r="O6" i="12" s="1"/>
  <c r="O19" i="12" s="1"/>
  <c r="M30" i="3"/>
  <c r="O30" i="3" s="1"/>
  <c r="M31" i="3"/>
  <c r="O31" i="3" s="1"/>
  <c r="M37" i="3"/>
  <c r="O37" i="3" s="1"/>
  <c r="M56" i="3"/>
  <c r="T56" i="3" s="1"/>
  <c r="U56" i="3" s="1"/>
  <c r="V56" i="3" s="1"/>
  <c r="M21" i="3"/>
  <c r="T21" i="3" s="1"/>
  <c r="U21" i="3" s="1"/>
  <c r="V21" i="3" s="1"/>
  <c r="M23" i="3"/>
  <c r="O23" i="3" s="1"/>
  <c r="M33" i="3"/>
  <c r="O33" i="3" s="1"/>
  <c r="M35" i="3"/>
  <c r="O35" i="3" s="1"/>
  <c r="M39" i="3"/>
  <c r="O39" i="3" s="1"/>
  <c r="M51" i="3"/>
  <c r="O51" i="3" s="1"/>
  <c r="M61" i="3"/>
  <c r="O61" i="3" s="1"/>
  <c r="M17" i="3"/>
  <c r="O17" i="3" s="1"/>
  <c r="M14" i="3"/>
  <c r="O14" i="3" s="1"/>
  <c r="M16" i="3"/>
  <c r="O16" i="3" s="1"/>
  <c r="M26" i="3"/>
  <c r="O26" i="3" s="1"/>
  <c r="M47" i="3"/>
  <c r="O47" i="3" s="1"/>
  <c r="M49" i="3"/>
  <c r="O49" i="3" s="1"/>
  <c r="M53" i="3"/>
  <c r="O53" i="3" s="1"/>
  <c r="M55" i="3"/>
  <c r="O55" i="3" s="1"/>
  <c r="M59" i="3"/>
  <c r="O59" i="3" s="1"/>
  <c r="M100" i="3"/>
  <c r="O100" i="3" s="1"/>
  <c r="F14" i="3"/>
  <c r="F16" i="3"/>
  <c r="F47" i="3"/>
  <c r="F53" i="3"/>
  <c r="F59" i="3"/>
  <c r="F13" i="3"/>
  <c r="F58" i="3"/>
  <c r="M13" i="3"/>
  <c r="O13" i="3" s="1"/>
  <c r="M22" i="3"/>
  <c r="O22" i="3" s="1"/>
  <c r="M29" i="3"/>
  <c r="O29" i="3" s="1"/>
  <c r="M32" i="3"/>
  <c r="O32" i="3" s="1"/>
  <c r="M34" i="3"/>
  <c r="O34" i="3" s="1"/>
  <c r="M36" i="3"/>
  <c r="O36" i="3" s="1"/>
  <c r="M38" i="3"/>
  <c r="O38" i="3" s="1"/>
  <c r="F40" i="3"/>
  <c r="M52" i="3"/>
  <c r="O52" i="3" s="1"/>
  <c r="F57" i="3"/>
  <c r="M58" i="3"/>
  <c r="T58" i="3" s="1"/>
  <c r="U58" i="3" s="1"/>
  <c r="V58" i="3" s="1"/>
  <c r="M62" i="3"/>
  <c r="O62" i="3" s="1"/>
  <c r="F17" i="3"/>
  <c r="M18" i="3"/>
  <c r="O18" i="3" s="1"/>
  <c r="F21" i="3"/>
  <c r="M25" i="3"/>
  <c r="O25" i="3" s="1"/>
  <c r="M27" i="3"/>
  <c r="O27" i="3" s="1"/>
  <c r="M40" i="3"/>
  <c r="O40" i="3" s="1"/>
  <c r="M48" i="3"/>
  <c r="O48" i="3" s="1"/>
  <c r="M54" i="3"/>
  <c r="O54" i="3" s="1"/>
  <c r="F56" i="3"/>
  <c r="M57" i="3"/>
  <c r="O57" i="3" s="1"/>
  <c r="J119" i="3"/>
  <c r="H6" i="12" s="1"/>
  <c r="H19" i="12" s="1"/>
  <c r="I119" i="3"/>
  <c r="G6" i="12" s="1"/>
  <c r="G19" i="12" s="1"/>
  <c r="R119" i="3"/>
  <c r="P6" i="12" s="1"/>
  <c r="P19" i="12" s="1"/>
  <c r="H119" i="3"/>
  <c r="F6" i="12" s="1"/>
  <c r="F19" i="12" s="1"/>
  <c r="X119" i="3"/>
  <c r="M99" i="3"/>
  <c r="T99" i="3" s="1"/>
  <c r="U99" i="3" s="1"/>
  <c r="V99" i="3" s="1"/>
  <c r="Y119" i="3"/>
  <c r="G119" i="3"/>
  <c r="E6" i="12" s="1"/>
  <c r="E19" i="12" s="1"/>
  <c r="P103" i="3"/>
  <c r="P46" i="3"/>
  <c r="P41" i="3"/>
  <c r="P42" i="3"/>
  <c r="P43" i="3"/>
  <c r="P44" i="3"/>
  <c r="P45" i="3"/>
  <c r="P64" i="3"/>
  <c r="P68" i="3"/>
  <c r="P72" i="3"/>
  <c r="P75" i="3"/>
  <c r="P24" i="3"/>
  <c r="P28" i="3"/>
  <c r="P69" i="3"/>
  <c r="N119" i="3"/>
  <c r="L6" i="12" s="1"/>
  <c r="L19" i="12" s="1"/>
  <c r="P15" i="3"/>
  <c r="P19" i="3"/>
  <c r="F117" i="3"/>
  <c r="M109" i="3"/>
  <c r="O109" i="3" s="1"/>
  <c r="P113" i="3"/>
  <c r="P65" i="3"/>
  <c r="P77" i="3"/>
  <c r="P102" i="3"/>
  <c r="P114" i="3"/>
  <c r="P20" i="3"/>
  <c r="P50" i="3"/>
  <c r="P79" i="3"/>
  <c r="P60" i="3"/>
  <c r="P67" i="3"/>
  <c r="P71" i="3"/>
  <c r="P74" i="3"/>
  <c r="P76" i="3"/>
  <c r="P78" i="3"/>
  <c r="P81" i="3"/>
  <c r="E119" i="3"/>
  <c r="C6" i="12" s="1"/>
  <c r="C19" i="12" s="1"/>
  <c r="P108" i="3"/>
  <c r="M110" i="3"/>
  <c r="O110" i="3" s="1"/>
  <c r="M111" i="3"/>
  <c r="T111" i="3" s="1"/>
  <c r="U111" i="3" s="1"/>
  <c r="P7" i="3"/>
  <c r="P8" i="3"/>
  <c r="P9" i="3"/>
  <c r="P10" i="3"/>
  <c r="P11" i="3"/>
  <c r="P12" i="3"/>
  <c r="P63" i="3"/>
  <c r="P66" i="3"/>
  <c r="P70" i="3"/>
  <c r="P73" i="3"/>
  <c r="P80" i="3"/>
  <c r="P97" i="3"/>
  <c r="L117" i="3"/>
  <c r="M98" i="3"/>
  <c r="O98" i="3" s="1"/>
  <c r="M104" i="3"/>
  <c r="T104" i="3" s="1"/>
  <c r="U104" i="3" s="1"/>
  <c r="V104" i="3" s="1"/>
  <c r="P105" i="3"/>
  <c r="P107" i="3"/>
  <c r="M115" i="3"/>
  <c r="O115" i="3" s="1"/>
  <c r="D117" i="3"/>
  <c r="M106" i="3"/>
  <c r="T106" i="3" s="1"/>
  <c r="U106" i="3" s="1"/>
  <c r="V106" i="3" s="1"/>
  <c r="M116" i="3"/>
  <c r="O116" i="3" s="1"/>
  <c r="K117" i="3"/>
  <c r="M101" i="3"/>
  <c r="O101" i="3" s="1"/>
  <c r="M112" i="3"/>
  <c r="O112" i="3" s="1"/>
  <c r="Z119" i="3"/>
  <c r="E14" i="68" s="1"/>
  <c r="S117" i="3"/>
  <c r="W6" i="12" l="1"/>
  <c r="W19" i="12" s="1"/>
  <c r="E13" i="68"/>
  <c r="V6" i="12"/>
  <c r="V19" i="12" s="1"/>
  <c r="V24" i="12" s="1"/>
  <c r="E12" i="68"/>
  <c r="X6" i="12"/>
  <c r="X19" i="12" s="1"/>
  <c r="X24" i="12" s="1"/>
  <c r="T7" i="44"/>
  <c r="U7" i="44" s="1"/>
  <c r="E28" i="39"/>
  <c r="G9" i="41" s="1"/>
  <c r="O21" i="3"/>
  <c r="P6" i="3"/>
  <c r="P94" i="3" s="1"/>
  <c r="F94" i="3"/>
  <c r="F119" i="3" s="1"/>
  <c r="D6" i="12" s="1"/>
  <c r="D19" i="12" s="1"/>
  <c r="T37" i="3"/>
  <c r="U37" i="3" s="1"/>
  <c r="V37" i="3" s="1"/>
  <c r="M80" i="3"/>
  <c r="O80" i="3" s="1"/>
  <c r="M63" i="3"/>
  <c r="O63" i="3" s="1"/>
  <c r="M78" i="3"/>
  <c r="O78" i="3" s="1"/>
  <c r="M67" i="3"/>
  <c r="O67" i="3" s="1"/>
  <c r="M77" i="3"/>
  <c r="O77" i="3" s="1"/>
  <c r="M69" i="3"/>
  <c r="O69" i="3" s="1"/>
  <c r="M64" i="3"/>
  <c r="O64" i="3" s="1"/>
  <c r="M42" i="3"/>
  <c r="O42" i="3" s="1"/>
  <c r="M73" i="3"/>
  <c r="O73" i="3" s="1"/>
  <c r="M12" i="3"/>
  <c r="O12" i="3" s="1"/>
  <c r="M8" i="3"/>
  <c r="O8" i="3" s="1"/>
  <c r="M76" i="3"/>
  <c r="O76" i="3" s="1"/>
  <c r="M60" i="3"/>
  <c r="O60" i="3" s="1"/>
  <c r="M79" i="3"/>
  <c r="O79" i="3" s="1"/>
  <c r="M28" i="3"/>
  <c r="O28" i="3" s="1"/>
  <c r="M45" i="3"/>
  <c r="O45" i="3" s="1"/>
  <c r="M41" i="3"/>
  <c r="O41" i="3" s="1"/>
  <c r="M70" i="3"/>
  <c r="O70" i="3" s="1"/>
  <c r="M7" i="3"/>
  <c r="O7" i="3" s="1"/>
  <c r="M74" i="3"/>
  <c r="O74" i="3" s="1"/>
  <c r="M50" i="3"/>
  <c r="O50" i="3" s="1"/>
  <c r="M24" i="3"/>
  <c r="O24" i="3" s="1"/>
  <c r="M72" i="3"/>
  <c r="O72" i="3" s="1"/>
  <c r="M46" i="3"/>
  <c r="O46" i="3" s="1"/>
  <c r="M10" i="3"/>
  <c r="O10" i="3" s="1"/>
  <c r="M81" i="3"/>
  <c r="O81" i="3" s="1"/>
  <c r="M71" i="3"/>
  <c r="O71" i="3" s="1"/>
  <c r="M68" i="3"/>
  <c r="O68" i="3" s="1"/>
  <c r="M43" i="3"/>
  <c r="O43" i="3" s="1"/>
  <c r="M75" i="3"/>
  <c r="O75" i="3" s="1"/>
  <c r="M66" i="3"/>
  <c r="O66" i="3" s="1"/>
  <c r="M65" i="3"/>
  <c r="O65" i="3" s="1"/>
  <c r="M20" i="3"/>
  <c r="O20" i="3" s="1"/>
  <c r="M19" i="3"/>
  <c r="M15" i="3"/>
  <c r="O15" i="3" s="1"/>
  <c r="M11" i="3"/>
  <c r="O11" i="3" s="1"/>
  <c r="M9" i="3"/>
  <c r="O9" i="3" s="1"/>
  <c r="W24" i="12"/>
  <c r="M44" i="3"/>
  <c r="O44" i="3" s="1"/>
  <c r="T39" i="3"/>
  <c r="U39" i="3" s="1"/>
  <c r="V39" i="3" s="1"/>
  <c r="O56" i="3"/>
  <c r="T100" i="3"/>
  <c r="U100" i="3" s="1"/>
  <c r="V100" i="3" s="1"/>
  <c r="T35" i="3"/>
  <c r="U35" i="3" s="1"/>
  <c r="V35" i="3" s="1"/>
  <c r="T23" i="3"/>
  <c r="U23" i="3" s="1"/>
  <c r="V23" i="3" s="1"/>
  <c r="T13" i="3"/>
  <c r="U13" i="3" s="1"/>
  <c r="V13" i="3" s="1"/>
  <c r="T57" i="3"/>
  <c r="U57" i="3" s="1"/>
  <c r="V57" i="3" s="1"/>
  <c r="T49" i="3"/>
  <c r="U49" i="3" s="1"/>
  <c r="V49" i="3" s="1"/>
  <c r="O58" i="3"/>
  <c r="T25" i="3"/>
  <c r="U25" i="3" s="1"/>
  <c r="V25" i="3" s="1"/>
  <c r="T55" i="3"/>
  <c r="U55" i="3" s="1"/>
  <c r="V55" i="3" s="1"/>
  <c r="T16" i="3"/>
  <c r="U16" i="3" s="1"/>
  <c r="V16" i="3" s="1"/>
  <c r="T14" i="3"/>
  <c r="U14" i="3" s="1"/>
  <c r="V14" i="3" s="1"/>
  <c r="T54" i="3"/>
  <c r="U54" i="3" s="1"/>
  <c r="V54" i="3" s="1"/>
  <c r="T36" i="3"/>
  <c r="U36" i="3" s="1"/>
  <c r="V36" i="3" s="1"/>
  <c r="V111" i="3"/>
  <c r="O99" i="3"/>
  <c r="T62" i="3"/>
  <c r="U62" i="3" s="1"/>
  <c r="V62" i="3" s="1"/>
  <c r="T33" i="3"/>
  <c r="U33" i="3" s="1"/>
  <c r="V33" i="3" s="1"/>
  <c r="A98" i="3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9" i="3" s="1"/>
  <c r="F6" i="68" s="1"/>
  <c r="T32" i="3"/>
  <c r="U32" i="3" s="1"/>
  <c r="V32" i="3" s="1"/>
  <c r="T38" i="3"/>
  <c r="U38" i="3" s="1"/>
  <c r="V38" i="3" s="1"/>
  <c r="T116" i="3"/>
  <c r="U116" i="3" s="1"/>
  <c r="V116" i="3" s="1"/>
  <c r="T40" i="3"/>
  <c r="U40" i="3" s="1"/>
  <c r="V40" i="3" s="1"/>
  <c r="T34" i="3"/>
  <c r="U34" i="3" s="1"/>
  <c r="V34" i="3" s="1"/>
  <c r="T53" i="3"/>
  <c r="U53" i="3" s="1"/>
  <c r="V53" i="3" s="1"/>
  <c r="T31" i="3"/>
  <c r="U31" i="3" s="1"/>
  <c r="V31" i="3" s="1"/>
  <c r="D119" i="3"/>
  <c r="Q124" i="3"/>
  <c r="O104" i="3"/>
  <c r="T98" i="3"/>
  <c r="U98" i="3" s="1"/>
  <c r="V98" i="3" s="1"/>
  <c r="T112" i="3"/>
  <c r="U112" i="3" s="1"/>
  <c r="L119" i="3"/>
  <c r="P117" i="3"/>
  <c r="O111" i="3"/>
  <c r="T61" i="3"/>
  <c r="U61" i="3" s="1"/>
  <c r="V61" i="3" s="1"/>
  <c r="T27" i="3"/>
  <c r="U27" i="3" s="1"/>
  <c r="V27" i="3" s="1"/>
  <c r="T30" i="3"/>
  <c r="U30" i="3" s="1"/>
  <c r="V30" i="3" s="1"/>
  <c r="T52" i="3"/>
  <c r="U52" i="3" s="1"/>
  <c r="V52" i="3" s="1"/>
  <c r="K119" i="3"/>
  <c r="I6" i="12" s="1"/>
  <c r="I19" i="12" s="1"/>
  <c r="J21" i="12" s="1"/>
  <c r="S119" i="3"/>
  <c r="O106" i="3"/>
  <c r="T110" i="3"/>
  <c r="U110" i="3" s="1"/>
  <c r="T47" i="3"/>
  <c r="U47" i="3" s="1"/>
  <c r="V47" i="3" s="1"/>
  <c r="T18" i="3"/>
  <c r="U18" i="3" s="1"/>
  <c r="V18" i="3" s="1"/>
  <c r="T29" i="3"/>
  <c r="U29" i="3" s="1"/>
  <c r="V29" i="3" s="1"/>
  <c r="T22" i="3"/>
  <c r="U22" i="3" s="1"/>
  <c r="V22" i="3" s="1"/>
  <c r="T59" i="3"/>
  <c r="U59" i="3" s="1"/>
  <c r="V59" i="3" s="1"/>
  <c r="T17" i="3"/>
  <c r="U17" i="3" s="1"/>
  <c r="V17" i="3" s="1"/>
  <c r="T26" i="3"/>
  <c r="U26" i="3" s="1"/>
  <c r="V26" i="3" s="1"/>
  <c r="M97" i="3"/>
  <c r="T115" i="3"/>
  <c r="U115" i="3" s="1"/>
  <c r="V115" i="3" s="1"/>
  <c r="M105" i="3"/>
  <c r="O105" i="3" s="1"/>
  <c r="M108" i="3"/>
  <c r="O108" i="3" s="1"/>
  <c r="T51" i="3"/>
  <c r="U51" i="3" s="1"/>
  <c r="V51" i="3" s="1"/>
  <c r="M114" i="3"/>
  <c r="O114" i="3" s="1"/>
  <c r="M113" i="3"/>
  <c r="O113" i="3" s="1"/>
  <c r="T109" i="3"/>
  <c r="U109" i="3" s="1"/>
  <c r="M107" i="3"/>
  <c r="O107" i="3" s="1"/>
  <c r="T48" i="3"/>
  <c r="U48" i="3" s="1"/>
  <c r="V48" i="3" s="1"/>
  <c r="M102" i="3"/>
  <c r="O102" i="3" s="1"/>
  <c r="T101" i="3"/>
  <c r="U101" i="3" s="1"/>
  <c r="V101" i="3" s="1"/>
  <c r="M103" i="3"/>
  <c r="O103" i="3" s="1"/>
  <c r="M6" i="3" l="1"/>
  <c r="M94" i="3" s="1"/>
  <c r="S23" i="12"/>
  <c r="J6" i="12"/>
  <c r="J19" i="12" s="1"/>
  <c r="N21" i="12" s="1"/>
  <c r="Q6" i="12"/>
  <c r="Q19" i="12" s="1"/>
  <c r="V110" i="3"/>
  <c r="V109" i="3"/>
  <c r="V112" i="3"/>
  <c r="R126" i="3"/>
  <c r="T114" i="3"/>
  <c r="U114" i="3" s="1"/>
  <c r="V114" i="3" s="1"/>
  <c r="B6" i="12"/>
  <c r="B19" i="12" s="1"/>
  <c r="E30" i="39" s="1"/>
  <c r="T74" i="3"/>
  <c r="U74" i="3" s="1"/>
  <c r="V74" i="3" s="1"/>
  <c r="T76" i="3"/>
  <c r="U76" i="3" s="1"/>
  <c r="V76" i="3" s="1"/>
  <c r="T113" i="3"/>
  <c r="U113" i="3" s="1"/>
  <c r="V113" i="3" s="1"/>
  <c r="T102" i="3"/>
  <c r="U102" i="3" s="1"/>
  <c r="V102" i="3" s="1"/>
  <c r="P119" i="3"/>
  <c r="N6" i="12" s="1"/>
  <c r="N19" i="12" s="1"/>
  <c r="T45" i="3"/>
  <c r="U45" i="3" s="1"/>
  <c r="V45" i="3" s="1"/>
  <c r="T70" i="3"/>
  <c r="U70" i="3" s="1"/>
  <c r="V70" i="3" s="1"/>
  <c r="T68" i="3"/>
  <c r="U68" i="3" s="1"/>
  <c r="V68" i="3" s="1"/>
  <c r="T72" i="3"/>
  <c r="U72" i="3" s="1"/>
  <c r="V72" i="3" s="1"/>
  <c r="T42" i="3"/>
  <c r="U42" i="3" s="1"/>
  <c r="V42" i="3" s="1"/>
  <c r="T20" i="3"/>
  <c r="U20" i="3" s="1"/>
  <c r="V20" i="3" s="1"/>
  <c r="T43" i="3"/>
  <c r="U43" i="3" s="1"/>
  <c r="V43" i="3" s="1"/>
  <c r="T78" i="3"/>
  <c r="U78" i="3" s="1"/>
  <c r="V78" i="3" s="1"/>
  <c r="T19" i="3"/>
  <c r="U19" i="3" s="1"/>
  <c r="V19" i="3" s="1"/>
  <c r="T12" i="3"/>
  <c r="U12" i="3" s="1"/>
  <c r="V12" i="3" s="1"/>
  <c r="T63" i="3"/>
  <c r="U63" i="3" s="1"/>
  <c r="V63" i="3" s="1"/>
  <c r="T71" i="3"/>
  <c r="U71" i="3" s="1"/>
  <c r="V71" i="3" s="1"/>
  <c r="T8" i="3"/>
  <c r="U8" i="3" s="1"/>
  <c r="V8" i="3" s="1"/>
  <c r="M117" i="3"/>
  <c r="O97" i="3"/>
  <c r="O117" i="3" s="1"/>
  <c r="T81" i="3"/>
  <c r="U81" i="3" s="1"/>
  <c r="V81" i="3" s="1"/>
  <c r="T7" i="3"/>
  <c r="U7" i="3" s="1"/>
  <c r="V7" i="3" s="1"/>
  <c r="T11" i="3"/>
  <c r="U11" i="3" s="1"/>
  <c r="V11" i="3" s="1"/>
  <c r="T105" i="3"/>
  <c r="U105" i="3" s="1"/>
  <c r="V105" i="3" s="1"/>
  <c r="T15" i="3"/>
  <c r="U15" i="3" s="1"/>
  <c r="V15" i="3" s="1"/>
  <c r="T65" i="3"/>
  <c r="U65" i="3" s="1"/>
  <c r="V65" i="3" s="1"/>
  <c r="T80" i="3"/>
  <c r="U80" i="3" s="1"/>
  <c r="V80" i="3" s="1"/>
  <c r="T50" i="3"/>
  <c r="U50" i="3" s="1"/>
  <c r="V50" i="3" s="1"/>
  <c r="T67" i="3"/>
  <c r="U67" i="3" s="1"/>
  <c r="V67" i="3" s="1"/>
  <c r="T107" i="3"/>
  <c r="U107" i="3" s="1"/>
  <c r="V107" i="3" s="1"/>
  <c r="T64" i="3"/>
  <c r="U64" i="3" s="1"/>
  <c r="V64" i="3" s="1"/>
  <c r="T28" i="3"/>
  <c r="U28" i="3" s="1"/>
  <c r="V28" i="3" s="1"/>
  <c r="T77" i="3"/>
  <c r="U77" i="3" s="1"/>
  <c r="V77" i="3" s="1"/>
  <c r="T46" i="3"/>
  <c r="U46" i="3" s="1"/>
  <c r="V46" i="3" s="1"/>
  <c r="T75" i="3"/>
  <c r="U75" i="3" s="1"/>
  <c r="V75" i="3" s="1"/>
  <c r="T10" i="3"/>
  <c r="U10" i="3" s="1"/>
  <c r="V10" i="3" s="1"/>
  <c r="T66" i="3"/>
  <c r="U66" i="3" s="1"/>
  <c r="V66" i="3" s="1"/>
  <c r="T103" i="3"/>
  <c r="U103" i="3" s="1"/>
  <c r="V103" i="3" s="1"/>
  <c r="T24" i="3"/>
  <c r="U24" i="3" s="1"/>
  <c r="V24" i="3" s="1"/>
  <c r="T60" i="3"/>
  <c r="U60" i="3" s="1"/>
  <c r="V60" i="3" s="1"/>
  <c r="T97" i="3"/>
  <c r="T79" i="3"/>
  <c r="U79" i="3" s="1"/>
  <c r="V79" i="3" s="1"/>
  <c r="T108" i="3"/>
  <c r="U108" i="3" s="1"/>
  <c r="T9" i="3"/>
  <c r="U9" i="3" s="1"/>
  <c r="V9" i="3" s="1"/>
  <c r="T73" i="3"/>
  <c r="U73" i="3" s="1"/>
  <c r="V73" i="3" s="1"/>
  <c r="T41" i="3"/>
  <c r="U41" i="3" s="1"/>
  <c r="V41" i="3" s="1"/>
  <c r="T44" i="3"/>
  <c r="U44" i="3" s="1"/>
  <c r="V44" i="3" s="1"/>
  <c r="T69" i="3"/>
  <c r="U69" i="3" s="1"/>
  <c r="V69" i="3" s="1"/>
  <c r="T6" i="3" l="1"/>
  <c r="U6" i="3" s="1"/>
  <c r="V6" i="3" s="1"/>
  <c r="V94" i="3" s="1"/>
  <c r="O6" i="3"/>
  <c r="O94" i="3" s="1"/>
  <c r="O119" i="3" s="1"/>
  <c r="G11" i="41"/>
  <c r="V108" i="3"/>
  <c r="M119" i="3"/>
  <c r="K6" i="12" s="1"/>
  <c r="K19" i="12" s="1"/>
  <c r="T117" i="3"/>
  <c r="U97" i="3"/>
  <c r="V97" i="3" s="1"/>
  <c r="T94" i="3" l="1"/>
  <c r="T119" i="3" s="1"/>
  <c r="R6" i="12" s="1"/>
  <c r="R19" i="12" s="1"/>
  <c r="U94" i="3"/>
  <c r="M6" i="12"/>
  <c r="M19" i="12" s="1"/>
  <c r="U117" i="3"/>
  <c r="S21" i="12" l="1"/>
  <c r="K21" i="12"/>
  <c r="V117" i="3"/>
  <c r="V119" i="3" s="1"/>
  <c r="U119" i="3"/>
  <c r="S6" i="12" l="1"/>
  <c r="F9" i="42" s="1"/>
  <c r="F4" i="68"/>
  <c r="T6" i="12"/>
  <c r="E11" i="68"/>
  <c r="E15" i="68" s="1"/>
  <c r="S19" i="12" l="1"/>
  <c r="E26" i="39" s="1"/>
  <c r="G7" i="41" s="1"/>
  <c r="F11" i="68"/>
  <c r="F14" i="68"/>
  <c r="F13" i="68"/>
  <c r="F12" i="68"/>
  <c r="S24" i="12" l="1"/>
  <c r="F15" i="68"/>
  <c r="F22" i="42"/>
  <c r="J9" i="42" s="1"/>
  <c r="BR19" i="59"/>
  <c r="AT17" i="47" s="1"/>
  <c r="BQ7" i="59"/>
  <c r="BQ19" i="59" s="1"/>
  <c r="AS17" i="47" s="1"/>
  <c r="J12" i="42" l="1"/>
  <c r="J14" i="42"/>
  <c r="J19" i="42"/>
  <c r="J8" i="42"/>
  <c r="J18" i="42"/>
  <c r="J16" i="42"/>
  <c r="J15" i="42"/>
  <c r="J10" i="42"/>
  <c r="J13" i="42"/>
  <c r="J11" i="42"/>
  <c r="J17" i="42"/>
  <c r="J20" i="42"/>
  <c r="J21" i="42"/>
  <c r="AO18" i="47"/>
  <c r="F19" i="40" s="1"/>
  <c r="AS18" i="47"/>
  <c r="AT18" i="47"/>
  <c r="F20" i="40" l="1"/>
  <c r="F22" i="40"/>
  <c r="F23" i="40" s="1"/>
  <c r="G19" i="40"/>
  <c r="J22" i="42"/>
  <c r="G22" i="40" l="1"/>
  <c r="G23" i="40" s="1"/>
  <c r="G20" i="40"/>
  <c r="V26" i="30" l="1"/>
  <c r="V25" i="30"/>
  <c r="V22" i="30"/>
  <c r="V27" i="30"/>
  <c r="V15" i="30"/>
  <c r="V23" i="30"/>
  <c r="V8" i="30"/>
  <c r="V9" i="30"/>
  <c r="V7" i="30"/>
  <c r="V13" i="30"/>
  <c r="V36" i="30" l="1"/>
  <c r="U11" i="12"/>
  <c r="U19" i="12" s="1"/>
  <c r="U24" i="12" s="1"/>
  <c r="T11" i="12" l="1"/>
  <c r="T19" i="12" s="1"/>
  <c r="T24" i="12" s="1"/>
  <c r="E15" i="73"/>
  <c r="E18" i="73" l="1"/>
  <c r="F15" i="73" s="1"/>
  <c r="F16" i="73" l="1"/>
  <c r="F17" i="73"/>
  <c r="F18" i="73" l="1"/>
  <c r="A6" i="83" l="1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50" i="83" s="1"/>
  <c r="A51" i="83" s="1"/>
  <c r="A52" i="83" s="1"/>
  <c r="A53" i="83" s="1"/>
  <c r="A54" i="83" s="1"/>
  <c r="A55" i="83" s="1"/>
  <c r="A56" i="83" s="1"/>
  <c r="A57" i="83" s="1"/>
  <c r="A58" i="83" s="1"/>
  <c r="A59" i="83" s="1"/>
  <c r="A60" i="83" s="1"/>
  <c r="A61" i="83" s="1"/>
  <c r="A62" i="83" s="1"/>
  <c r="A63" i="83" s="1"/>
  <c r="A64" i="83" s="1"/>
  <c r="A65" i="83" s="1"/>
  <c r="A66" i="83" s="1"/>
  <c r="A67" i="83" s="1"/>
  <c r="A68" i="83" s="1"/>
  <c r="A69" i="83" s="1"/>
  <c r="A70" i="83" s="1"/>
  <c r="A71" i="83" s="1"/>
  <c r="A72" i="83" s="1"/>
  <c r="A73" i="83" s="1"/>
  <c r="A74" i="83" s="1"/>
  <c r="A75" i="83" s="1"/>
  <c r="A76" i="83" s="1"/>
  <c r="A77" i="83" s="1"/>
  <c r="A78" i="83" s="1"/>
  <c r="A79" i="83" s="1"/>
  <c r="A80" i="83" s="1"/>
  <c r="A81" i="83" s="1"/>
  <c r="A82" i="83" s="1"/>
  <c r="A83" i="83" s="1"/>
  <c r="A84" i="83" s="1"/>
  <c r="A85" i="83" s="1"/>
  <c r="A86" i="83" s="1"/>
  <c r="A87" i="83" s="1"/>
  <c r="A88" i="83" s="1"/>
  <c r="A89" i="83" s="1"/>
  <c r="A90" i="83" s="1"/>
  <c r="A93" i="83" l="1"/>
  <c r="A94" i="83" s="1"/>
  <c r="A97" i="83" s="1"/>
  <c r="A100" i="83" s="1"/>
  <c r="A101" i="83" s="1"/>
  <c r="A102" i="83" s="1"/>
  <c r="A105" i="83" s="1"/>
  <c r="A6" i="84"/>
  <c r="A9" i="84" s="1"/>
  <c r="A10" i="84" s="1"/>
  <c r="A19" i="84" s="1"/>
  <c r="A20" i="84" s="1"/>
  <c r="A69" i="84" l="1"/>
  <c r="A72" i="84" s="1"/>
  <c r="A73" i="84" s="1"/>
  <c r="A97" i="84"/>
  <c r="A119" i="84" l="1"/>
  <c r="A120" i="84" s="1"/>
  <c r="A121" i="84" s="1"/>
  <c r="A124" i="84" s="1"/>
  <c r="A125" i="84" s="1"/>
  <c r="A126" i="84" s="1"/>
  <c r="A127" i="84" s="1"/>
  <c r="A24" i="85"/>
  <c r="A25" i="85" s="1"/>
  <c r="A13" i="85"/>
  <c r="A6" i="85"/>
  <c r="A6" i="88"/>
  <c r="A7" i="88"/>
  <c r="A11" i="88"/>
  <c r="A26" i="85" l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5" i="85" s="1"/>
  <c r="A66" i="85" s="1"/>
  <c r="A67" i="85" s="1"/>
  <c r="A68" i="85" s="1"/>
  <c r="A71" i="85" s="1"/>
  <c r="A74" i="85" s="1"/>
  <c r="A77" i="85" s="1"/>
  <c r="A78" i="85" s="1"/>
  <c r="A21" i="88"/>
  <c r="A24" i="88" s="1"/>
  <c r="A11" i="89"/>
  <c r="A6" i="89"/>
  <c r="A79" i="85" l="1"/>
  <c r="A80" i="85" s="1"/>
  <c r="A81" i="85" s="1"/>
  <c r="A82" i="85" s="1"/>
  <c r="A85" i="85" s="1"/>
  <c r="A86" i="85" s="1"/>
  <c r="A87" i="85" s="1"/>
  <c r="A88" i="85" s="1"/>
  <c r="A89" i="85" s="1"/>
  <c r="A92" i="85" s="1"/>
  <c r="A93" i="85" s="1"/>
  <c r="A94" i="85" s="1"/>
  <c r="A97" i="85" s="1"/>
  <c r="A31" i="89"/>
  <c r="A32" i="89" s="1"/>
  <c r="A37" i="89" s="1"/>
  <c r="A40" i="89" s="1"/>
  <c r="A43" i="89" s="1"/>
  <c r="A44" i="89" s="1"/>
  <c r="A47" i="89" s="1"/>
  <c r="A50" i="89" s="1"/>
  <c r="A8" i="91"/>
  <c r="A11" i="91"/>
  <c r="A12" i="91"/>
  <c r="A22" i="91"/>
  <c r="A8" i="92"/>
  <c r="A9" i="92"/>
  <c r="A12" i="92"/>
  <c r="A13" i="92"/>
  <c r="A23" i="92"/>
  <c r="A6" i="93"/>
  <c r="A9" i="93"/>
  <c r="A12" i="93"/>
  <c r="A13" i="93"/>
  <c r="A16" i="93"/>
  <c r="A17" i="93" s="1"/>
  <c r="A20" i="93" s="1"/>
  <c r="A21" i="93" s="1"/>
  <c r="A24" i="93" s="1"/>
  <c r="A6" i="96"/>
  <c r="A9" i="96"/>
  <c r="A10" i="96"/>
  <c r="A11" i="96"/>
  <c r="A12" i="96"/>
  <c r="A15" i="96"/>
  <c r="A16" i="96"/>
  <c r="A19" i="96"/>
  <c r="A22" i="96"/>
</calcChain>
</file>

<file path=xl/comments1.xml><?xml version="1.0" encoding="utf-8"?>
<comments xmlns="http://schemas.openxmlformats.org/spreadsheetml/2006/main">
  <authors>
    <author>Gizbarut-Orna Goldfriend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סכום ע"ח הגדלת ק. עודפים רוני 5,000 אלשח. 23.10.17 : עדכון 5 מלשח מול  5 מלשח ק עודפים תוספת.24.10.17 מול עדכון איילת 280 אלשח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של 5,000 אלשח  רוני</t>
        </r>
      </text>
    </comment>
    <comment ref="D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23.10.17 תוספת 5 מלשח רוני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24.10.17 עדכון אייל 280 אלשח</t>
        </r>
      </text>
    </comment>
  </commentList>
</comments>
</file>

<file path=xl/comments10.xml><?xml version="1.0" encoding="utf-8"?>
<comments xmlns="http://schemas.openxmlformats.org/spreadsheetml/2006/main">
  <authors>
    <author>Gizbarut-Orna Goldfriend</author>
  </authors>
  <commentList>
    <comment ref="Z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המדע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ככל שיידרש 65 אלשח  בשנת 2017 - מהרזרבה
מוצע
</t>
        </r>
      </text>
    </comment>
  </commentList>
</comments>
</file>

<file path=xl/comments11.xml><?xml version="1.0" encoding="utf-8"?>
<comments xmlns="http://schemas.openxmlformats.org/spreadsheetml/2006/main">
  <authors>
    <author>Tanus-Yulia pesis</author>
  </authors>
  <commentList>
    <comment ref="Z12" authorId="0">
      <text>
        <r>
          <rPr>
            <b/>
            <sz val="9"/>
            <color indexed="81"/>
            <rFont val="Tahoma"/>
            <family val="2"/>
          </rPr>
          <t>Tanus-Yulia pesis:</t>
        </r>
        <r>
          <rPr>
            <sz val="9"/>
            <color indexed="81"/>
            <rFont val="Tahoma"/>
            <family val="2"/>
          </rPr>
          <t xml:space="preserve">
טוטו</t>
        </r>
      </text>
    </comment>
  </commentList>
</comments>
</file>

<file path=xl/comments12.xml><?xml version="1.0" encoding="utf-8"?>
<comments xmlns="http://schemas.openxmlformats.org/spreadsheetml/2006/main">
  <authors>
    <author>Tanus-Yulia pesis</author>
  </authors>
  <commentList>
    <comment ref="Z15" authorId="0">
      <text>
        <r>
          <rPr>
            <b/>
            <sz val="9"/>
            <color indexed="81"/>
            <rFont val="Tahoma"/>
            <family val="2"/>
          </rPr>
          <t>Tanus-Yulia pesis:</t>
        </r>
        <r>
          <rPr>
            <sz val="9"/>
            <color indexed="81"/>
            <rFont val="Tahoma"/>
            <family val="2"/>
          </rPr>
          <t xml:space="preserve">
טוטו</t>
        </r>
      </text>
    </comment>
  </commentList>
</comments>
</file>

<file path=xl/comments13.xml><?xml version="1.0" encoding="utf-8"?>
<comments xmlns="http://schemas.openxmlformats.org/spreadsheetml/2006/main">
  <authors>
    <author>Gizbarut-Orna Goldfriend</author>
  </authors>
  <commentList>
    <comment ref="V1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קעפ מול ק. עודפים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 קעפ מול ק. עודפים
</t>
        </r>
      </text>
    </comment>
    <comment ref="Z2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נת"י
</t>
        </r>
      </text>
    </comment>
  </commentList>
</comments>
</file>

<file path=xl/comments14.xml><?xml version="1.0" encoding="utf-8"?>
<comments xmlns="http://schemas.openxmlformats.org/spreadsheetml/2006/main">
  <authors>
    <author>Gizbarut-Orna Goldfriend</author>
  </authors>
  <commentList>
    <comment ref="V1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קעפ מול ק. עודפים</t>
        </r>
      </text>
    </comment>
    <comment ref="Z2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נת"י
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 קעפ מול ק. עודפים
</t>
        </r>
      </text>
    </comment>
  </commentList>
</comments>
</file>

<file path=xl/comments15.xml><?xml version="1.0" encoding="utf-8"?>
<comments xmlns="http://schemas.openxmlformats.org/spreadsheetml/2006/main">
  <authors>
    <author>Gizbarut-Orna Goldfriend</author>
  </authors>
  <commentList>
    <comment ref="H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23.10.17 עדכון סכום שהיה שגוי בספרים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סכום 200 אלשח מקעפ מול ק עודפים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מיון סכום קע"פ מול ק. עודפים</t>
        </r>
      </text>
    </comment>
  </commentList>
</comments>
</file>

<file path=xl/comments16.xml><?xml version="1.0" encoding="utf-8"?>
<comments xmlns="http://schemas.openxmlformats.org/spreadsheetml/2006/main">
  <authors>
    <author>Gizbarut-Orna Goldfriend</author>
  </authors>
  <commentList>
    <comment ref="V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מיון סכום קע"פ מול ק. עודפים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סכום 200 אלשח מקעפ מול ק עודפים</t>
        </r>
      </text>
    </comment>
  </commentList>
</comments>
</file>

<file path=xl/comments17.xml><?xml version="1.0" encoding="utf-8"?>
<comments xmlns="http://schemas.openxmlformats.org/spreadsheetml/2006/main">
  <authors>
    <author>Gizbarut-Orna Goldfriend</author>
  </authors>
  <commentList>
    <comment ref="Z1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מים : הסכם פשרה המתגבש
</t>
        </r>
      </text>
    </comment>
  </commentList>
</comments>
</file>

<file path=xl/comments18.xml><?xml version="1.0" encoding="utf-8"?>
<comments xmlns="http://schemas.openxmlformats.org/spreadsheetml/2006/main">
  <authors>
    <author>Gizbarut-Orna Goldfriend</author>
  </authors>
  <commentList>
    <comment ref="Z1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מים : הסכם פשרה המתגבש
</t>
        </r>
      </text>
    </comment>
  </commentList>
</comments>
</file>

<file path=xl/comments19.xml><?xml version="1.0" encoding="utf-8"?>
<comments xmlns="http://schemas.openxmlformats.org/spreadsheetml/2006/main">
  <authors>
    <author>Gizbarut-Orna Goldfriend</author>
  </authors>
  <commentList>
    <comment ref="W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18.10.17: עודכן סכום של 1 מלשח דחיה מ -2018 ל -2019. 22.10.17:עודכן סכום מיון קעפ מול ק. עודפים</t>
        </r>
      </text>
    </comment>
  </commentList>
</comments>
</file>

<file path=xl/comments2.xml><?xml version="1.0" encoding="utf-8"?>
<comments xmlns="http://schemas.openxmlformats.org/spreadsheetml/2006/main">
  <authors>
    <author>Gizbarut-Orna Goldfriend</author>
  </authors>
  <commentList>
    <comment ref="N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הקבורה
תאגיד מי הרצליה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נת"י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המים</t>
        </r>
      </text>
    </comment>
  </commentList>
</comments>
</file>

<file path=xl/comments20.xml><?xml version="1.0" encoding="utf-8"?>
<comments xmlns="http://schemas.openxmlformats.org/spreadsheetml/2006/main">
  <authors>
    <author>Gizbarut-Orna Goldfriend</author>
  </authors>
  <commentList>
    <comment ref="W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18.10.17: עודכן סכום של 1 מלשח דחיה מ -2018 ל -2019. 22.10.17:עודכן סכום מיון קעפ מול ק. עודפים</t>
        </r>
      </text>
    </comment>
  </commentList>
</comments>
</file>

<file path=xl/comments21.xml><?xml version="1.0" encoding="utf-8"?>
<comments xmlns="http://schemas.openxmlformats.org/spreadsheetml/2006/main">
  <authors>
    <author>Gizbarut-Orna Goldfriend</author>
  </authors>
  <commentList>
    <comment ref="Q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אחרים
</t>
        </r>
      </text>
    </comment>
  </commentList>
</comments>
</file>

<file path=xl/comments22.xml><?xml version="1.0" encoding="utf-8"?>
<comments xmlns="http://schemas.openxmlformats.org/spreadsheetml/2006/main">
  <authors>
    <author>Gizbarut-Orna Goldfriend</author>
  </authors>
  <commentList>
    <comment ref="Q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אחרים
</t>
        </r>
      </text>
    </comment>
  </commentList>
</comments>
</file>

<file path=xl/comments23.xml><?xml version="1.0" encoding="utf-8"?>
<comments xmlns="http://schemas.openxmlformats.org/spreadsheetml/2006/main">
  <authors>
    <author>Gizbarut-Orna Goldfriend</author>
  </authors>
  <commentList>
    <comment ref="W1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84,415 ₪ מקעפ לק עודפים
</t>
        </r>
      </text>
    </comment>
  </commentList>
</comments>
</file>

<file path=xl/comments24.xml><?xml version="1.0" encoding="utf-8"?>
<comments xmlns="http://schemas.openxmlformats.org/spreadsheetml/2006/main">
  <authors>
    <author>Gizbarut-Orna Goldfriend</author>
  </authors>
  <commentList>
    <comment ref="W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84,415 ₪ מקעפ לק עודפים
</t>
        </r>
      </text>
    </comment>
  </commentList>
</comments>
</file>

<file path=xl/comments25.xml><?xml version="1.0" encoding="utf-8"?>
<comments xmlns="http://schemas.openxmlformats.org/spreadsheetml/2006/main">
  <authors>
    <author>Gizbarut-Orna Goldfriend</author>
    <author>Eng-Sarit Avramovich</author>
  </authors>
  <commentList>
    <comment ref="AO2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סכום ביניים עד קבלת יתרות</t>
        </r>
      </text>
    </comment>
    <comment ref="AR2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עבור הח. לתיירות</t>
        </r>
      </text>
    </comment>
    <comment ref="AX2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לסעיף 753 מאיה ועדת תנועה</t>
        </r>
      </text>
    </comment>
    <comment ref="Y4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רמ"י: 26.5 מלשח *100% ו 8 מלשח *70% 
26.5+8 מלשח = 34.5 מלשח היקף הפרויקט</t>
        </r>
      </text>
    </comment>
    <comment ref="D71" authorId="1">
      <text>
        <r>
          <rPr>
            <b/>
            <sz val="9"/>
            <color indexed="81"/>
            <rFont val="Tahoma"/>
            <family val="2"/>
          </rPr>
          <t>Eng-Sarit Avramovich:</t>
        </r>
        <r>
          <rPr>
            <sz val="9"/>
            <color indexed="81"/>
            <rFont val="Tahoma"/>
            <family val="2"/>
          </rPr>
          <t xml:space="preserve">
וועדת כספים של 25/9
</t>
        </r>
      </text>
    </comment>
  </commentList>
</comments>
</file>

<file path=xl/comments26.xml><?xml version="1.0" encoding="utf-8"?>
<comments xmlns="http://schemas.openxmlformats.org/spreadsheetml/2006/main">
  <authors>
    <author>Gizbarut-Orna Goldfriend</author>
  </authors>
  <commentList>
    <comment ref="AM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לעדכן מסמך אישור פרויקט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להזרים.במקום תוספת פרטנית בבר כוכבא ושביל צמרות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בית עלמין
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700 ב - 8.9.16
נוסףעוד 5.8 מלשח ספטמבר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100 ב - 8.9.16
נוסף 300 ספטמבר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14.9.16: הוזרם 500 אלשח.
אוקטובר : 2 מלשח
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500 ב - 5.9.16  ספטמבר נוסף 1.25 מלשח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300 ב - 8.9.16 ספטמבר נוסף 10.7 מלשח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מפעל הפייס</t>
        </r>
      </text>
    </comment>
    <comment ref="Y2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"אחרים" : האחים עופר אזורים</t>
        </r>
      </text>
    </comment>
    <comment ref="BH3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להזרים 6 מלשח. במקום תוספת בר כוכבא ושביל אינטגרציה </t>
        </r>
      </text>
    </comment>
    <comment ref="Y4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</t>
        </r>
      </text>
    </comment>
    <comment ref="Q5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100 ב - 8.9.16
ספטמבר נוסף 1.2 מלשח</t>
        </r>
      </text>
    </comment>
    <comment ref="Y5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נת"י
</t>
        </r>
      </text>
    </comment>
    <comment ref="Y5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R6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11.9: הזרמה 2 מלשח
הזרמה 1.74 מלשח  אוקטובר
</t>
        </r>
      </text>
    </comment>
    <comment ref="I6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29061 ₪ שייך לחב. לפיתוח "אופק"
</t>
        </r>
      </text>
    </comment>
    <comment ref="R7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11.9.16 : הזרמת תקציב 500 אלשח
הזרמה 3 מלשח  אוקטובר</t>
        </r>
      </text>
    </comment>
    <comment ref="Y7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</t>
        </r>
      </text>
    </comment>
    <comment ref="Y8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</t>
        </r>
      </text>
    </comment>
    <comment ref="Y8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</t>
        </r>
      </text>
    </comment>
    <comment ref="BH8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ראה תבר 1908
</t>
        </r>
      </text>
    </comment>
    <comment ref="Y8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  <comment ref="AI8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הרשאה רמ"י
</t>
        </r>
      </text>
    </comment>
    <comment ref="Y9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</t>
        </r>
      </text>
    </comment>
    <comment ref="Y9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9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החינוך: 1625
רמ"י , : 1511 :</t>
        </r>
      </text>
    </comment>
    <comment ref="BH9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ראה תב"ר 1797</t>
        </r>
      </text>
    </comment>
    <comment ref="Y9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9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10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10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</t>
        </r>
      </text>
    </comment>
    <comment ref="BH10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להזרים ייסגר</t>
        </r>
      </text>
    </comment>
  </commentList>
</comments>
</file>

<file path=xl/comments27.xml><?xml version="1.0" encoding="utf-8"?>
<comments xmlns="http://schemas.openxmlformats.org/spreadsheetml/2006/main">
  <authors>
    <author>Gizbarut-Orna Goldfriend</author>
  </authors>
  <commentList>
    <comment ref="Q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100 ב - 8.9.16
 עוד 250 הזרמה נוספת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50 ב - 8.9.16
הזרמה נוספת 50 מי וש נוסף ספטמבר
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50 ב - 8.9.16
הזרמה נוספת 150 ספטמבר נוסף</t>
        </r>
      </text>
    </comment>
    <comment ref="R6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הזרמה ספטמבר  2 מלשח</t>
        </r>
      </text>
    </comment>
    <comment ref="Y7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האנרגיה</t>
        </r>
      </text>
    </comment>
    <comment ref="AO7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הבקשה : 400 אלש"ח. יש יתרה תקציבית 300 אלשח</t>
        </r>
      </text>
    </comment>
    <comment ref="AO8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הבקשה : 700 אלשח</t>
        </r>
      </text>
    </comment>
  </commentList>
</comments>
</file>

<file path=xl/comments28.xml><?xml version="1.0" encoding="utf-8"?>
<comments xmlns="http://schemas.openxmlformats.org/spreadsheetml/2006/main">
  <authors>
    <author>Gizbarut-Orna Goldfriend</author>
    <author>Tanus-Yulia pesis</author>
  </authors>
  <commentList>
    <comment ref="Y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המדע</t>
        </r>
      </text>
    </comment>
    <comment ref="Y2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2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2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Y35" authorId="1">
      <text>
        <r>
          <rPr>
            <b/>
            <sz val="9"/>
            <color indexed="81"/>
            <rFont val="Tahoma"/>
            <family val="2"/>
          </rPr>
          <t>Tanus-Yulia pesis:</t>
        </r>
        <r>
          <rPr>
            <sz val="9"/>
            <color indexed="81"/>
            <rFont val="Tahoma"/>
            <family val="2"/>
          </rPr>
          <t xml:space="preserve">
טוטו</t>
        </r>
      </text>
    </comment>
    <comment ref="D42" authorId="1">
      <text>
        <r>
          <rPr>
            <b/>
            <sz val="9"/>
            <color indexed="81"/>
            <rFont val="Tahoma"/>
            <family val="2"/>
          </rPr>
          <t>Tanus-Yulia pesis:</t>
        </r>
        <r>
          <rPr>
            <sz val="9"/>
            <color indexed="81"/>
            <rFont val="Tahoma"/>
            <family val="2"/>
          </rPr>
          <t xml:space="preserve">
טרם אושר במועצה, אושר בועדת כספים 21.8.16</t>
        </r>
      </text>
    </comment>
  </commentList>
</comments>
</file>

<file path=xl/comments29.xml><?xml version="1.0" encoding="utf-8"?>
<comments xmlns="http://schemas.openxmlformats.org/spreadsheetml/2006/main">
  <authors>
    <author>Gizbarut-Orna Goldfriend</author>
  </authors>
  <commentList>
    <comment ref="Y1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 ביניים. תשלומים דחויים
</t>
        </r>
      </text>
    </comment>
    <comment ref="BH2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עבר למיחשוב
</t>
        </r>
      </text>
    </comment>
    <comment ref="Y6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</t>
        </r>
      </text>
    </comment>
  </commentList>
</comments>
</file>

<file path=xl/comments3.xml><?xml version="1.0" encoding="utf-8"?>
<comments xmlns="http://schemas.openxmlformats.org/spreadsheetml/2006/main">
  <authors>
    <author>Gizbarut-Orna Goldfriend</author>
    <author/>
  </authors>
  <commentList>
    <comment ref="J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28.9.17: עדכון נתונים
</t>
        </r>
      </text>
    </comment>
    <comment ref="I3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27.9.17: עדכון נתונים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נתונים</t>
        </r>
      </text>
    </comment>
    <comment ref="J5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 עדכון נתונים</t>
        </r>
      </text>
    </comment>
    <comment ref="N61" authorId="1">
      <text>
        <r>
          <rPr>
            <sz val="11"/>
            <color rgb="FF000000"/>
            <rFont val="Nachlieli CLM"/>
            <family val="2"/>
            <charset val="1"/>
          </rPr>
          <t>מיקי 250K, קייזר 100K, PGL 117K, ביוב 108K, מים 90K. סהכ 665</t>
        </r>
      </text>
    </comment>
    <comment ref="D6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ההיקף בעקבות הגדלת ביצוע 2018 100 אלשח</t>
        </r>
      </text>
    </comment>
    <comment ref="N6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הסכום עודכן ב  -100 אלשח כנגד ביטול תב"ר חדש בסכום זהה  בדיקת תב"עות לשימור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השם עודכן בתאום עם הנדסה</t>
        </r>
      </text>
    </comment>
    <comment ref="N89" authorId="1">
      <text>
        <r>
          <rPr>
            <sz val="9"/>
            <color rgb="FF000000"/>
            <rFont val="Nachlieli CLM"/>
            <family val="2"/>
            <charset val="1"/>
          </rPr>
          <t xml:space="preserve">שמאי </t>
        </r>
        <r>
          <rPr>
            <sz val="9"/>
            <color rgb="FF000000"/>
            <rFont val="Arial"/>
            <family val="2"/>
            <charset val="177"/>
          </rPr>
          <t xml:space="preserve">250K, </t>
        </r>
        <r>
          <rPr>
            <sz val="9"/>
            <color rgb="FF000000"/>
            <rFont val="Nachlieli CLM"/>
            <family val="2"/>
            <charset val="1"/>
          </rPr>
          <t xml:space="preserve">פרוגרמטור  </t>
        </r>
        <r>
          <rPr>
            <sz val="9"/>
            <color rgb="FF000000"/>
            <rFont val="Arial"/>
            <family val="2"/>
            <charset val="177"/>
          </rPr>
          <t xml:space="preserve">250K, </t>
        </r>
        <r>
          <rPr>
            <sz val="9"/>
            <color rgb="FF000000"/>
            <rFont val="Nachlieli CLM"/>
            <family val="2"/>
            <charset val="1"/>
          </rPr>
          <t xml:space="preserve">יועץ תנועה </t>
        </r>
        <r>
          <rPr>
            <sz val="9"/>
            <color rgb="FF000000"/>
            <rFont val="Arial"/>
            <family val="2"/>
            <charset val="177"/>
          </rPr>
          <t xml:space="preserve">200K, </t>
        </r>
        <r>
          <rPr>
            <sz val="9"/>
            <color rgb="FF000000"/>
            <rFont val="Nachlieli CLM"/>
            <family val="2"/>
            <charset val="1"/>
          </rPr>
          <t xml:space="preserve">יועצים שונים </t>
        </r>
        <r>
          <rPr>
            <sz val="9"/>
            <color rgb="FF000000"/>
            <rFont val="Arial"/>
            <family val="2"/>
            <charset val="177"/>
          </rPr>
          <t xml:space="preserve">100K, </t>
        </r>
        <r>
          <rPr>
            <sz val="9"/>
            <color rgb="FF000000"/>
            <rFont val="Nachlieli CLM"/>
            <family val="2"/>
            <charset val="1"/>
          </rPr>
          <t xml:space="preserve">יועץ חברתי </t>
        </r>
        <r>
          <rPr>
            <sz val="9"/>
            <color rgb="FF000000"/>
            <rFont val="Arial"/>
            <family val="2"/>
            <charset val="177"/>
          </rPr>
          <t>200K</t>
        </r>
      </text>
    </comment>
  </commentList>
</comments>
</file>

<file path=xl/comments30.xml><?xml version="1.0" encoding="utf-8"?>
<comments xmlns="http://schemas.openxmlformats.org/spreadsheetml/2006/main">
  <authors>
    <author>Gizbarut-Orna Goldfriend</author>
  </authors>
  <commentList>
    <comment ref="U1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ירד מ - 100 מאחר ועודכן התקציב ב - 2016 לפי בקשתם מ-50 ל- 300</t>
        </r>
      </text>
    </comment>
  </commentList>
</comments>
</file>

<file path=xl/comments31.xml><?xml version="1.0" encoding="utf-8"?>
<comments xmlns="http://schemas.openxmlformats.org/spreadsheetml/2006/main">
  <authors>
    <author>Gizbarut-Orna Goldfriend</author>
  </authors>
  <commentList>
    <comment ref="Q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850 ב - 8.9.16</t>
        </r>
      </text>
    </comment>
  </commentList>
</comments>
</file>

<file path=xl/comments32.xml><?xml version="1.0" encoding="utf-8"?>
<comments xmlns="http://schemas.openxmlformats.org/spreadsheetml/2006/main">
  <authors>
    <author>Gizbarut-Orna Goldfriend</author>
  </authors>
  <commentList>
    <comment ref="AL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סעיפים 750 : 150
סעיף 756 : 200
סעיף 755 : 130</t>
        </r>
      </text>
    </comment>
    <comment ref="AO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סעיף 750  - 330
סעיף 755 - 200
סעיף 756 - 370
סעיף 757 - 10  </t>
        </r>
      </text>
    </comment>
    <comment ref="BA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עבור נגישות מימון ביניים סכום 400 אלשח.
הכל לסעיף 757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לטובת נגישות חט"ב זאב 1.5 מלשח בתאום עם קרן.לאחר מכן לשריין בהזמנה לח. לפיתוח.
31.8.17:נוסף 500 אלשח</t>
        </r>
      </text>
    </comment>
    <comment ref="AO1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הבקשה 900 אלשח. </t>
        </r>
      </text>
    </comment>
  </commentList>
</comments>
</file>

<file path=xl/comments33.xml><?xml version="1.0" encoding="utf-8"?>
<comments xmlns="http://schemas.openxmlformats.org/spreadsheetml/2006/main">
  <authors>
    <author>Gizbarut-Orna Goldfriend</author>
  </authors>
  <commentList>
    <comment ref="E3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לקבל טופס חתום</t>
        </r>
      </text>
    </comment>
    <comment ref="E3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לקבל טופס חתום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הקטנה של יתרת תקציב 31.12.16</t>
        </r>
      </text>
    </comment>
    <comment ref="E4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עבר לח. לתיירות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18.6.17: מוקפא החלטת מנכל</t>
        </r>
      </text>
    </comment>
    <comment ref="T5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3.8 מליון ₪ בוטל החלטת מנכ"ל</t>
        </r>
      </text>
    </comment>
    <comment ref="E6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18.6.17: מוקפא החלטת מנכל</t>
        </r>
      </text>
    </comment>
    <comment ref="E8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מוקפא עד הוראת מנכל.איילה 2.3.17</t>
        </r>
      </text>
    </comment>
    <comment ref="E9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להקפיא  - מקור מימון תאגיד מי הרצליה בעקבות דיון מנכל 22.8.17</t>
        </r>
      </text>
    </comment>
  </commentList>
</comments>
</file>

<file path=xl/comments4.xml><?xml version="1.0" encoding="utf-8"?>
<comments xmlns="http://schemas.openxmlformats.org/spreadsheetml/2006/main">
  <authors>
    <author/>
    <author>Gizbarut-Orna Goldfriend</author>
  </authors>
  <commentList>
    <comment ref="N8" authorId="0">
      <text>
        <r>
          <rPr>
            <sz val="11"/>
            <color rgb="FF000000"/>
            <rFont val="Nachlieli CLM"/>
            <family val="2"/>
            <charset val="1"/>
          </rPr>
          <t>מיקי 250K, קייזר 100K, PGL 117K, ביוב 108K, מים 90K. סהכ 665</t>
        </r>
      </text>
    </comment>
    <comment ref="D11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ההיקף בעקבות הגדלת ביצוע 2018 100 אלשח</t>
        </r>
      </text>
    </comment>
    <comment ref="N11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הסכום עודכן ב  -100 אלשח כנגד ביטול תב"ר חדש בסכום זהה  בדיקת תב"עות לשימור</t>
        </r>
      </text>
    </comment>
    <comment ref="N22" authorId="0">
      <text>
        <r>
          <rPr>
            <sz val="9"/>
            <color rgb="FF000000"/>
            <rFont val="Nachlieli CLM"/>
            <family val="2"/>
            <charset val="1"/>
          </rPr>
          <t xml:space="preserve">שמאי </t>
        </r>
        <r>
          <rPr>
            <sz val="9"/>
            <color rgb="FF000000"/>
            <rFont val="Arial"/>
            <family val="2"/>
            <charset val="177"/>
          </rPr>
          <t xml:space="preserve">250K, </t>
        </r>
        <r>
          <rPr>
            <sz val="9"/>
            <color rgb="FF000000"/>
            <rFont val="Nachlieli CLM"/>
            <family val="2"/>
            <charset val="1"/>
          </rPr>
          <t xml:space="preserve">פרוגרמטור  </t>
        </r>
        <r>
          <rPr>
            <sz val="9"/>
            <color rgb="FF000000"/>
            <rFont val="Arial"/>
            <family val="2"/>
            <charset val="177"/>
          </rPr>
          <t xml:space="preserve">250K, </t>
        </r>
        <r>
          <rPr>
            <sz val="9"/>
            <color rgb="FF000000"/>
            <rFont val="Nachlieli CLM"/>
            <family val="2"/>
            <charset val="1"/>
          </rPr>
          <t xml:space="preserve">יועץ תנועה </t>
        </r>
        <r>
          <rPr>
            <sz val="9"/>
            <color rgb="FF000000"/>
            <rFont val="Arial"/>
            <family val="2"/>
            <charset val="177"/>
          </rPr>
          <t xml:space="preserve">200K, </t>
        </r>
        <r>
          <rPr>
            <sz val="9"/>
            <color rgb="FF000000"/>
            <rFont val="Nachlieli CLM"/>
            <family val="2"/>
            <charset val="1"/>
          </rPr>
          <t xml:space="preserve">יועצים שונים </t>
        </r>
        <r>
          <rPr>
            <sz val="9"/>
            <color rgb="FF000000"/>
            <rFont val="Arial"/>
            <family val="2"/>
            <charset val="177"/>
          </rPr>
          <t xml:space="preserve">100K, </t>
        </r>
        <r>
          <rPr>
            <sz val="9"/>
            <color rgb="FF000000"/>
            <rFont val="Nachlieli CLM"/>
            <family val="2"/>
            <charset val="1"/>
          </rPr>
          <t xml:space="preserve">יועץ חברתי </t>
        </r>
        <r>
          <rPr>
            <sz val="9"/>
            <color rgb="FF000000"/>
            <rFont val="Arial"/>
            <family val="2"/>
            <charset val="177"/>
          </rPr>
          <t>200K</t>
        </r>
      </text>
    </comment>
    <comment ref="C46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השם עודכן בתאום עם הנדסה</t>
        </r>
      </text>
    </comment>
    <comment ref="J6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28.9.17: עדכון נתונים
</t>
        </r>
      </text>
    </comment>
    <comment ref="I72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27.9.17: עדכון נתונים</t>
        </r>
      </text>
    </comment>
    <comment ref="J82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נתונים</t>
        </r>
      </text>
    </comment>
    <comment ref="J84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 עדכון נתונים</t>
        </r>
      </text>
    </comment>
  </commentList>
</comments>
</file>

<file path=xl/comments5.xml><?xml version="1.0" encoding="utf-8"?>
<comments xmlns="http://schemas.openxmlformats.org/spreadsheetml/2006/main">
  <authors>
    <author>ami</author>
    <author>Gizbarut-Orna Goldfriend</author>
  </authors>
  <commentList>
    <comment ref="N6" authorId="0">
      <text>
        <r>
          <rPr>
            <b/>
            <sz val="9"/>
            <color indexed="81"/>
            <rFont val="Tahoma"/>
            <family val="2"/>
          </rPr>
          <t>ami:</t>
        </r>
        <r>
          <rPr>
            <sz val="9"/>
            <color indexed="81"/>
            <rFont val="Tahoma"/>
            <family val="2"/>
          </rPr>
          <t xml:space="preserve">
אומדן מנטע
</t>
        </r>
      </text>
    </comment>
    <comment ref="Q1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התאגיד
</t>
        </r>
      </text>
    </comment>
    <comment ref="R1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התאגיד: 2.8 מלשח השלמה ל -4 </t>
        </r>
      </text>
    </comment>
    <comment ref="Z1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הקבורה</t>
        </r>
      </text>
    </comment>
    <comment ref="Z21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מפעל הפייס
</t>
        </r>
      </text>
    </comment>
    <comment ref="Z4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
</t>
        </r>
      </text>
    </comment>
    <comment ref="Q55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התקבלו 200 אלשח</t>
        </r>
      </text>
    </comment>
    <comment ref="Z56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
</t>
        </r>
      </text>
    </comment>
    <comment ref="Q59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ספטמבר : 200 . היתר 2,800 אלשח
</t>
        </r>
      </text>
    </comment>
    <comment ref="I65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29061 ₪ שייך לחב. לפיתוח "אופק"
</t>
        </r>
      </text>
    </comment>
    <comment ref="Z69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מים : הסכם פשרה המתגבש</t>
        </r>
      </text>
    </comment>
    <comment ref="Z7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טוטו</t>
        </r>
      </text>
    </comment>
    <comment ref="Z73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  <comment ref="Q97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בספטמבר  9.3 מלשח  ובהמשך 10 מלשח מקעפ
</t>
        </r>
      </text>
    </comment>
    <comment ref="Z97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רמ"י</t>
        </r>
      </text>
    </comment>
    <comment ref="S99" authorId="0">
      <text>
        <r>
          <rPr>
            <b/>
            <sz val="9"/>
            <color indexed="81"/>
            <rFont val="Tahoma"/>
            <family val="2"/>
          </rPr>
          <t>ami:</t>
        </r>
        <r>
          <rPr>
            <sz val="9"/>
            <color indexed="81"/>
            <rFont val="Tahoma"/>
            <family val="2"/>
          </rPr>
          <t xml:space="preserve">
תתקבל הרשאה 2017</t>
        </r>
      </text>
    </comment>
    <comment ref="Z99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26.9.17 : 70 מליון ₪ לחלק ל - 1.075 ובניכוי 30 מלשח שהתקבלו ב - 2017.
</t>
        </r>
      </text>
    </comment>
    <comment ref="Z101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
</t>
        </r>
      </text>
    </comment>
    <comment ref="Z102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N104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27.9.17: עדכון עמי. נדחה ל -2018</t>
        </r>
      </text>
    </comment>
    <comment ref="R104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קע"פ : 150 אלשח . היתר רמ"י
ללא רמי</t>
        </r>
      </text>
    </comment>
    <comment ref="Z104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Z106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: 1.625 בדומה ל -2017. רמ"י : עבר פרטני ב - 2017
</t>
        </r>
      </text>
    </comment>
    <comment ref="Q109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הזרמת ספטמבר
</t>
        </r>
      </text>
    </comment>
    <comment ref="Z109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Z110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יש הרשאה נוספת  בגין הטיית הנחל של 6.7 מלשח שניתנה בהרשאה מס' 4501454085' </t>
        </r>
      </text>
    </comment>
    <comment ref="Q112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הזרמת ספטמבר</t>
        </r>
      </text>
    </comment>
    <comment ref="Z112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Q115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כולל מימון רמ"י
</t>
        </r>
      </text>
    </comment>
    <comment ref="Z115" authorId="1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</commentList>
</comments>
</file>

<file path=xl/comments6.xml><?xml version="1.0" encoding="utf-8"?>
<comments xmlns="http://schemas.openxmlformats.org/spreadsheetml/2006/main">
  <authors>
    <author>Gizbarut-Orna Goldfriend</author>
    <author>ami</author>
  </authors>
  <commentList>
    <comment ref="Z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
</t>
        </r>
      </text>
    </comment>
    <comment ref="Z1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  <comment ref="N19" authorId="1">
      <text>
        <r>
          <rPr>
            <b/>
            <sz val="9"/>
            <color indexed="81"/>
            <rFont val="Tahoma"/>
            <family val="2"/>
          </rPr>
          <t>ami:</t>
        </r>
        <r>
          <rPr>
            <sz val="9"/>
            <color indexed="81"/>
            <rFont val="Tahoma"/>
            <family val="2"/>
          </rPr>
          <t xml:space="preserve">
אומדן מנטע
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בספטמבר  9.3 מלשח  ובהמשך 10 מלשח מקעפ
</t>
        </r>
      </text>
    </comment>
    <comment ref="Z3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רמ"י</t>
        </r>
      </text>
    </comment>
    <comment ref="Q5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התקבלו 200 אלשח</t>
        </r>
      </text>
    </comment>
    <comment ref="S52" authorId="1">
      <text>
        <r>
          <rPr>
            <b/>
            <sz val="9"/>
            <color indexed="81"/>
            <rFont val="Tahoma"/>
            <family val="2"/>
          </rPr>
          <t>ami:</t>
        </r>
        <r>
          <rPr>
            <sz val="9"/>
            <color indexed="81"/>
            <rFont val="Tahoma"/>
            <family val="2"/>
          </rPr>
          <t xml:space="preserve">
תתקבל הרשאה 2017</t>
        </r>
      </text>
    </comment>
    <comment ref="Z5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26.9.17 : 70 מליון ₪ לחלק ל - 1.075 ובניכוי 30 מלשח שהתקבלו ב - 2017.
</t>
        </r>
      </text>
    </comment>
    <comment ref="Z5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מים : הסכם פשרה המתגבש</t>
        </r>
      </text>
    </comment>
    <comment ref="Z5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  <comment ref="Q6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כולל מימון רמ"י
</t>
        </r>
      </text>
    </comment>
    <comment ref="Z6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
</t>
        </r>
      </text>
    </comment>
    <comment ref="Q6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התאגיד
</t>
        </r>
      </text>
    </comment>
    <comment ref="R6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התאגיד: 2.8 מלשח השלמה ל -4 </t>
        </r>
      </text>
    </comment>
    <comment ref="Z6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הקבורה</t>
        </r>
      </text>
    </comment>
    <comment ref="Z7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
</t>
        </r>
      </text>
    </comment>
    <comment ref="I7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29061 ₪ שייך לחב. לפיתוח "אופק"
</t>
        </r>
      </text>
    </comment>
    <comment ref="Z7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
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N8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27.9.17: עדכון עמי. נדחה ל -2018</t>
        </r>
      </text>
    </comment>
    <comment ref="R8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קע"פ : 150 אלשח . היתר רמ"י
ללא רמי</t>
        </r>
      </text>
    </comment>
    <comment ref="Z8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Z8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: 1.625 בדומה ל -2017. רמ"י : עבר פרטני ב - 2017
</t>
        </r>
      </text>
    </comment>
    <comment ref="Q8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הזרמת ספטמבר
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Q8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הזרמת ספטמבר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Z9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מפעל הפייס
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ספטמבר : 200 . היתר 2,800 אלשח
</t>
        </r>
      </text>
    </comment>
    <comment ref="Z11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טוטו</t>
        </r>
      </text>
    </comment>
  </commentList>
</comments>
</file>

<file path=xl/comments7.xml><?xml version="1.0" encoding="utf-8"?>
<comments xmlns="http://schemas.openxmlformats.org/spreadsheetml/2006/main">
  <authors>
    <author>Gizbarut-Orna Goldfriend</author>
    <author>Logistic-Tali Sherpsky</author>
  </authors>
  <commentList>
    <comment ref="V24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מיון סכום  קע"פ מול קרן עודפים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מיון סכום קעפ מול ק. עודפים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26.9.17: עדכון נתוני ביצוע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מוין סכום קעפ מול ק. עודפים. עפ"י נתונים במערכת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קע"פ מול ק. עודפים .ראה 2017</t>
        </r>
      </text>
    </comment>
    <comment ref="H4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25.9.17 : עדכון נתוני ביצוע
</t>
        </r>
      </text>
    </comment>
    <comment ref="V46" authorId="1">
      <text>
        <r>
          <rPr>
            <b/>
            <sz val="9"/>
            <color indexed="81"/>
            <rFont val="Tahoma"/>
            <family val="2"/>
          </rPr>
          <t>Logistic-Tali Sherpsky:</t>
        </r>
        <r>
          <rPr>
            <sz val="9"/>
            <color indexed="81"/>
            <rFont val="Tahoma"/>
            <family val="2"/>
          </rPr>
          <t xml:space="preserve">
בניית אולם ספורט 650 מ"ר, תוספת בניה 
22.10.17 עודכן סכום מיון קע"פ מול ק. עודפים</t>
        </r>
      </text>
    </comment>
    <comment ref="R5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הזרמה ספטמבר  2 מלשח
הזרמה נובמבר 1.5 מלשח
</t>
        </r>
      </text>
    </comment>
    <comment ref="Z5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הסכום עוגל לפי סכום הזכיה
</t>
        </r>
      </text>
    </comment>
    <comment ref="V6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מיון סכום מול ק.
 עודפים
</t>
        </r>
      </text>
    </comment>
    <comment ref="V6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2.10.17 עודכן סכום מיון קעפ מול ק. עודפים ראה עפ"י מצב קיים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הזרמה ספטמבר  2 מלשח
הזרמה נובמבר 1.5 מלשח
</t>
        </r>
      </text>
    </comment>
    <comment ref="V7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סכום מיון קע"פ מול ק. עודפים</t>
        </r>
      </text>
    </comment>
    <comment ref="V7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קעפ מול ק. עודפים לפי הפרוט שצורף רצפה, מלתחות ובצ"מ</t>
        </r>
      </text>
    </comment>
  </commentList>
</comments>
</file>

<file path=xl/comments8.xml><?xml version="1.0" encoding="utf-8"?>
<comments xmlns="http://schemas.openxmlformats.org/spreadsheetml/2006/main">
  <authors>
    <author>Gizbarut-Orna Goldfriend</author>
    <author>Logistic-Tali Sherpsky</author>
  </authors>
  <commentList>
    <comment ref="V6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2.10.17 עודכן סכום מיון קעפ מול ק. עודפים ראה עפ"י מצב קיים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מיון סכום  קע"פ מול קרן עודפים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מיון סכום קעפ מול ק. עודפים</t>
        </r>
      </text>
    </comment>
    <comment ref="H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26.9.17: עדכון נתוני ביצוע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מוין סכום קעפ מול ק. עודפים. עפ"י נתונים במערכת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הזרמה ספטמבר  2 מלשח
הזרמה נובמבר 1.5 מלשח
</t>
        </r>
      </text>
    </comment>
    <comment ref="Z2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הסכום עוגל לפי סכום הזכיה
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קע"פ מול ק. עודפים .ראה 2017</t>
        </r>
      </text>
    </comment>
    <comment ref="H43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25.9.17 : עדכון נתוני ביצוע
</t>
        </r>
      </text>
    </comment>
    <comment ref="V46" authorId="1">
      <text>
        <r>
          <rPr>
            <b/>
            <sz val="9"/>
            <color indexed="81"/>
            <rFont val="Tahoma"/>
            <family val="2"/>
          </rPr>
          <t>Logistic-Tali Sherpsky:</t>
        </r>
        <r>
          <rPr>
            <sz val="9"/>
            <color indexed="81"/>
            <rFont val="Tahoma"/>
            <family val="2"/>
          </rPr>
          <t xml:space="preserve">
בניית אולם ספורט 650 מ"ר, תוספת בניה 
22.10.17 עודכן סכום מיון קע"פ מול ק. עודפים</t>
        </r>
      </text>
    </comment>
    <comment ref="V61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עדכון סכום מיון קע"פ מול ק. עודפים</t>
        </r>
      </text>
    </comment>
    <comment ref="V6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מיון סכום מול ק.
 עודפים
</t>
        </r>
      </text>
    </comment>
    <comment ref="V68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22.10.17 עודכן סכום מיון קעפ מול ק. עודפים לפי הפרוט שצורף רצפה, מלתחות ובצ"מ</t>
        </r>
      </text>
    </comment>
    <comment ref="R89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הזרמה ספטמבר  2 מלשח
הזרמה נובמבר 1.5 מלשח
</t>
        </r>
      </text>
    </comment>
  </commentList>
</comments>
</file>

<file path=xl/comments9.xml><?xml version="1.0" encoding="utf-8"?>
<comments xmlns="http://schemas.openxmlformats.org/spreadsheetml/2006/main">
  <authors>
    <author>Gizbarut-Orna Goldfriend</author>
  </authors>
  <commentList>
    <comment ref="Z7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המדע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ככל שיידרש 65 אלשח  בשנת 2017 - מהרזרבה
מוצע
</t>
        </r>
      </text>
    </comment>
  </commentList>
</comments>
</file>

<file path=xl/sharedStrings.xml><?xml version="1.0" encoding="utf-8"?>
<sst xmlns="http://schemas.openxmlformats.org/spreadsheetml/2006/main" count="4333" uniqueCount="1182">
  <si>
    <t>מס' סידורי</t>
  </si>
  <si>
    <t>מס' תב"ר</t>
  </si>
  <si>
    <t>שם תב"ר</t>
  </si>
  <si>
    <t>אומדן כולל לפרוקט</t>
  </si>
  <si>
    <t>אומדן מאושר במועצה</t>
  </si>
  <si>
    <t>תוספת לאומדן לאישור המועצה</t>
  </si>
  <si>
    <t xml:space="preserve">תקציב מאושר </t>
  </si>
  <si>
    <t>ביצוע בפועל</t>
  </si>
  <si>
    <t>שריון מערך הרכש</t>
  </si>
  <si>
    <t>שריון מערך חוזים</t>
  </si>
  <si>
    <t>סה"כ שריון התחייבויות</t>
  </si>
  <si>
    <t>סה"כ ביצוע</t>
  </si>
  <si>
    <t>יתרת תקציב</t>
  </si>
  <si>
    <t>קרן עבודות פיתוח</t>
  </si>
  <si>
    <t>קרן עודפי תקציב רגיל</t>
  </si>
  <si>
    <t>קרן רכוש</t>
  </si>
  <si>
    <t>פרק תב"ר</t>
  </si>
  <si>
    <t>תכנון מתחם הר' 2200</t>
  </si>
  <si>
    <t>תב"עות קטנות</t>
  </si>
  <si>
    <t>תב"ע שיקום חופי הרצליה</t>
  </si>
  <si>
    <t>תב"ע הרחבת רח' שלמה המלך</t>
  </si>
  <si>
    <t>תמ"א 38</t>
  </si>
  <si>
    <t>קשר גשר</t>
  </si>
  <si>
    <t>תכנון פרויקטים פינוי בינוי</t>
  </si>
  <si>
    <t>התחדשות עירונית</t>
  </si>
  <si>
    <t>פינוי בינוי מעונות שרה</t>
  </si>
  <si>
    <t>תב"ע 2159</t>
  </si>
  <si>
    <t>מסמכי מדיניות להתחדשות עירונית בשכונות</t>
  </si>
  <si>
    <t>תב"ע לדיור בר השגה ברב קוק</t>
  </si>
  <si>
    <t>תוכנית אסטרטגית להתי' עירונית במרכז העיר</t>
  </si>
  <si>
    <t>תוכנית אסטרטגית להתי' עירונית באזהת"ש</t>
  </si>
  <si>
    <t>תוכנית אסטרטגית לחידוש מרכזים מסחריים בשכונות</t>
  </si>
  <si>
    <t>תב"ע חניון שטח מרינה לי 2073</t>
  </si>
  <si>
    <t>בקשות להיתר בלתי צפויות</t>
  </si>
  <si>
    <t>מתחם הבריגדה מתחם הר' 1960</t>
  </si>
  <si>
    <t>מחלף הרב מכר</t>
  </si>
  <si>
    <t>פיתוח מתחם אלוני ים הר' 2030</t>
  </si>
  <si>
    <t>רח' ז'בוטינסקי אלתרמן הבריגדה</t>
  </si>
  <si>
    <t>פיתוח מתחם "מרינה לי"</t>
  </si>
  <si>
    <t>מרכז תחבורה חדש</t>
  </si>
  <si>
    <t>תכנון חניון במתחם אגד</t>
  </si>
  <si>
    <t>יעודי קרקע -מפת בסיס</t>
  </si>
  <si>
    <t>עבודות ניקוז בעיר</t>
  </si>
  <si>
    <t>עבודות פיתוח ותשתיות קטנות</t>
  </si>
  <si>
    <t>פרויקטים תחבורתיים בעיר</t>
  </si>
  <si>
    <t>תכנונים כלליים</t>
  </si>
  <si>
    <t>השלמת מבנה העיריה החדש</t>
  </si>
  <si>
    <t>מתחם נוף ים פיתוח</t>
  </si>
  <si>
    <t>מתחם יהודה המכבי וזוהר טל</t>
  </si>
  <si>
    <t>ליווי תשתיות לאומיות</t>
  </si>
  <si>
    <t>רחובות תדהר קורן ואנה פרנק</t>
  </si>
  <si>
    <t>פתוח קטעי רח' דרך ירושלים גולומב</t>
  </si>
  <si>
    <t>רחוב בר כוכבא</t>
  </si>
  <si>
    <t>העתקות פרויקטים שונים</t>
  </si>
  <si>
    <t>פיתוח רח' אבוקה מולדת</t>
  </si>
  <si>
    <t>חיבור גשר הולכי רגל כביש 20</t>
  </si>
  <si>
    <t>צומת סוקולוב בן גוריון</t>
  </si>
  <si>
    <t>תכנון בנייה ציבורית</t>
  </si>
  <si>
    <t>מערכת בקרת רמזורים</t>
  </si>
  <si>
    <t>תכנון דיור בר השגה ברב קוק</t>
  </si>
  <si>
    <t>תכנון דיור בר השגה בשכונת ויצמן</t>
  </si>
  <si>
    <t>החלפת מדרכות</t>
  </si>
  <si>
    <t>מתחם הגאון מוילנא חתם סופר</t>
  </si>
  <si>
    <t>פ.מתחם רזיאל מע' תב"ע 1706</t>
  </si>
  <si>
    <t>חניונים ברחבי העיר</t>
  </si>
  <si>
    <t>אולם ספורט בי"ס וולפסון</t>
  </si>
  <si>
    <t>רח' גבעת החלומות פיתוח</t>
  </si>
  <si>
    <t>פארק הבאסה שלב ב'</t>
  </si>
  <si>
    <t>שצ"פ אל על והמינהרה</t>
  </si>
  <si>
    <t>ספורטק שלב ג'</t>
  </si>
  <si>
    <t>שדרוג הארכיב</t>
  </si>
  <si>
    <t>הוצאות בקשר עם תביעות סעיף 197</t>
  </si>
  <si>
    <t>פיתוח פארק שלב ג'</t>
  </si>
  <si>
    <t>הוצאות אכיפה-דירות נופש במרינה</t>
  </si>
  <si>
    <t>כיכר בן גוריון הבנים</t>
  </si>
  <si>
    <t>צומת מנדבלט שמואל הנגיד</t>
  </si>
  <si>
    <t>הסדרת תעלה ותפיסת קיץ בר כוכבא</t>
  </si>
  <si>
    <t>מתקן משחקים פארק-תיקון</t>
  </si>
  <si>
    <t>פיתוח מדרכה סמוך למוסך דן</t>
  </si>
  <si>
    <t>פיתוח פארק הבאסה</t>
  </si>
  <si>
    <t>מתחם רחוב משה</t>
  </si>
  <si>
    <t>פרויקט   G I.S עירוני</t>
  </si>
  <si>
    <t xml:space="preserve">       </t>
  </si>
  <si>
    <t>סה"כ הנדסה</t>
  </si>
  <si>
    <t>תכנון ייעוץ הנדסי "סל"</t>
  </si>
  <si>
    <t>החלפת גגות אסבסט</t>
  </si>
  <si>
    <t>שיפוץ מבני דת ציבוריים</t>
  </si>
  <si>
    <t>שיפוצים מוס"ח תוכנית אב</t>
  </si>
  <si>
    <t>בטיחות אש במוס"ח</t>
  </si>
  <si>
    <t>התקנה שדרוג מזגנים במוס' העיריה</t>
  </si>
  <si>
    <t>מיזוג אוויר במוס"ח</t>
  </si>
  <si>
    <t>צביעה יסודית גנ"י ברחבי העיר</t>
  </si>
  <si>
    <t>הצללות בי"ס וגנ"י</t>
  </si>
  <si>
    <t>החלפת חול בארגזי חול</t>
  </si>
  <si>
    <t>בטיחות מוס"ח</t>
  </si>
  <si>
    <t>גידור מוס"ח</t>
  </si>
  <si>
    <t>ריהוט גנ"י</t>
  </si>
  <si>
    <t>הסדרת חניונים ברחבי העיר</t>
  </si>
  <si>
    <t>שיפוץ מבני תנו"ס</t>
  </si>
  <si>
    <t>התקנת מצלמות ברחבי העיר</t>
  </si>
  <si>
    <t>עבודות שונות בפארק הרצליה</t>
  </si>
  <si>
    <t>שדרוג מקלטים ציבוריים</t>
  </si>
  <si>
    <t>שיפוצים מוס"ח 2014</t>
  </si>
  <si>
    <t>עבודות התאמה לתקן חדש מ. ספורט</t>
  </si>
  <si>
    <t>רכישת מחסני חצר לגנ"י</t>
  </si>
  <si>
    <t>שיפוץ גני ילדים</t>
  </si>
  <si>
    <t>סה"כ ת.ב.ל</t>
  </si>
  <si>
    <t>גידור שיפוץ גדרות מ.ספורט</t>
  </si>
  <si>
    <t>הצטיידות מעון יום</t>
  </si>
  <si>
    <t>הצטיידות מבנה תרבות עירוני</t>
  </si>
  <si>
    <t>פרויקט שיגור לווין 2 דוכיפת 2</t>
  </si>
  <si>
    <t>רכישת כלי נגינה בקונסבטוריון</t>
  </si>
  <si>
    <t>רכישת מכשירי החייאה עפ"י חוק</t>
  </si>
  <si>
    <t>הצטידות כיתות חדשות בי"ס</t>
  </si>
  <si>
    <t>מתקני כושר חוף הים</t>
  </si>
  <si>
    <t>רכישת 2 טרקטורים רשות החופים</t>
  </si>
  <si>
    <t>אסדות הצלה לאופנועי ים</t>
  </si>
  <si>
    <t>פיתוח חופי רחצה 2014/2015</t>
  </si>
  <si>
    <t>גידור חופי רחצה</t>
  </si>
  <si>
    <t>ציוד הצלה 2014</t>
  </si>
  <si>
    <t>רכב מיול כולל זיווד 2014</t>
  </si>
  <si>
    <t>סה"כ חופים</t>
  </si>
  <si>
    <t>מדידות נכסים לחיוב היטלי פיתוח</t>
  </si>
  <si>
    <t>בדיקות חיוב להיטלי פיתוח</t>
  </si>
  <si>
    <t>הפרשה בגין תביעות תלויות</t>
  </si>
  <si>
    <t>הלוואה לטובת אוצר המדינה</t>
  </si>
  <si>
    <t>סה"כ כללי</t>
  </si>
  <si>
    <t>שימור רצועת החוף</t>
  </si>
  <si>
    <t>יער עירוני וגינות קהילתיות</t>
  </si>
  <si>
    <t>תוכ' אב להפחתת זיהום אויר</t>
  </si>
  <si>
    <t>הפרדה פסולת במקור</t>
  </si>
  <si>
    <t>הכנת תוכנית אב לקיימות בעיריית</t>
  </si>
  <si>
    <t>הטמעת עקרונות הקיימות בחינוך</t>
  </si>
  <si>
    <t>רכישת מתקנים לאיסוף פסולת אלקט</t>
  </si>
  <si>
    <t>סה"כ איכות הסביבה</t>
  </si>
  <si>
    <t>שדרוג מערכות הליבה</t>
  </si>
  <si>
    <t>מחשב לכל גן</t>
  </si>
  <si>
    <t>סה"כ מיחשוב ומע. מידע</t>
  </si>
  <si>
    <t>שיפוץ דירות עמידר</t>
  </si>
  <si>
    <t>שיפוץ חזיתות "המרכז החדש"</t>
  </si>
  <si>
    <t>חזיתות בתים שיפוץ</t>
  </si>
  <si>
    <t>סה"כ שיפוץ חיזתות/בתים עמידר</t>
  </si>
  <si>
    <t>פצוי והפקעה ב-6525/6 הר' 1704</t>
  </si>
  <si>
    <t>רכישת חנויות במ.דגניה</t>
  </si>
  <si>
    <t>בית הרמלין-חלקה 92-גוש 6592</t>
  </si>
  <si>
    <t>פיצויי הפקעה - פארק הבאסה</t>
  </si>
  <si>
    <t>עלויות רכישת מקרקעין</t>
  </si>
  <si>
    <t>פיצויי הפקעה הר'1941 פארק הבאסה</t>
  </si>
  <si>
    <t>פיצויי הפקעה גוש 6525 חל' 130,131</t>
  </si>
  <si>
    <t>תביעה פינוי גוש 6521 רחמים</t>
  </si>
  <si>
    <t>שיפוץ ב"מ ספריה+חניון גוש 6532 -346</t>
  </si>
  <si>
    <t>סה"כ נכסים וביטוח</t>
  </si>
  <si>
    <t>שד' מע.השקייה ממוחשבות מוס"ח</t>
  </si>
  <si>
    <t>המרכז החדש-ריהוט רחוב וגן</t>
  </si>
  <si>
    <t>הנגשת גינות ציבוריות</t>
  </si>
  <si>
    <t>הקמת גינות לכלבים</t>
  </si>
  <si>
    <t>סככות הצללה לגני משחקים</t>
  </si>
  <si>
    <t>שדרוג תשתיות משטחי גומי גינות</t>
  </si>
  <si>
    <t>נטיעת עצים ברחבי העיר</t>
  </si>
  <si>
    <t>ריהוט משרד אגף שאיפה</t>
  </si>
  <si>
    <t>ריהוט רחוב</t>
  </si>
  <si>
    <t>סקר עצים מסוכנים ברחבי העיר</t>
  </si>
  <si>
    <t>סה"כ ש.א.י.פ.ה</t>
  </si>
  <si>
    <t>מערכת כבישים בא.ת.מערבי</t>
  </si>
  <si>
    <t>פתוח מתחם השמעוני תב"ע 1918</t>
  </si>
  <si>
    <t>מתחם שלמה המלך ומלכת אסתר</t>
  </si>
  <si>
    <t>פיתוח מתחם המסילה ודב הוז</t>
  </si>
  <si>
    <t>בית העלמין החדש</t>
  </si>
  <si>
    <t>מתחם המשתלה  תבע 1874</t>
  </si>
  <si>
    <t>פיתוח מתחם בנחלת עדה</t>
  </si>
  <si>
    <t>עבודות פיתוח קטנות</t>
  </si>
  <si>
    <t>מתחם זרובבל</t>
  </si>
  <si>
    <t>כצלנסון-פיתוח</t>
  </si>
  <si>
    <t xml:space="preserve">הקמת בריכה ומרכז לאומנות </t>
  </si>
  <si>
    <t>כלביה</t>
  </si>
  <si>
    <t>מבנה תרבות במערב העיר</t>
  </si>
  <si>
    <t>עבודות פינוי ומיחזור הר' 1903</t>
  </si>
  <si>
    <t>הקמת מקווה רח' אהרון</t>
  </si>
  <si>
    <t>שבט צופים</t>
  </si>
  <si>
    <t>בית הגמלאי</t>
  </si>
  <si>
    <t>סה"כ החברה לפיתוח הרצליה</t>
  </si>
  <si>
    <t>תב"ע חוף הים</t>
  </si>
  <si>
    <t>סה"כ החברה לפיתוח התיירות</t>
  </si>
  <si>
    <t>קע"פ</t>
  </si>
  <si>
    <t>אחרים</t>
  </si>
  <si>
    <t>ש.א.י.פ.ה</t>
  </si>
  <si>
    <t>חופים</t>
  </si>
  <si>
    <t>מתקני משחק ,ריהוט גן ומשטחי גומי</t>
  </si>
  <si>
    <t>איכות הסביבה</t>
  </si>
  <si>
    <t>ריכוז לפי אגפים/יחידות</t>
  </si>
  <si>
    <t>מרכיבי העלות</t>
  </si>
  <si>
    <t>מקורות מימון לפרויקט</t>
  </si>
  <si>
    <t>אגף/יחידה</t>
  </si>
  <si>
    <t>אומדן כולל לפרויקט</t>
  </si>
  <si>
    <t>תוספת לאומדן  לאישור מועצה</t>
  </si>
  <si>
    <t xml:space="preserve">יתרת תקציב 
</t>
  </si>
  <si>
    <t xml:space="preserve">אגף הנדסה </t>
  </si>
  <si>
    <t>החב' לפיתוח הרצליה</t>
  </si>
  <si>
    <t xml:space="preserve">אגף ת.ב.ל </t>
  </si>
  <si>
    <t>אגף חינוך ,רווחה וספורט</t>
  </si>
  <si>
    <t xml:space="preserve">אגף ש.א.י.פ.ה </t>
  </si>
  <si>
    <t xml:space="preserve">חופים </t>
  </si>
  <si>
    <t xml:space="preserve">איכות הסביבה </t>
  </si>
  <si>
    <t>החברה לפיתוח התיירות</t>
  </si>
  <si>
    <t xml:space="preserve">מיחשוב ומע. מידע </t>
  </si>
  <si>
    <t xml:space="preserve">מח' נכסים וביטוח </t>
  </si>
  <si>
    <t xml:space="preserve">שיפוץ חזיתות/עמידר </t>
  </si>
  <si>
    <t xml:space="preserve">כללי </t>
  </si>
  <si>
    <t>סה"כ</t>
  </si>
  <si>
    <t>קרן עודפי ת.ר.</t>
  </si>
  <si>
    <t xml:space="preserve">יתרת מקורות מימון </t>
  </si>
  <si>
    <t>הפרש עודף (חוסר)</t>
  </si>
  <si>
    <t xml:space="preserve">תקציב מאושר  </t>
  </si>
  <si>
    <t>תב"ע לדיור בר השגה בשמשון הגיבור</t>
  </si>
  <si>
    <t>צפון הרצליה הר' 2035</t>
  </si>
  <si>
    <t>הסדרת שצ"פ למגורים הר' 2257</t>
  </si>
  <si>
    <t>פיתוח מתחם גליל ים הר' 1985 א'</t>
  </si>
  <si>
    <t>פיתוח מתחם המכללות הר' 1920/1</t>
  </si>
  <si>
    <t>פתוח מתחם הר' 1972 תחנה מרכזית</t>
  </si>
  <si>
    <t>רחוב החרש</t>
  </si>
  <si>
    <t>חניון פדקו</t>
  </si>
  <si>
    <t>תכנון מבנה מעונות הסטודנטים</t>
  </si>
  <si>
    <t>שיקום האגם בפארק</t>
  </si>
  <si>
    <t>החברה לפיתוח התיירות הרצליה</t>
  </si>
  <si>
    <t>הקמת בריכה לימודית במרכז הספורט החדש</t>
  </si>
  <si>
    <t>מחלקת נכסים וביטוח</t>
  </si>
  <si>
    <t>שיפוץ חזיתות/בתים עמידר</t>
  </si>
  <si>
    <t>כללי</t>
  </si>
  <si>
    <t>שיפוץ ובינוי נכסים עירוניים כולל תשתיות</t>
  </si>
  <si>
    <t>זרובבל השלמת מדרכות בכביש 100</t>
  </si>
  <si>
    <r>
      <t>שדרוג מערכת השקייה ממוחשבות (</t>
    </r>
    <r>
      <rPr>
        <b/>
        <sz val="11"/>
        <rFont val="David"/>
        <family val="2"/>
        <charset val="177"/>
      </rPr>
      <t>חדשים)</t>
    </r>
  </si>
  <si>
    <r>
      <t>שיקום ,שד' ,הק' ונגישות גינות ציבוריות (</t>
    </r>
    <r>
      <rPr>
        <b/>
        <sz val="11"/>
        <rFont val="David"/>
        <family val="2"/>
        <charset val="177"/>
      </rPr>
      <t>נגישות גינות)</t>
    </r>
  </si>
  <si>
    <t>מבני ציבור רשות מתחם גליל ים</t>
  </si>
  <si>
    <t>מועדון פטנג בספורטק</t>
  </si>
  <si>
    <t>תב"ע קרית השחקים</t>
  </si>
  <si>
    <t>פית' מדרגות קיר תומך פנחס רוזן</t>
  </si>
  <si>
    <t>שביל אופניים הרצליה-ת"א הפקעות</t>
  </si>
  <si>
    <t>תכנון דיור בן ציון מיכאלי</t>
  </si>
  <si>
    <t>פיתוח רח' צהל</t>
  </si>
  <si>
    <t>הקמת חניון ציבורי רח' ספיר</t>
  </si>
  <si>
    <t>הקמת חניון ציבורי ליד סובארו</t>
  </si>
  <si>
    <t>שינוי רמזורים מדינת היהודים</t>
  </si>
  <si>
    <t>שיפוץ המקווה העירוני</t>
  </si>
  <si>
    <t>החלפת צ'ילרים אשכול פייס</t>
  </si>
  <si>
    <t>הקמת גינות בי"ס קהילתיות</t>
  </si>
  <si>
    <t>פיצויי הפקעה פארק הבאסה - פס"ד</t>
  </si>
  <si>
    <t>רכ' חז' חנות ד.מ.962/0766פינקו</t>
  </si>
  <si>
    <t>פיתוח שצ"פים במורדי הגטאות</t>
  </si>
  <si>
    <t>מתנ"ס נווה ישראל</t>
  </si>
  <si>
    <t>פיתוח מ.מתנס נווה עמל ומ.טניס</t>
  </si>
  <si>
    <t>רחבת בנין עיריה חדש</t>
  </si>
  <si>
    <t>תב"עות הר' 1985 ג'ד'ה'</t>
  </si>
  <si>
    <t>תוכנית מתאר ארצית הגנה מצוקים</t>
  </si>
  <si>
    <t>תב"ע תחנה מרכזית חדשה זמנית</t>
  </si>
  <si>
    <t>פינוי בינוי מול התחנה</t>
  </si>
  <si>
    <t>פינוי בינוי סוקולוב שד ירושלים</t>
  </si>
  <si>
    <t>פיתוח מתחם אולפני הרצליה</t>
  </si>
  <si>
    <t>קו ניקוז שער הים</t>
  </si>
  <si>
    <t>פיתוח מתחם הר' 1903</t>
  </si>
  <si>
    <t>שימור אתרים</t>
  </si>
  <si>
    <t xml:space="preserve">פינוי בינוי צומת כדורי </t>
  </si>
  <si>
    <t>כיתות גן 4 שטח 302 גליל ים א'</t>
  </si>
  <si>
    <t>הס' צומת ברנר בר כוכבא בן גוריון</t>
  </si>
  <si>
    <t>שצ"פ מערב קיר אקוסטי גליל ים ב'</t>
  </si>
  <si>
    <t>מיזוג אוויר אולם ספורט אלון</t>
  </si>
  <si>
    <t>שדרוג האצטדיון+ שד' חווית צפיה</t>
  </si>
  <si>
    <t>פארק גליל ים שלב א'</t>
  </si>
  <si>
    <t>אולם ספורט חטיבת זאב</t>
  </si>
  <si>
    <t>בית כנסת "אור זרוע"-תוס.קומה</t>
  </si>
  <si>
    <t>חניונים הר'1900 -שינוי תב"ע</t>
  </si>
  <si>
    <t>דיור בר השגה</t>
  </si>
  <si>
    <t>שיפוץ חניון לב העיר</t>
  </si>
  <si>
    <t>בנית ספריה שטח 408 גליל ים ב'</t>
  </si>
  <si>
    <t>פיתוח גליל ים ב'</t>
  </si>
  <si>
    <t>עבודות הרחבה התאמה איצטדיון</t>
  </si>
  <si>
    <t>הנגשת בית ראשונים</t>
  </si>
  <si>
    <t>שיפוץ מבנה למרכז תרבות לצעירים</t>
  </si>
  <si>
    <t>הקמת בית אומנות וטבע בית קינן</t>
  </si>
  <si>
    <t>תכנון רכבת עילית איזור תעשיה</t>
  </si>
  <si>
    <t>הכנת תוכנית אב לשירותי חינוך</t>
  </si>
  <si>
    <t>פרויקטים קטנים רזרבה אגפית</t>
  </si>
  <si>
    <t>תיקון ליקויים ס. כיבוי אש בי"ס</t>
  </si>
  <si>
    <t>שיפוץ חטיבה צעירה ברנדייס</t>
  </si>
  <si>
    <t>שיפוצים שונים מתנ"ס יד התשעה</t>
  </si>
  <si>
    <t>הח' צנרת מים/כיבוי אש חט"ב זאב</t>
  </si>
  <si>
    <t>שדרוג שרותים בגנים</t>
  </si>
  <si>
    <t>שיפוץ ותוספת בניה בי"ס בר אילן</t>
  </si>
  <si>
    <t>תוספת בניה בי"ס אילנות</t>
  </si>
  <si>
    <t>שיפוץ בי"ס מפתן ארז</t>
  </si>
  <si>
    <t>תוספת בניה ביכנ עטרת יעקב</t>
  </si>
  <si>
    <t>התקנת מעלית בי"ס שז"ר</t>
  </si>
  <si>
    <t>שיפוץ מרכז קהילתי נחלת עדה</t>
  </si>
  <si>
    <t>מע. תאורה LED ברחבי העיר</t>
  </si>
  <si>
    <t>החל' צ'ילרים מוע.נוער,יד לבנים</t>
  </si>
  <si>
    <t>שיפוץ בית הכנסת הגדול</t>
  </si>
  <si>
    <t>התאמת מבנים כיתות בי"ס רמב"ם</t>
  </si>
  <si>
    <t>כיתות גן  4 שטח 408 גליל ים ב'</t>
  </si>
  <si>
    <t>קירוי והצללה מגרשי ספורט עירוני</t>
  </si>
  <si>
    <t>החלפת תאורה באולמות ספורט</t>
  </si>
  <si>
    <t>רכישת  מכשירים ייבוש ידיים  בי"ס</t>
  </si>
  <si>
    <t>שיפוץ מעבדות,קולנוע תיכון ראשונים</t>
  </si>
  <si>
    <t>הצטיידות גנ"י חדשים ח"ר,ח"מ</t>
  </si>
  <si>
    <t>חינוך</t>
  </si>
  <si>
    <t>סה"כ חינוך</t>
  </si>
  <si>
    <t>תנו"ס</t>
  </si>
  <si>
    <t>סה"כ תנו"ס</t>
  </si>
  <si>
    <t>סה"כ חינוך ותנו"ס</t>
  </si>
  <si>
    <t>גנרטורים מושתקים לחרום</t>
  </si>
  <si>
    <t>אגף בטחון, פיקוח  וסדר ציבורי</t>
  </si>
  <si>
    <t>סה"כ אגף בטחון פיקוח וסדר ציבורי</t>
  </si>
  <si>
    <t>תב"ע מרינה</t>
  </si>
  <si>
    <t>תל מיכל</t>
  </si>
  <si>
    <t>פיתוח גן לאומי אפולוניה</t>
  </si>
  <si>
    <t>חוף דרומי-כניסה חוף,טיילת העוגן</t>
  </si>
  <si>
    <t>פרויקטים סביבתיים</t>
  </si>
  <si>
    <t>ריהוט הצטידות כלביה חדשה</t>
  </si>
  <si>
    <t>תקשורת מיחשוב ומצלמות כלביה</t>
  </si>
  <si>
    <t>תוכנית שיווק והפרדת פסולת</t>
  </si>
  <si>
    <t>שיקום שכונות עירוני טיפול מרחב</t>
  </si>
  <si>
    <t>אופנוע ים</t>
  </si>
  <si>
    <t>שילוט חופי רחצה</t>
  </si>
  <si>
    <t>רכישת מיול תחזוקת חופי רחצה</t>
  </si>
  <si>
    <t>עבודות הגנה מצוקים וגידור חופי</t>
  </si>
  <si>
    <t>ציוד בטיחות לחופי רחצה</t>
  </si>
  <si>
    <t>מיול לפיקוח חופי רחצה</t>
  </si>
  <si>
    <t>כסאות ים 2 לנכים חופים</t>
  </si>
  <si>
    <t>ציוד הצלה חופי רחצה</t>
  </si>
  <si>
    <t>אופנוע ים חופי רחצה</t>
  </si>
  <si>
    <t>פיתוח חוף רחצה "חוף הכוכבים"</t>
  </si>
  <si>
    <t>פרויקט "הרצליה נקיה מאסבסט"</t>
  </si>
  <si>
    <t>פרויקט תכסיות וניתוח מרחבי</t>
  </si>
  <si>
    <t>פריסת סיבים אופטים ברחבי העיר</t>
  </si>
  <si>
    <t>אגף בטחון פיקוח וסדר ציבורי</t>
  </si>
  <si>
    <t>גן 3 כיתות 401 גליל ים ב'</t>
  </si>
  <si>
    <t>חדש</t>
  </si>
  <si>
    <t>כיתות מעון וגן שטח 303 גליל ים א'</t>
  </si>
  <si>
    <t>השקעה בתשתיות והרחבת  בחניונים</t>
  </si>
  <si>
    <t xml:space="preserve">חניון המוסכים-תכנון </t>
  </si>
  <si>
    <t>חניון המדע תכנון</t>
  </si>
  <si>
    <t>תוכנית אב לשילוט</t>
  </si>
  <si>
    <t>נגישות לאנשים עם מוגבלויות</t>
  </si>
  <si>
    <t>תכנון עיר</t>
  </si>
  <si>
    <t>תבע משולש המנהרה הר' 2350</t>
  </si>
  <si>
    <t>מתחם דן אכדייה ליווי תכנוני</t>
  </si>
  <si>
    <t>סה"כ תכנון עיר</t>
  </si>
  <si>
    <t>חידוש תוקף תכנית המתאר</t>
  </si>
  <si>
    <t>סה"כ התחדשות עירונית</t>
  </si>
  <si>
    <t xml:space="preserve">הערכות לפתיחת שנות הלימודים  </t>
  </si>
  <si>
    <t>שיפוץ בי"ס היובל</t>
  </si>
  <si>
    <t>שיפוצים ובטיחות אש מוזיאון</t>
  </si>
  <si>
    <t>התקנת מע. גילוי אש א.ס. היובל</t>
  </si>
  <si>
    <t>החלפת צילרים א.ס. נ. ישראל,סמדר ,נוף ים</t>
  </si>
  <si>
    <t>התאמות נגישות מוסדות חינוך</t>
  </si>
  <si>
    <t>שדרוג המרחב הציבורי</t>
  </si>
  <si>
    <t xml:space="preserve">תקרות אקוסטיות בגנ"י </t>
  </si>
  <si>
    <t>שיפוצי מוסדות חינוך 2015 (לב טוב ,גורדון)</t>
  </si>
  <si>
    <t>הצטיידות גנ"י ותיקים (מ. הפייס)</t>
  </si>
  <si>
    <t>פרוייקט לווין משותף הרצליה שער הנגב</t>
  </si>
  <si>
    <t>הצטידות חדשה בי"ס אופק</t>
  </si>
  <si>
    <t>הצטידות חדשה בי"ס לב טוב</t>
  </si>
  <si>
    <t>הצטידות חדשה בי"ס גורדון</t>
  </si>
  <si>
    <t>שדרוג סטודיו למחול בחטב בן גוריון</t>
  </si>
  <si>
    <r>
      <t>איטום אולם ספורט בן צבי</t>
    </r>
    <r>
      <rPr>
        <sz val="11"/>
        <color rgb="FFFF0000"/>
        <rFont val="David"/>
        <family val="2"/>
        <charset val="177"/>
      </rPr>
      <t xml:space="preserve"> </t>
    </r>
  </si>
  <si>
    <t xml:space="preserve">סירות מועדון ימי </t>
  </si>
  <si>
    <t>ק. עודפים</t>
  </si>
  <si>
    <t>פרטני</t>
  </si>
  <si>
    <t>מיזוג אוויר אולמות ספורט (אילנות,רעות)</t>
  </si>
  <si>
    <t>רכישת מיכלי אצירה לפסולת ומיחזור</t>
  </si>
  <si>
    <t>פיתוח חורשת נוף ים</t>
  </si>
  <si>
    <t>פיתוח גבעת הפרחים</t>
  </si>
  <si>
    <t>שילוט ברחבי העיר</t>
  </si>
  <si>
    <t>הקמת ביתן חובש "חוף השרון"</t>
  </si>
  <si>
    <t>ת.ע.</t>
  </si>
  <si>
    <t>סגירת תב"ר</t>
  </si>
  <si>
    <t>התקנת מערך מצלמות מבני ציבור ומוס"ח</t>
  </si>
  <si>
    <t>פיצויי הפקעה פטריאלי 6524/21,22</t>
  </si>
  <si>
    <t>פיצויי הפקעה ארז בן אהרון 6524/52</t>
  </si>
  <si>
    <t>פיצויי הפקעה הרשקוביץ שושנה 6524/58,68</t>
  </si>
  <si>
    <t>פרויקטים דחופים בצ"מ 2017/2018</t>
  </si>
  <si>
    <t>פיתוח ותשתיות חוף הכוכבים</t>
  </si>
  <si>
    <t>תב"ע גשר קטן במרינה</t>
  </si>
  <si>
    <t>תכנון תב"ע כיכר דה שליט</t>
  </si>
  <si>
    <t>אגף הנדסה</t>
  </si>
  <si>
    <t>איטום גגות (מוס"ח,מוס. עיריה)</t>
  </si>
  <si>
    <t>גשר מעל כביש 20</t>
  </si>
  <si>
    <t>גשר הולכי רגל מעל שבעת הכוכבים</t>
  </si>
  <si>
    <r>
      <t xml:space="preserve">מתחמי כושר </t>
    </r>
    <r>
      <rPr>
        <b/>
        <sz val="11"/>
        <color rgb="FFFF0000"/>
        <rFont val="David"/>
        <family val="2"/>
        <charset val="177"/>
      </rPr>
      <t xml:space="preserve"> </t>
    </r>
  </si>
  <si>
    <t>הכשרת חניון דניאל</t>
  </si>
  <si>
    <t xml:space="preserve">שדרוג חצרות במוס"ח </t>
  </si>
  <si>
    <r>
      <t xml:space="preserve">התקנת עמודי תאורה </t>
    </r>
    <r>
      <rPr>
        <strike/>
        <sz val="11"/>
        <rFont val="David"/>
        <family val="2"/>
        <charset val="177"/>
      </rPr>
      <t/>
    </r>
  </si>
  <si>
    <t>בניית גנ"י חדשים (מ. החינוך)</t>
  </si>
  <si>
    <t>נגישות ליקויי שמיעה (מ.החינוך)</t>
  </si>
  <si>
    <t xml:space="preserve">שיפוצים שונים מוס"ח </t>
  </si>
  <si>
    <t>הנגשת כיתות ליקויי שמיעה תשע"ה (מ.החנוך)</t>
  </si>
  <si>
    <t>הנגשת כיתות ליקויי שמיעה (מ.החינוך)</t>
  </si>
  <si>
    <t>הזרמה ספטמבר</t>
  </si>
  <si>
    <t>ספטמבר נוסף</t>
  </si>
  <si>
    <t>פיתוח טכנולוגיה עירונית קהילתית שיתופית</t>
  </si>
  <si>
    <t>שיפוץ בריכת נורדאו</t>
  </si>
  <si>
    <t>מתחם גליל ים</t>
  </si>
  <si>
    <t>סה"כ מתחם גליל ים</t>
  </si>
  <si>
    <t>הר' 2159 התחדשות עירונית יד 9</t>
  </si>
  <si>
    <t>איצטדיון כדורסל</t>
  </si>
  <si>
    <t>מתחם קמפוס יד גיורא</t>
  </si>
  <si>
    <t>חיבור שכונת גליל ים לנווה ישראל</t>
  </si>
  <si>
    <t xml:space="preserve">מגרש סימולציה לאופניים </t>
  </si>
  <si>
    <t xml:space="preserve">קע"פ - סכום הקיצוץ </t>
  </si>
  <si>
    <t>קע"פ - הצעה</t>
  </si>
  <si>
    <t>תוספת בניה בי"ס יוחנני</t>
  </si>
  <si>
    <t xml:space="preserve">תגבור מתחם הקראוונים </t>
  </si>
  <si>
    <t xml:space="preserve">התקנת סלים חדשים א.ס.רעות אלון </t>
  </si>
  <si>
    <t>תקרות אקוסטיות</t>
  </si>
  <si>
    <t xml:space="preserve">רכישת ציוד טיפול זיהום חוף ים </t>
  </si>
  <si>
    <t>הצעת התקציב הבלתי רגיל לשנת 2018</t>
  </si>
  <si>
    <t>יתרה לביצוע צפוי עד 31.12.2017</t>
  </si>
  <si>
    <t>אומדן לביצוע שנת 2018</t>
  </si>
  <si>
    <t>אומדן לביצוע שנת 2019 ואילך</t>
  </si>
  <si>
    <t>תקציב נוסף נדרש במסגרת תוכנית עבודה2017</t>
  </si>
  <si>
    <t>תקציב נוסף נדרש מעבר לתוכנית עבודה2017</t>
  </si>
  <si>
    <t>סה"כ תקציב נוסף נדרש 2017</t>
  </si>
  <si>
    <t>יתרת תקציב פנויה 31.12.2017</t>
  </si>
  <si>
    <t>תקציב נדרש 2018</t>
  </si>
  <si>
    <t xml:space="preserve">ליווי "מהיר" לעיר </t>
  </si>
  <si>
    <t>שריון מערך רכש</t>
  </si>
  <si>
    <t xml:space="preserve">תקציב נוסף נדרש במסגרת תוכנית עבודה 2017 </t>
  </si>
  <si>
    <t xml:space="preserve">תקציב נוסף נדרש מעבר לתוכנית עבודה 2017   </t>
  </si>
  <si>
    <t xml:space="preserve">מתחם נוריות  </t>
  </si>
  <si>
    <t xml:space="preserve">בניה חדשה בי"ס אופק </t>
  </si>
  <si>
    <t xml:space="preserve">תכנון מתחם אפולוניה </t>
  </si>
  <si>
    <t xml:space="preserve">קיריית החינוך </t>
  </si>
  <si>
    <t>שיפוץ הספריה בנורדאו</t>
  </si>
  <si>
    <t xml:space="preserve">התייעלות בתאורת חוץ עפ"י סקר כולל מוס. עירוניים </t>
  </si>
  <si>
    <t xml:space="preserve"> התקנת גופי תאורה בטכנולוגיה מתקדמת</t>
  </si>
  <si>
    <r>
      <t>פיר מעלית ומעלית בנין המועצה הדתית</t>
    </r>
    <r>
      <rPr>
        <b/>
        <sz val="11"/>
        <color rgb="FFFF0000"/>
        <rFont val="David"/>
        <family val="2"/>
        <charset val="177"/>
      </rPr>
      <t xml:space="preserve"> </t>
    </r>
  </si>
  <si>
    <t>שיפוץ בית חם לנערים</t>
  </si>
  <si>
    <t>בניית בי"ס ברחוב משה (ירוק)</t>
  </si>
  <si>
    <t xml:space="preserve">רכישת גנרטור לזמן חרום </t>
  </si>
  <si>
    <t>הקמת מערכות בטחוניות במוס. עיריה</t>
  </si>
  <si>
    <t>נגישות אקוסטית בי"ס</t>
  </si>
  <si>
    <t>הצטיידות חדשה בי"ס יוחנני</t>
  </si>
  <si>
    <t>הצטיידות מעבדות מגמות תיכון היובל</t>
  </si>
  <si>
    <t>שיפוץ מבני תרבות עירוניים</t>
  </si>
  <si>
    <t>ציפוי מגרשי ספורט</t>
  </si>
  <si>
    <t>פיתוח חופי רחצה 2017/2017</t>
  </si>
  <si>
    <t>שדרוג ריהוט רחוב אזור התעשיה</t>
  </si>
  <si>
    <t>פיתוח נופי דרך ירושלים</t>
  </si>
  <si>
    <t>פרוייקט השכרת אופניים</t>
  </si>
  <si>
    <t>ציוד הצלה בטיחות מ. הפנים 2016</t>
  </si>
  <si>
    <t>סככות צל חוף הכוכבים</t>
  </si>
  <si>
    <t>סוכת הצלה 2016</t>
  </si>
  <si>
    <t>שילוט 2016</t>
  </si>
  <si>
    <t>ציוד הצלה ובטיחות 2016</t>
  </si>
  <si>
    <t>תכנון תב"ע הסדרת ייעודי קרקע לפיתוח טיילת החוף</t>
  </si>
  <si>
    <t>בניה עצמית ליד המתחם הבינתחומי</t>
  </si>
  <si>
    <t>פרויקטים דחופים בצ"מ 2015/2017</t>
  </si>
  <si>
    <t>ü</t>
  </si>
  <si>
    <t>3 גנ"י במתחם אלתרמן</t>
  </si>
  <si>
    <t>תכנון מתנ"ס ברחוב המסילה</t>
  </si>
  <si>
    <t>החלפת עמודי תאורה באזה"ת</t>
  </si>
  <si>
    <t>החלפת עמודי מחסום באזה"ת</t>
  </si>
  <si>
    <t>הקמת אולמות ספורט הנגיד והנדיב</t>
  </si>
  <si>
    <t>ספטמבר</t>
  </si>
  <si>
    <t>החברה לפיתוח הרצליה בע"מ</t>
  </si>
  <si>
    <t xml:space="preserve">אומדן לביצוע שנת 2018 </t>
  </si>
  <si>
    <t>תקציב נוסף נדרש 2018</t>
  </si>
  <si>
    <t xml:space="preserve">יעודי קרקע -מפת בסיס </t>
  </si>
  <si>
    <t>תב"ע תחנה מרכזית חדשה זמנית-שימוש חורג</t>
  </si>
  <si>
    <r>
      <rPr>
        <sz val="11"/>
        <rFont val="David"/>
        <family val="2"/>
        <charset val="1"/>
      </rPr>
      <t xml:space="preserve">תכנון </t>
    </r>
    <r>
      <rPr>
        <sz val="11"/>
        <rFont val="David"/>
        <family val="2"/>
        <charset val="177"/>
      </rPr>
      <t>שינוי גבולות העיר</t>
    </r>
  </si>
  <si>
    <t xml:space="preserve">התחדשות עירונית  </t>
  </si>
  <si>
    <t>אגף ת.ב.ל</t>
  </si>
  <si>
    <t>שדרוג כבישים ומדרכות</t>
  </si>
  <si>
    <t>שיפוץ מעבדת רובוטיקה בתיכון הנדסאים</t>
  </si>
  <si>
    <t>שיפוץ אולם ארועים ,מרפסת ומדרגות במועצה הדתית</t>
  </si>
  <si>
    <t>הצטיידות מבנה תרבות במערב העיר</t>
  </si>
  <si>
    <t>הקמת מערכים חדשים לחירום</t>
  </si>
  <si>
    <t>אגף החינוך</t>
  </si>
  <si>
    <t>הצטיידות בר אילן אחרי השיפוץ</t>
  </si>
  <si>
    <t>אגף תרבות נוער וספורט</t>
  </si>
  <si>
    <t>שיפוץ מבני תנו"ס כולל הצטיידות</t>
  </si>
  <si>
    <t>אגף ש.א.י.פ.ה</t>
  </si>
  <si>
    <t>שדרוג פארק אשרמן</t>
  </si>
  <si>
    <t>שדרוג גן שלווה</t>
  </si>
  <si>
    <t>בי"ס אלון - פתוח ושדרוג החצר האחורית</t>
  </si>
  <si>
    <t>הקמת פינות מיחזור ברחבי העיר</t>
  </si>
  <si>
    <t>הסדרת שטחי בתי ספר ברחבי העיר</t>
  </si>
  <si>
    <t>הצבת קולרים ברחבי העיר</t>
  </si>
  <si>
    <t>ספורטק - חידוש מתחם מתקני משחק</t>
  </si>
  <si>
    <t>פרוייקט מומה - בן-גוריון - סמדר</t>
  </si>
  <si>
    <t>חורשת האקליפטוסים בנחלת עדה</t>
  </si>
  <si>
    <t>רשות החופים</t>
  </si>
  <si>
    <t>עבודות הגנה מצוקים וגידור חופי רחצה</t>
  </si>
  <si>
    <t>פיתוח חופי רחצה 2018/2019</t>
  </si>
  <si>
    <t>סככות צל חוף הכוכבים 2017</t>
  </si>
  <si>
    <t>הסדרת החוף הנפרד 2017</t>
  </si>
  <si>
    <t>כסאות לנכים 2017</t>
  </si>
  <si>
    <t>תחנת הצלה - חוף הכוכבים 2017</t>
  </si>
  <si>
    <t>משקפות למצילים 2017</t>
  </si>
  <si>
    <t>שילוט לחופי רחצה 2017</t>
  </si>
  <si>
    <t>ציוד הצלה לחופי רחצה 2017</t>
  </si>
  <si>
    <t>הכשרת חניון העוגן</t>
  </si>
  <si>
    <t xml:space="preserve">תב"ע טיילת שלב א' </t>
  </si>
  <si>
    <t>שיפוריים בשטחים ציבוריים במרינה</t>
  </si>
  <si>
    <t>גדרות בשטחים ציבוריים</t>
  </si>
  <si>
    <t xml:space="preserve">אגף תקשוב ומערכות מידע </t>
  </si>
  <si>
    <t>תשתיות פס רחב מוס"ח וציוד</t>
  </si>
  <si>
    <r>
      <t xml:space="preserve">פריסת </t>
    </r>
    <r>
      <rPr>
        <b/>
        <sz val="11"/>
        <rFont val="David"/>
        <family val="2"/>
      </rPr>
      <t>תשתיות תקשורת</t>
    </r>
    <r>
      <rPr>
        <sz val="11"/>
        <rFont val="David"/>
        <family val="2"/>
        <charset val="177"/>
      </rPr>
      <t xml:space="preserve">  ברחבי העיר </t>
    </r>
    <r>
      <rPr>
        <b/>
        <sz val="11"/>
        <rFont val="David"/>
        <family val="2"/>
      </rPr>
      <t>ומוס"ח (*) עדכון שם</t>
    </r>
  </si>
  <si>
    <t>פיצויי הפקעה תוכנית הר' 1940  6664/105</t>
  </si>
  <si>
    <t>שיפוץ חזיתות</t>
  </si>
  <si>
    <t xml:space="preserve">אגף חינוך </t>
  </si>
  <si>
    <t>אגף תנו"ס</t>
  </si>
  <si>
    <t xml:space="preserve">רשות החופים </t>
  </si>
  <si>
    <t>3.6</t>
  </si>
  <si>
    <t>קרנות הרשות - צפי תנועה באלפי ₪</t>
  </si>
  <si>
    <t>שנת 2017</t>
  </si>
  <si>
    <t>תאור</t>
  </si>
  <si>
    <t>מקורות</t>
  </si>
  <si>
    <t>יתרה צפויה 1.1</t>
  </si>
  <si>
    <t xml:space="preserve">היטלי השבחה ופיתוח שנה שוטפת </t>
  </si>
  <si>
    <t>העברה מתקציב רגיל 2016</t>
  </si>
  <si>
    <t>העברה מתקציב רגיל בגין פשרה "מקורות"</t>
  </si>
  <si>
    <t xml:space="preserve">העמקת גביה מהיטלי פיתוח שנה שוטפת </t>
  </si>
  <si>
    <t>סה"כ מקורות</t>
  </si>
  <si>
    <t>שימושים</t>
  </si>
  <si>
    <t>השתתפות בפרעון מילוות מים,ביוב ופיתוח</t>
  </si>
  <si>
    <t>השתתפות בשכ"ע הנדסה לפיתוח ותכנון</t>
  </si>
  <si>
    <t>עודכן ב - 920 אלפי ₪ עדכון איילת 22.9.16</t>
  </si>
  <si>
    <t>מימון תקציב בלתי רגיל</t>
  </si>
  <si>
    <t>סה"כ שימושים</t>
  </si>
  <si>
    <t>31.10.16:</t>
  </si>
  <si>
    <t>עדכון של איילת: 644 אלפי ₪ משיכה נוספת.</t>
  </si>
  <si>
    <t>1.</t>
  </si>
  <si>
    <t>מבוא</t>
  </si>
  <si>
    <t xml:space="preserve">רקע : </t>
  </si>
  <si>
    <t xml:space="preserve">התקציב הבלתי רגיל (תב"ר) מהווה מסגרת תקציבית שנועדה בעיקר לביצוע פרויקטים  של עבודות  </t>
  </si>
  <si>
    <t xml:space="preserve">פיתוח ותשתיות, שיפוץ ובניה , בהיקף תקציבי נכבד המבוצעות במשך תקופה ארוכה. </t>
  </si>
  <si>
    <t>מקורות המימון לתב"ר הינם :</t>
  </si>
  <si>
    <t>מענקים ממקורות שלטוניים ובעיקר ממשרדי ממשלה.</t>
  </si>
  <si>
    <t>מענקים ממוסדות שאינם שלטוניים כגון : מפעל הפייס ,המועצה להסדר הימורים, השתתפויות ועוד.</t>
  </si>
  <si>
    <t xml:space="preserve">מקורות עצמיים של הרשות הכוללים היטלי השבחה , היטלי פיתוח , העברות מתקציב רגיל, </t>
  </si>
  <si>
    <t>תרומות, מימוש נכסים.</t>
  </si>
  <si>
    <t>הלוואות לזמן ארוך.</t>
  </si>
  <si>
    <t xml:space="preserve">אישור התקציב הבלתי רגיל : </t>
  </si>
  <si>
    <t xml:space="preserve">על פי הוראות משרד הפנים ,לכל פרויקט יש לקבוע את היקף ההשקעה ומקורות המימון. </t>
  </si>
  <si>
    <t xml:space="preserve">ב – 10.2.2014 אושר במליאת הכנסת חוק רשויות איתנות על פיו ניתן לרשויות איתנות המתנהלות </t>
  </si>
  <si>
    <t xml:space="preserve">בהתאם לקריטריונים שהוצבו , חופש פעולה בתחומים מסוימים , בין היתר בתחום התקציב. </t>
  </si>
  <si>
    <t>ב – 16.3.2014 הכריז משרד הפנים על עיריית הרצליה כעל עירייה איתנה.</t>
  </si>
  <si>
    <t>חברי וועדת הכספים/מועצת העיר מתבקשים לאשר בזאת :</t>
  </si>
  <si>
    <t xml:space="preserve">באלפי ₪ </t>
  </si>
  <si>
    <t>מתוך אומדן כולל של הפרויקטים בסכום של</t>
  </si>
  <si>
    <t>פרויקטים שהיקפם עולה על 14,000 אלפי ₪ בביצוע החברה לפיתוח הרצליה.</t>
  </si>
  <si>
    <t>2.</t>
  </si>
  <si>
    <t>מקורות המימון באלפי ₪ היו כדלקמן -</t>
  </si>
  <si>
    <t>קרן מכירת רכוש</t>
  </si>
  <si>
    <t>משרדי ממשלה ואחרים</t>
  </si>
  <si>
    <t>סה"כ תקציב</t>
  </si>
  <si>
    <t xml:space="preserve">משרדי ממשלה ואחרים </t>
  </si>
  <si>
    <t xml:space="preserve">מסגרת תוכנית פיתוח </t>
  </si>
  <si>
    <t>אחוז ביצוע</t>
  </si>
  <si>
    <t xml:space="preserve">סה"כ </t>
  </si>
  <si>
    <t xml:space="preserve">המשך ההשקעות בבניה חדשה כולל שדרוגים של מוסדות חינוך ברחבי העיר. </t>
  </si>
  <si>
    <t xml:space="preserve">פיתוח מתנ"סים. </t>
  </si>
  <si>
    <t>מבנה תרבות במערב העיר.</t>
  </si>
  <si>
    <t>פיתוח כבישים ותשתיות אזור תעשיה מערבי.</t>
  </si>
  <si>
    <t>פיתוח מתחם המסילה דב הוז.</t>
  </si>
  <si>
    <t xml:space="preserve">פיתוח מתחם אלוני ים הר' 2030. </t>
  </si>
  <si>
    <t>פיתוח מתחם הר' 1903 .</t>
  </si>
  <si>
    <t>עבודות פיתוח תשתיות, פארק, מוסדות חינוך ומבני ציבור במתחם גליל ים.</t>
  </si>
  <si>
    <t>הצעת התקציב הבלתי רגיל מסתכמת בהשקעה של</t>
  </si>
  <si>
    <t>3.</t>
  </si>
  <si>
    <t>חלוקת ההשקעה בתקציב  באלפי ₪ על פי אגפים/יחידות מפורטת להלן -</t>
  </si>
  <si>
    <t>שם פרק</t>
  </si>
  <si>
    <t>שנת  2017</t>
  </si>
  <si>
    <t>החברה לפיתוח הרצליה</t>
  </si>
  <si>
    <t>אגף בטחון,פיקוח וסדר ציבורי</t>
  </si>
  <si>
    <t>אגף מיחשוב ומידע</t>
  </si>
  <si>
    <t>שיפוץ חזיתות/עמידר</t>
  </si>
  <si>
    <t>אומדן מקורות המימון  באלפי ₪  מפורט להלן -</t>
  </si>
  <si>
    <t>מקור</t>
  </si>
  <si>
    <t>קרן לעבודות פיתוח</t>
  </si>
  <si>
    <t>סה"כ משרדי ממשלה ואחרים</t>
  </si>
  <si>
    <t>סעיף מימון משרדי ממשלה ואחרים מפורט בטבלה להלן – באלפי ₪ (*)</t>
  </si>
  <si>
    <t>משרד התחבורה</t>
  </si>
  <si>
    <t>משרד החינוך</t>
  </si>
  <si>
    <t>משרד הבינוי והשיכון</t>
  </si>
  <si>
    <t>רשות מינהל מקרקעי ישראל</t>
  </si>
  <si>
    <t>מפעל הפייס</t>
  </si>
  <si>
    <t>הכנסות בעד עבודות</t>
  </si>
  <si>
    <t>(*)</t>
  </si>
  <si>
    <t xml:space="preserve"> תקצוב הפרויקטים נשוא מימון משרדי ממשלה ואחרים כמפורט לעיל מותנה בקבלת מסמך </t>
  </si>
  <si>
    <t>התחייבות כספית חתום על ידי מורשי חתימה של הגורם המממן.</t>
  </si>
  <si>
    <t>4.</t>
  </si>
  <si>
    <t>תב"רים לסגירה בשנת 2016</t>
  </si>
  <si>
    <t>כללי :</t>
  </si>
  <si>
    <t xml:space="preserve">הנחיות משרד הפנים קובעות :  </t>
  </si>
  <si>
    <t xml:space="preserve">תב"ר שהגיע לסיומו או לא הוחל בביצועו או לא הוצאו בגינו התחייבויות כספיות , עליו להיגרע מקובץ </t>
  </si>
  <si>
    <t xml:space="preserve">התב"רים במערכת הכספית של הרשות המקומית. </t>
  </si>
  <si>
    <t>עודף סופי בחשבון התב"ר יועבר לקרנות הרשות . יש לאשר את סגירת התב"רים במועצת העיר.</t>
  </si>
  <si>
    <t xml:space="preserve">במהלך שנת 2016 אושרה במועצת העיר  סגירת  פרויקטים שהסתיימו/לא נוצלו לשנת 2016 והחזרת </t>
  </si>
  <si>
    <t xml:space="preserve">עודפים לקרנות הרשות בסכום של </t>
  </si>
  <si>
    <t>פרויקטים בביצוע החברה לפיתוח</t>
  </si>
  <si>
    <t xml:space="preserve">בהתאם לתוספת להסכם מסגרת לביצוע פרויקטים הנדסיים בין העירייה לחברה לפיתוח הרצליה </t>
  </si>
  <si>
    <t xml:space="preserve">מיום 10.4.2005, יש לאשר במועצת העיר את ביצוע הפרויקטים  שהיקפם עולה על ערך הסף.  </t>
  </si>
  <si>
    <t>ערך הסף נכון להיום עומד על יותר מ  - 14,000 אלפי ₪.</t>
  </si>
  <si>
    <t>שנת 2018</t>
  </si>
  <si>
    <t>העברה מתקציב רגיל 2017</t>
  </si>
  <si>
    <t>מקורות מימון אחרים - פרוט</t>
  </si>
  <si>
    <t>אגף/מחלקה</t>
  </si>
  <si>
    <t>המשרד להגנת הסביבה</t>
  </si>
  <si>
    <t>משרד התשתיות והאנרגיה</t>
  </si>
  <si>
    <t>המועצה להסדר הימורים טוטו</t>
  </si>
  <si>
    <t>משרד המדע</t>
  </si>
  <si>
    <t>הקרן לשמירה על שטחים פתוחים</t>
  </si>
  <si>
    <t xml:space="preserve">הכנסות בעד עבודות </t>
  </si>
  <si>
    <t xml:space="preserve">החברה לפיתוח הרצליה </t>
  </si>
  <si>
    <t xml:space="preserve">החברה לפיתוח תיירות </t>
  </si>
  <si>
    <t>רשות  מקרקעי ישראל</t>
  </si>
  <si>
    <t xml:space="preserve">אגף החינוך </t>
  </si>
  <si>
    <t>עירית הרצליה</t>
  </si>
  <si>
    <t>אגף המינהל הכספי – ה ג ז ב ר ו ת</t>
  </si>
  <si>
    <t>הצעת התקציב הבלתי רגיל</t>
  </si>
  <si>
    <t>הרצליה</t>
  </si>
  <si>
    <t>לשנת 2018</t>
  </si>
  <si>
    <t>תוכן</t>
  </si>
  <si>
    <t>עמודים</t>
  </si>
  <si>
    <t>ריכוזים ודברי הסבר</t>
  </si>
  <si>
    <t>22-28</t>
  </si>
  <si>
    <t>29-32</t>
  </si>
  <si>
    <t xml:space="preserve">אגף בטחון פיקוח וסדר ציבורי     </t>
  </si>
  <si>
    <t>33-34</t>
  </si>
  <si>
    <t xml:space="preserve">מחלקת נכסים וביטוח         </t>
  </si>
  <si>
    <t xml:space="preserve">שיפוץ חזיתות/בתים עמידר        </t>
  </si>
  <si>
    <t>תקציב בלתי רגיל לשנת 2018 בהשקעה של</t>
  </si>
  <si>
    <t xml:space="preserve">לביצוע פרויקטים בשנת 2018 בסכום של  </t>
  </si>
  <si>
    <t>התקציב הבלתי רגיל לשנת 2017</t>
  </si>
  <si>
    <t xml:space="preserve">הצעת התקציב הבלתי רגיל לשנת 2017  אושרה במועצת העיר בחודש נובמבר 2016 . </t>
  </si>
  <si>
    <t xml:space="preserve">להלן נתוני ביצוע באלפי ₪ של התקציב הבלתי רגיל לשנת 2017 : </t>
  </si>
  <si>
    <t>מימוש תקציב</t>
  </si>
  <si>
    <t>יתרה לביצוע צפוי עד 31.12.2016</t>
  </si>
  <si>
    <t>אומדן לביצוע שנת 2017</t>
  </si>
  <si>
    <t>אומדן לביצוע שנת 2018 ואילך</t>
  </si>
  <si>
    <t>תקציב נוסף נדרש במסגרת תוכנית עבודה2016</t>
  </si>
  <si>
    <t>תקציב נוסף נדרש מעבר לתוכנית עבודה2016</t>
  </si>
  <si>
    <t>סה"כ תקציב נוסף נדרש 2016</t>
  </si>
  <si>
    <t>יתרת תקציב פנויה 31.12.2016</t>
  </si>
  <si>
    <t>תקציב נדרש 2017</t>
  </si>
  <si>
    <t>ינואר 2017</t>
  </si>
  <si>
    <t>ינואר נוסף 2017</t>
  </si>
  <si>
    <t>פברואר 2017</t>
  </si>
  <si>
    <t>מרץ 2017</t>
  </si>
  <si>
    <t>אפריל 2017</t>
  </si>
  <si>
    <t>מאי 2017</t>
  </si>
  <si>
    <t>מאי נוסף 2017</t>
  </si>
  <si>
    <t>יוני 2017</t>
  </si>
  <si>
    <t>יולי 2017</t>
  </si>
  <si>
    <t>אוגוסט 2017</t>
  </si>
  <si>
    <t>ספטמבר 2017</t>
  </si>
  <si>
    <t>יתרה למימוש</t>
  </si>
  <si>
    <t>תב"ר 1547</t>
  </si>
  <si>
    <t>מקורת מימון לפרויקט</t>
  </si>
  <si>
    <t>מס"ד</t>
  </si>
  <si>
    <t>ינואר</t>
  </si>
  <si>
    <t>ינואר נוסף</t>
  </si>
  <si>
    <t>פברואר</t>
  </si>
  <si>
    <t>מרץ</t>
  </si>
  <si>
    <t>אפריל</t>
  </si>
  <si>
    <t>מאי</t>
  </si>
  <si>
    <t>מאי נוסף</t>
  </si>
  <si>
    <t>יוני</t>
  </si>
  <si>
    <t>יולי</t>
  </si>
  <si>
    <t>אוגוסט</t>
  </si>
  <si>
    <t>סה"כ מצטבר</t>
  </si>
  <si>
    <r>
      <t xml:space="preserve">תכנון ועדכון  תוכנית אב לשבילי אופניים </t>
    </r>
    <r>
      <rPr>
        <b/>
        <sz val="11"/>
        <rFont val="David"/>
        <family val="2"/>
        <charset val="177"/>
      </rPr>
      <t>(*)שינוי שם</t>
    </r>
  </si>
  <si>
    <r>
      <t xml:space="preserve">תוכנית אב לתחבורה בהרצליה </t>
    </r>
    <r>
      <rPr>
        <b/>
        <strike/>
        <sz val="11"/>
        <rFont val="David"/>
        <family val="2"/>
        <charset val="177"/>
      </rPr>
      <t>(נסגר 2016)</t>
    </r>
  </si>
  <si>
    <r>
      <t xml:space="preserve">בנית ספריה נווה עמל </t>
    </r>
    <r>
      <rPr>
        <b/>
        <strike/>
        <sz val="11"/>
        <rFont val="David"/>
        <family val="2"/>
        <charset val="177"/>
      </rPr>
      <t>(נסגר 2016)</t>
    </r>
  </si>
  <si>
    <r>
      <t xml:space="preserve">ליווי "מהיר" לעיר </t>
    </r>
    <r>
      <rPr>
        <b/>
        <sz val="11"/>
        <rFont val="David"/>
        <family val="2"/>
        <charset val="177"/>
      </rPr>
      <t>(*)שינוי שם</t>
    </r>
  </si>
  <si>
    <r>
      <t xml:space="preserve">הסדרת רישוי מבני ציבור קיימים </t>
    </r>
    <r>
      <rPr>
        <b/>
        <sz val="11"/>
        <rFont val="David"/>
        <family val="2"/>
      </rPr>
      <t>(סגור)</t>
    </r>
  </si>
  <si>
    <r>
      <t xml:space="preserve">איטום גג מוזיאון הרצליה </t>
    </r>
    <r>
      <rPr>
        <b/>
        <strike/>
        <sz val="11"/>
        <rFont val="David"/>
        <family val="2"/>
        <charset val="177"/>
      </rPr>
      <t>(נסגר 2016)</t>
    </r>
  </si>
  <si>
    <r>
      <t xml:space="preserve">תכנון כיכר העיר </t>
    </r>
    <r>
      <rPr>
        <b/>
        <sz val="11"/>
        <rFont val="David"/>
        <family val="2"/>
      </rPr>
      <t>(סגור)</t>
    </r>
  </si>
  <si>
    <r>
      <t xml:space="preserve">פיצויים סעיף 197 תכנית המנהרה </t>
    </r>
    <r>
      <rPr>
        <b/>
        <strike/>
        <sz val="11"/>
        <rFont val="David"/>
        <family val="2"/>
      </rPr>
      <t>(נסגר 2016)</t>
    </r>
  </si>
  <si>
    <r>
      <t xml:space="preserve">תב"ע הפקעת שטחים </t>
    </r>
    <r>
      <rPr>
        <b/>
        <sz val="11"/>
        <rFont val="David"/>
        <family val="2"/>
      </rPr>
      <t>(סגור)</t>
    </r>
  </si>
  <si>
    <t>תכנון שינוי גבולות העיר</t>
  </si>
  <si>
    <t>הר' 2159 התחדשות עירונית יד התשעה</t>
  </si>
  <si>
    <t>מימוש תקציב 2016 להזרמה</t>
  </si>
  <si>
    <t>ת.ע. 2016</t>
  </si>
  <si>
    <t>הנדסה</t>
  </si>
  <si>
    <t>הזרמה 8.9.16</t>
  </si>
  <si>
    <t>תב"ר 1409</t>
  </si>
  <si>
    <t>טרם התבקש וטרם הוזרם</t>
  </si>
  <si>
    <t>תב"ר 1841</t>
  </si>
  <si>
    <t>מימוש פרטני</t>
  </si>
  <si>
    <t>תב"רים של הח. לפיתוח</t>
  </si>
  <si>
    <t>אוקטובר</t>
  </si>
  <si>
    <t>תב"ר</t>
  </si>
  <si>
    <t>מערכת כבישים תשתיות בא.ת.מערבי</t>
  </si>
  <si>
    <r>
      <t xml:space="preserve">מתחם נוריות  </t>
    </r>
    <r>
      <rPr>
        <b/>
        <sz val="11"/>
        <rFont val="David"/>
        <family val="2"/>
        <charset val="177"/>
      </rPr>
      <t>(*) שינוי שם</t>
    </r>
  </si>
  <si>
    <t>שביל צמרות ישראל (אינטגרציה)</t>
  </si>
  <si>
    <r>
      <t xml:space="preserve">שצ"פ צמרות דרום (השביל הירוק) </t>
    </r>
    <r>
      <rPr>
        <b/>
        <sz val="11"/>
        <rFont val="David"/>
        <family val="2"/>
        <charset val="177"/>
      </rPr>
      <t>(*) שינוי שם</t>
    </r>
  </si>
  <si>
    <t>מרכז תחבורה חדש (ציר בן ציון מיכאלי)</t>
  </si>
  <si>
    <r>
      <t>בי"ס חדש מתחם אלתרמן (*)</t>
    </r>
    <r>
      <rPr>
        <b/>
        <sz val="11"/>
        <rFont val="David"/>
        <family val="2"/>
        <charset val="177"/>
      </rPr>
      <t>שינוי שם</t>
    </r>
  </si>
  <si>
    <t xml:space="preserve">אולם ספורט חטיבת זאב </t>
  </si>
  <si>
    <t>בניית 3 גנ"י חדשים (ביד התשעה)</t>
  </si>
  <si>
    <r>
      <t xml:space="preserve">בניה חדשה בי"ס אופק </t>
    </r>
    <r>
      <rPr>
        <b/>
        <sz val="11"/>
        <rFont val="David"/>
        <family val="2"/>
        <charset val="177"/>
      </rPr>
      <t>(*) שינוי שם</t>
    </r>
  </si>
  <si>
    <t>בנית 3 גני ילדים (הרצליה ב')</t>
  </si>
  <si>
    <r>
      <t xml:space="preserve">תכנון מתחם אפולוניה </t>
    </r>
    <r>
      <rPr>
        <b/>
        <sz val="11"/>
        <rFont val="David"/>
        <family val="2"/>
        <charset val="177"/>
      </rPr>
      <t>(*) שינוי שם</t>
    </r>
  </si>
  <si>
    <t>כיתות גן 4 שטח 301 גליל ים א'</t>
  </si>
  <si>
    <r>
      <t xml:space="preserve">כיתות מעון יום 5 וכיתות גן 2 שטח 404 גליל ים ב' </t>
    </r>
    <r>
      <rPr>
        <b/>
        <sz val="11"/>
        <rFont val="David"/>
        <family val="2"/>
        <charset val="177"/>
      </rPr>
      <t>(*) שינוי שם</t>
    </r>
  </si>
  <si>
    <r>
      <t xml:space="preserve">קיריית החינוך שטח 406 גליל ים ב' </t>
    </r>
    <r>
      <rPr>
        <b/>
        <sz val="11"/>
        <rFont val="David"/>
        <family val="2"/>
        <charset val="177"/>
      </rPr>
      <t>(*) שינוי שם</t>
    </r>
  </si>
  <si>
    <t>ספריה+מ.קהילתי שטח 406 גליל ים ב'</t>
  </si>
  <si>
    <t>גן 3 כיתות שטח 401 גליל ים ב'</t>
  </si>
  <si>
    <t>בי"ס יסודי 18 כיתות שטח 408 גליל ים ב'</t>
  </si>
  <si>
    <t>גן 3 כיתות  שטח 402 גליל ים ב'</t>
  </si>
  <si>
    <t>בי"ס יסודי 18 כיתות שטח 304 גלילי ים א'</t>
  </si>
  <si>
    <t>סה"כ פרויקטים  מתחם גליל ים</t>
  </si>
  <si>
    <t>החב.לפיתוח</t>
  </si>
  <si>
    <t>תבל</t>
  </si>
  <si>
    <t>תב"ר 1772</t>
  </si>
  <si>
    <t>תב"ר 1854</t>
  </si>
  <si>
    <t>ת1914</t>
  </si>
  <si>
    <t>תב"ר 1462</t>
  </si>
  <si>
    <t>תב"ר 1827</t>
  </si>
  <si>
    <t>עודכן תב"ר 1904 ניקוז שער הים</t>
  </si>
  <si>
    <t>תב"ר 1656</t>
  </si>
  <si>
    <t>תב"ר 1836</t>
  </si>
  <si>
    <t>תב"ר 1718</t>
  </si>
  <si>
    <t>.</t>
  </si>
  <si>
    <t>תב"ר 1920</t>
  </si>
  <si>
    <t>החב.לתירות</t>
  </si>
  <si>
    <t>תב"ר 1912</t>
  </si>
  <si>
    <t>תב"ר 1913</t>
  </si>
  <si>
    <t>תב"ר 1914</t>
  </si>
  <si>
    <t>תב"ר 1763</t>
  </si>
  <si>
    <t xml:space="preserve">עודכן </t>
  </si>
  <si>
    <t>תב"ר 1904 עודכן</t>
  </si>
  <si>
    <t xml:space="preserve">הזרמות ספטמבר </t>
  </si>
  <si>
    <t>הזרמות ספטמבר נוסף</t>
  </si>
  <si>
    <t>להזרמה</t>
  </si>
  <si>
    <t>הזרמה אוקטובר</t>
  </si>
  <si>
    <t>שיפוץ מבני עיריה תרבות עירוניים (תנו"ס)</t>
  </si>
  <si>
    <r>
      <t xml:space="preserve">צביעה יסודית בי"ס ברחבי העיר </t>
    </r>
    <r>
      <rPr>
        <b/>
        <strike/>
        <sz val="11"/>
        <rFont val="David"/>
        <family val="2"/>
        <charset val="177"/>
      </rPr>
      <t>(נסגר 2016)</t>
    </r>
  </si>
  <si>
    <r>
      <t xml:space="preserve">שדרוג מערכות כיבוי אש במחסני העירייה </t>
    </r>
    <r>
      <rPr>
        <b/>
        <strike/>
        <sz val="12"/>
        <rFont val="David"/>
        <family val="2"/>
        <charset val="177"/>
      </rPr>
      <t>(נסגר 2016)</t>
    </r>
  </si>
  <si>
    <r>
      <t xml:space="preserve">התייעלות בתאורת חוץ עפ"י סקר כולל מוס. עירוניים </t>
    </r>
    <r>
      <rPr>
        <b/>
        <sz val="11"/>
        <rFont val="David"/>
        <family val="2"/>
        <charset val="177"/>
      </rPr>
      <t>(*) שינוי שם</t>
    </r>
  </si>
  <si>
    <r>
      <t xml:space="preserve">שיפוץ מרכז צעירים </t>
    </r>
    <r>
      <rPr>
        <b/>
        <strike/>
        <sz val="11"/>
        <rFont val="David"/>
        <family val="2"/>
        <charset val="177"/>
      </rPr>
      <t>(נסגר 2016)</t>
    </r>
  </si>
  <si>
    <r>
      <t xml:space="preserve">בניית שרותים בי"ס הנדיב </t>
    </r>
    <r>
      <rPr>
        <b/>
        <strike/>
        <sz val="11"/>
        <rFont val="David"/>
        <family val="2"/>
        <charset val="177"/>
      </rPr>
      <t>(נסגר 2016)</t>
    </r>
  </si>
  <si>
    <r>
      <t>רכישת רכבים חדשים</t>
    </r>
    <r>
      <rPr>
        <b/>
        <strike/>
        <sz val="11"/>
        <rFont val="David"/>
        <family val="2"/>
        <charset val="177"/>
      </rPr>
      <t xml:space="preserve"> (נסגר 2016)</t>
    </r>
  </si>
  <si>
    <r>
      <t>התקנת גופי תאורה בטכנולוגיה מתקדמת</t>
    </r>
    <r>
      <rPr>
        <b/>
        <sz val="11"/>
        <rFont val="David"/>
        <family val="2"/>
        <charset val="177"/>
      </rPr>
      <t xml:space="preserve"> (*) שינוי שם </t>
    </r>
  </si>
  <si>
    <t>החלפת צ'ילרים א.ס. נ. ישראל,סמדר ,נוף ים</t>
  </si>
  <si>
    <t>פיר מעלית ומעלית בנין המועצה הדתית</t>
  </si>
  <si>
    <t>מימושת.ע. 2016</t>
  </si>
  <si>
    <t>יתרה למימוש פרטני</t>
  </si>
  <si>
    <t>קרן עודפים</t>
  </si>
  <si>
    <t>ק.עודפים</t>
  </si>
  <si>
    <t>הזרמה 14.9.16</t>
  </si>
  <si>
    <t>קעפ</t>
  </si>
  <si>
    <t>תב"ר 1770,1883,19181942,1946,יתרה תב"ר 1917, חדש מועצה דתית</t>
  </si>
  <si>
    <t>חדש מוע.דתית</t>
  </si>
  <si>
    <r>
      <t xml:space="preserve">מע. התראה לרעידת אדמה בי"ס </t>
    </r>
    <r>
      <rPr>
        <b/>
        <sz val="11"/>
        <rFont val="David"/>
        <family val="2"/>
      </rPr>
      <t>(סגור)</t>
    </r>
  </si>
  <si>
    <t>מימוש ת.ע. 2016</t>
  </si>
  <si>
    <t>טרם הוזרם</t>
  </si>
  <si>
    <t>תב"ר חדש</t>
  </si>
  <si>
    <r>
      <t>פרויקט שיגור לווין (מ.המדע)</t>
    </r>
    <r>
      <rPr>
        <b/>
        <strike/>
        <sz val="11"/>
        <rFont val="David"/>
        <family val="2"/>
        <charset val="177"/>
      </rPr>
      <t xml:space="preserve"> (נסגר 2016)</t>
    </r>
  </si>
  <si>
    <t xml:space="preserve">הצטידות כיתות חדשות בי"ס </t>
  </si>
  <si>
    <r>
      <t xml:space="preserve">הצטיידות בי"ס בהתמחות סייבר </t>
    </r>
    <r>
      <rPr>
        <b/>
        <sz val="11"/>
        <rFont val="David"/>
        <family val="2"/>
      </rPr>
      <t>(סגור)</t>
    </r>
  </si>
  <si>
    <t>תנוס</t>
  </si>
  <si>
    <t>אגף ש.א.י.פ.ה/חופים/איכות הסביבה</t>
  </si>
  <si>
    <r>
      <t>תקשורת מיחשוב ומצלמות כלביה</t>
    </r>
    <r>
      <rPr>
        <b/>
        <sz val="11"/>
        <rFont val="David"/>
        <family val="2"/>
      </rPr>
      <t xml:space="preserve"> (*) עבר למיחשוב</t>
    </r>
  </si>
  <si>
    <t>שדרוג ריהוט רחוב וגן אזור תעשיה</t>
  </si>
  <si>
    <r>
      <t xml:space="preserve">פיתוח חופי רחצה 2011 </t>
    </r>
    <r>
      <rPr>
        <b/>
        <strike/>
        <sz val="11"/>
        <rFont val="David"/>
        <family val="2"/>
        <charset val="177"/>
      </rPr>
      <t>(נסגר 2016)</t>
    </r>
  </si>
  <si>
    <t>פיתוח חופי רחצה 2016/2017</t>
  </si>
  <si>
    <t>שאיפה :</t>
  </si>
  <si>
    <t xml:space="preserve">ת.ע. </t>
  </si>
  <si>
    <t>בחב. לפיתוח</t>
  </si>
  <si>
    <t>הזרמה 14.9.15</t>
  </si>
  <si>
    <t>תב"ר 1939,1941</t>
  </si>
  <si>
    <r>
      <t xml:space="preserve">תשתיות פס רחב מוס"ח וציוד (*) </t>
    </r>
    <r>
      <rPr>
        <b/>
        <sz val="11"/>
        <rFont val="David"/>
        <family val="2"/>
        <charset val="177"/>
      </rPr>
      <t>שינוי שם</t>
    </r>
  </si>
  <si>
    <r>
      <t>הצטיידות תקשוב (מ.הפייס)</t>
    </r>
    <r>
      <rPr>
        <b/>
        <strike/>
        <sz val="11"/>
        <rFont val="David"/>
        <family val="2"/>
        <charset val="177"/>
      </rPr>
      <t>(נסגר 2016)</t>
    </r>
  </si>
  <si>
    <t>מימון אחרים</t>
  </si>
  <si>
    <r>
      <t xml:space="preserve">תביעה -מרינה הרצליה </t>
    </r>
    <r>
      <rPr>
        <b/>
        <strike/>
        <sz val="11"/>
        <rFont val="David"/>
        <family val="2"/>
        <charset val="177"/>
      </rPr>
      <t>(נסגר 2016)</t>
    </r>
  </si>
  <si>
    <r>
      <t xml:space="preserve">התק' תמרורים מהבהבים </t>
    </r>
    <r>
      <rPr>
        <b/>
        <strike/>
        <sz val="11"/>
        <rFont val="David"/>
        <family val="2"/>
        <charset val="177"/>
      </rPr>
      <t>(נסגר 2016)</t>
    </r>
  </si>
  <si>
    <r>
      <t xml:space="preserve">עלויות בקשר עם תביעה פרויקטים </t>
    </r>
    <r>
      <rPr>
        <b/>
        <strike/>
        <sz val="11"/>
        <rFont val="David"/>
        <family val="2"/>
        <charset val="177"/>
      </rPr>
      <t>(נסגר 2016)</t>
    </r>
  </si>
  <si>
    <t>פרויקטים דחופים בצ"מ 2015/2016</t>
  </si>
  <si>
    <t>תב"ר 1945</t>
  </si>
  <si>
    <r>
      <t>ויגייט דרום סטרומה</t>
    </r>
    <r>
      <rPr>
        <b/>
        <sz val="11"/>
        <rFont val="David"/>
        <family val="2"/>
      </rPr>
      <t xml:space="preserve"> (*) סגור</t>
    </r>
  </si>
  <si>
    <r>
      <t xml:space="preserve">גינון ושדרוג החצר תיכון ראשונים </t>
    </r>
    <r>
      <rPr>
        <b/>
        <sz val="11"/>
        <rFont val="David"/>
        <family val="2"/>
      </rPr>
      <t>(*) סגור</t>
    </r>
  </si>
  <si>
    <r>
      <t xml:space="preserve">המרכז החדש שלב ב'-רח' בן גוריון </t>
    </r>
    <r>
      <rPr>
        <b/>
        <sz val="11"/>
        <rFont val="David"/>
        <family val="2"/>
      </rPr>
      <t>(*) סגור</t>
    </r>
  </si>
  <si>
    <r>
      <t xml:space="preserve">שכ"ט טיפול תביעות בנושאי היטלי פיתוח וסוגיות תכנון </t>
    </r>
    <r>
      <rPr>
        <b/>
        <sz val="11"/>
        <rFont val="David"/>
        <family val="2"/>
      </rPr>
      <t>(*) סגור</t>
    </r>
  </si>
  <si>
    <r>
      <t xml:space="preserve">שיפוץ אולם ספורט היובל </t>
    </r>
    <r>
      <rPr>
        <b/>
        <sz val="11"/>
        <rFont val="David"/>
        <family val="2"/>
      </rPr>
      <t>(*) סגור</t>
    </r>
  </si>
  <si>
    <r>
      <t xml:space="preserve">גינת כלבים בפארק שלב א' </t>
    </r>
    <r>
      <rPr>
        <b/>
        <sz val="11"/>
        <rFont val="David"/>
        <family val="2"/>
      </rPr>
      <t>(*) סגור</t>
    </r>
  </si>
  <si>
    <r>
      <t xml:space="preserve">מדרכה ליד בי"ס לאומנויות </t>
    </r>
    <r>
      <rPr>
        <b/>
        <sz val="11"/>
        <rFont val="David"/>
        <family val="2"/>
      </rPr>
      <t>(*) סגור</t>
    </r>
  </si>
  <si>
    <r>
      <t xml:space="preserve">בניית הצללה בפארק </t>
    </r>
    <r>
      <rPr>
        <b/>
        <sz val="11"/>
        <rFont val="David"/>
        <family val="2"/>
      </rPr>
      <t>(*) סגור</t>
    </r>
  </si>
  <si>
    <r>
      <t xml:space="preserve">הפרדה מפלסית הרב קוק/ז'בוטינסק </t>
    </r>
    <r>
      <rPr>
        <b/>
        <sz val="11"/>
        <rFont val="David"/>
        <family val="2"/>
      </rPr>
      <t>(*) סגור</t>
    </r>
  </si>
  <si>
    <r>
      <t xml:space="preserve">תוכנית מתאר נוה עמל </t>
    </r>
    <r>
      <rPr>
        <b/>
        <sz val="11"/>
        <rFont val="David"/>
        <family val="2"/>
      </rPr>
      <t>(*) סגור</t>
    </r>
  </si>
  <si>
    <r>
      <t xml:space="preserve">תב"ע קמפוס המכללות </t>
    </r>
    <r>
      <rPr>
        <b/>
        <sz val="11"/>
        <rFont val="David"/>
        <family val="2"/>
      </rPr>
      <t>(*) סגור</t>
    </r>
  </si>
  <si>
    <r>
      <t xml:space="preserve">תב"ע דרום אפולוניה </t>
    </r>
    <r>
      <rPr>
        <b/>
        <sz val="11"/>
        <rFont val="David"/>
        <family val="2"/>
      </rPr>
      <t>(*) סגור</t>
    </r>
  </si>
  <si>
    <r>
      <t xml:space="preserve">מעונות שרה התחדשות עירונית </t>
    </r>
    <r>
      <rPr>
        <b/>
        <sz val="11"/>
        <rFont val="David"/>
        <family val="2"/>
      </rPr>
      <t>(*) סגור</t>
    </r>
  </si>
  <si>
    <t xml:space="preserve">חלוקת העלויות בתקציב  באלפי ₪ על פי פרקים עיקריים מפורטת להלן –  </t>
  </si>
  <si>
    <t>נכסים ציבוריים</t>
  </si>
  <si>
    <t>חינוך רווחה וספורט</t>
  </si>
  <si>
    <t>נכסים</t>
  </si>
  <si>
    <t>תרבות הדיור</t>
  </si>
  <si>
    <t>תכנון בנין עיר</t>
  </si>
  <si>
    <t>מינהל כללי</t>
  </si>
  <si>
    <t>שרותים עירוניים שונים</t>
  </si>
  <si>
    <t>מבני דת ציבוריים</t>
  </si>
  <si>
    <t>שיקום שכונות ומרחב ציבורי</t>
  </si>
  <si>
    <t>שנת  2018</t>
  </si>
  <si>
    <t xml:space="preserve">הפרויקטים הבולטים לשנת 2018 הינם :   </t>
  </si>
  <si>
    <t>יוזרם</t>
  </si>
  <si>
    <t>תב"רים לאישור מועצה מעבר לתוכנית הפיתוח השנתית</t>
  </si>
  <si>
    <t>עלויות</t>
  </si>
  <si>
    <t>תקציב</t>
  </si>
  <si>
    <t>ועדת כספים</t>
  </si>
  <si>
    <t>מועצה</t>
  </si>
  <si>
    <t>אומדן כולל לפרויקט
מעודכן</t>
  </si>
  <si>
    <t>אומדן מאושר בתוכנית הפיתוח</t>
  </si>
  <si>
    <t>תוספת אומדן לאישור המועצה מעבר לתוכנית הפיתוח</t>
  </si>
  <si>
    <t>ביצוע עד 31.12.2016</t>
  </si>
  <si>
    <t>אומדן לביצוע  2017 מעודכן</t>
  </si>
  <si>
    <t>תקציב מעודכן  2017</t>
  </si>
  <si>
    <t>תקציב שאושר לביצוע בתוכנית הפיתוח 2017</t>
  </si>
  <si>
    <t>תקציב  נדרש מעבר לתוכנית הפיתוח 2017</t>
  </si>
  <si>
    <t>מימוש 15.2.17</t>
  </si>
  <si>
    <t>מימוש 1.3.17</t>
  </si>
  <si>
    <t>מימוש  6.2017</t>
  </si>
  <si>
    <t>מימוש  7.2017</t>
  </si>
  <si>
    <t>מימוש  8.2017</t>
  </si>
  <si>
    <t>מימוש  9.2017</t>
  </si>
  <si>
    <t xml:space="preserve">מימוש  </t>
  </si>
  <si>
    <t xml:space="preserve">מימוש </t>
  </si>
  <si>
    <t xml:space="preserve">מימוש   </t>
  </si>
  <si>
    <t>אגף תבל</t>
  </si>
  <si>
    <t>1/22.1.2017</t>
  </si>
  <si>
    <t>51/14.2.2017</t>
  </si>
  <si>
    <r>
      <t xml:space="preserve">גידור מוס"ח </t>
    </r>
    <r>
      <rPr>
        <b/>
        <sz val="12"/>
        <color rgb="FFFF0000"/>
        <rFont val="David"/>
        <family val="2"/>
        <charset val="177"/>
      </rPr>
      <t>(שינוי מימון)</t>
    </r>
  </si>
  <si>
    <r>
      <t xml:space="preserve">סכום של  730 אלשח לא נוצל במסגרת 2017 </t>
    </r>
    <r>
      <rPr>
        <b/>
        <sz val="12"/>
        <color rgb="FFFF0000"/>
        <rFont val="David"/>
        <family val="2"/>
        <charset val="177"/>
      </rPr>
      <t xml:space="preserve">. </t>
    </r>
  </si>
  <si>
    <t>סה"כ אגף ת.ב.ל</t>
  </si>
  <si>
    <t xml:space="preserve">סגירת תב"רים 2016 </t>
  </si>
  <si>
    <t>החזרת עודפים 771,812 ₪.</t>
  </si>
  <si>
    <t>6/25.6.17</t>
  </si>
  <si>
    <t>56/18.7.17</t>
  </si>
  <si>
    <t>מגרש סימולציה אופניים</t>
  </si>
  <si>
    <t>7/23.7.17</t>
  </si>
  <si>
    <t>57/22.8.17</t>
  </si>
  <si>
    <t>1/22.1.17</t>
  </si>
  <si>
    <t>51/14.2.17</t>
  </si>
  <si>
    <t>3/19.3.17</t>
  </si>
  <si>
    <t>53/16.5.17</t>
  </si>
  <si>
    <t>השקעה בתשתיות והרחבות בחניונים</t>
  </si>
  <si>
    <t>מערכת כבישים ומדרכות אזת"ע מערבי</t>
  </si>
  <si>
    <t>4/3.5.17</t>
  </si>
  <si>
    <t>שיפוץ ספריה נורדאו</t>
  </si>
  <si>
    <t>השלמת מבנה עירייה חדש</t>
  </si>
  <si>
    <t>כלביה (מרכז וטרינרי)</t>
  </si>
  <si>
    <t xml:space="preserve"> כיתות גן שטח 408 גליל ים ב'</t>
  </si>
  <si>
    <t>הכשרת חניון  ברח' העוגן</t>
  </si>
  <si>
    <t>8/20.8.17</t>
  </si>
  <si>
    <t>בניית בי"ס יסודי ברחוב משה</t>
  </si>
  <si>
    <t>אגף פיקוח</t>
  </si>
  <si>
    <t>סה"כ אגף פיקוח</t>
  </si>
  <si>
    <t>אגף חינוך/תנו"ס</t>
  </si>
  <si>
    <t>נגישות אקוסטית כיתות בי"ס</t>
  </si>
  <si>
    <t>5/21/5/17</t>
  </si>
  <si>
    <t>55/13.6.17</t>
  </si>
  <si>
    <t>הצטיידות בי"ס אופק</t>
  </si>
  <si>
    <t>הצטיידות גנ"י חדשים ח"ר, ח"מ</t>
  </si>
  <si>
    <t>הצטיידות כיתות חדשות בי"ס</t>
  </si>
  <si>
    <t>הצטיידות בי"ס בהתמחות סייבר</t>
  </si>
  <si>
    <t>סה"כ אגף חינוך/תנו"ס</t>
  </si>
  <si>
    <t>אגף ש.א.י.פ.ה/חופים</t>
  </si>
  <si>
    <t>ציוד הצלה ובטיחות חופי רחצה מ. הפנים</t>
  </si>
  <si>
    <t>סככות צל חוף דרומי 2016</t>
  </si>
  <si>
    <t>סה"כ אגף ש.א.י.פ.ה/חופים</t>
  </si>
  <si>
    <t>פרויקט השכרת אופניים</t>
  </si>
  <si>
    <t>שדרוג גן אשרמן</t>
  </si>
  <si>
    <t>החברה לתיירות</t>
  </si>
  <si>
    <t>סה"כ החברה לתיירות</t>
  </si>
  <si>
    <t>בניה עצמית יח"ד במתחם הבינתחומי</t>
  </si>
  <si>
    <t>סה"כ נכסים</t>
  </si>
  <si>
    <t>סגירת תב"רים</t>
  </si>
  <si>
    <t xml:space="preserve">הקפאת תב"רים שאושרו </t>
  </si>
  <si>
    <t>הקפאות עפ"י סיכום ראה"ע 3.5.17</t>
  </si>
  <si>
    <t>אגף</t>
  </si>
  <si>
    <t>שינוי מימון : תקציב 1480 מ - 2015</t>
  </si>
  <si>
    <t>שאיפה</t>
  </si>
  <si>
    <t>מקורות מימון - יתרה להזרמה</t>
  </si>
  <si>
    <r>
      <t xml:space="preserve">שיפוץ מוסדות על"ה </t>
    </r>
    <r>
      <rPr>
        <b/>
        <sz val="11"/>
        <rFont val="David"/>
        <family val="2"/>
      </rPr>
      <t>(*) סגור</t>
    </r>
  </si>
  <si>
    <r>
      <t xml:space="preserve">שדרוג תאורת רחוב </t>
    </r>
    <r>
      <rPr>
        <b/>
        <sz val="11"/>
        <rFont val="David"/>
        <family val="2"/>
      </rPr>
      <t>(*) סגור</t>
    </r>
  </si>
  <si>
    <r>
      <t xml:space="preserve">שדרוג הרחבה שפ"ח,"תיכון לחיים" </t>
    </r>
    <r>
      <rPr>
        <b/>
        <sz val="11"/>
        <rFont val="David"/>
        <family val="2"/>
      </rPr>
      <t>(*) סגור</t>
    </r>
  </si>
  <si>
    <r>
      <t xml:space="preserve">החלפת גופי תאורה ללדים </t>
    </r>
    <r>
      <rPr>
        <b/>
        <sz val="11"/>
        <rFont val="David"/>
        <family val="2"/>
      </rPr>
      <t>(*) סגור</t>
    </r>
  </si>
  <si>
    <r>
      <t xml:space="preserve">עבודות קייץ בי"ס,גנ"י </t>
    </r>
    <r>
      <rPr>
        <b/>
        <sz val="11"/>
        <rFont val="David"/>
        <family val="2"/>
      </rPr>
      <t>(*) סגור</t>
    </r>
  </si>
  <si>
    <r>
      <t xml:space="preserve">הנגשה ביוחנני(כולל מעלית) </t>
    </r>
    <r>
      <rPr>
        <b/>
        <sz val="11"/>
        <rFont val="David"/>
        <family val="2"/>
      </rPr>
      <t>(*) סגור</t>
    </r>
  </si>
  <si>
    <r>
      <t xml:space="preserve">בניית ממדים בגני ילדים </t>
    </r>
    <r>
      <rPr>
        <b/>
        <sz val="11"/>
        <rFont val="David"/>
        <family val="2"/>
      </rPr>
      <t>(*) סגור</t>
    </r>
  </si>
  <si>
    <r>
      <t xml:space="preserve">הקמת הצללות בפארק </t>
    </r>
    <r>
      <rPr>
        <b/>
        <sz val="11"/>
        <rFont val="David"/>
        <family val="2"/>
      </rPr>
      <t>(*) סגור</t>
    </r>
  </si>
  <si>
    <r>
      <t xml:space="preserve">התקנת תאורה כיכר יערה </t>
    </r>
    <r>
      <rPr>
        <b/>
        <sz val="11"/>
        <rFont val="David"/>
        <family val="2"/>
      </rPr>
      <t>(*) סגור</t>
    </r>
  </si>
  <si>
    <r>
      <t xml:space="preserve">הצטיידות כיתות חדשות בי"ס-נתיב </t>
    </r>
    <r>
      <rPr>
        <b/>
        <sz val="11"/>
        <rFont val="David"/>
        <family val="2"/>
      </rPr>
      <t>(*) סגור</t>
    </r>
  </si>
  <si>
    <r>
      <t xml:space="preserve">הצטיידות מעבדות תיכון ראשונים </t>
    </r>
    <r>
      <rPr>
        <b/>
        <sz val="11"/>
        <rFont val="David"/>
        <family val="2"/>
      </rPr>
      <t>(*) סגור</t>
    </r>
  </si>
  <si>
    <r>
      <t>החלפת צנרת קו ראשי חופים זבולו</t>
    </r>
    <r>
      <rPr>
        <b/>
        <sz val="11"/>
        <rFont val="David"/>
        <family val="2"/>
      </rPr>
      <t xml:space="preserve"> (*) סגור</t>
    </r>
  </si>
  <si>
    <t xml:space="preserve"> מימוש תקציב</t>
  </si>
  <si>
    <r>
      <t xml:space="preserve">שילוט הכוונה למלונות </t>
    </r>
    <r>
      <rPr>
        <b/>
        <sz val="11"/>
        <rFont val="David"/>
        <family val="2"/>
      </rPr>
      <t>(*) סגור</t>
    </r>
  </si>
  <si>
    <r>
      <t xml:space="preserve">תכנון פיתוח רחוב רמת ים </t>
    </r>
    <r>
      <rPr>
        <b/>
        <sz val="11"/>
        <rFont val="David"/>
        <family val="2"/>
      </rPr>
      <t>(*) סגור</t>
    </r>
  </si>
  <si>
    <r>
      <t xml:space="preserve">שיפורים פיזיים ותכנוניים מתחם מלון הצוק </t>
    </r>
    <r>
      <rPr>
        <b/>
        <sz val="12"/>
        <rFont val="David"/>
        <family val="2"/>
      </rPr>
      <t>(*) סגור</t>
    </r>
  </si>
  <si>
    <r>
      <t>עבודות הנגשה חוף אכדיה</t>
    </r>
    <r>
      <rPr>
        <b/>
        <sz val="11"/>
        <rFont val="David"/>
        <family val="2"/>
      </rPr>
      <t xml:space="preserve"> (*) סגור</t>
    </r>
  </si>
  <si>
    <r>
      <t xml:space="preserve">תשתיות כיבוי אש שטחים ציבוריים מרינה </t>
    </r>
    <r>
      <rPr>
        <b/>
        <sz val="12"/>
        <rFont val="David"/>
        <family val="2"/>
      </rPr>
      <t>(*) סגור</t>
    </r>
  </si>
  <si>
    <t>8-9/2017</t>
  </si>
  <si>
    <t>תכנון עדכון  תוכנית אב לשבילי אופניים</t>
  </si>
  <si>
    <t xml:space="preserve">שצ"פ אל על והמינהרה </t>
  </si>
  <si>
    <t xml:space="preserve">פתוח קטעי רח' דרך ירושלים גולומב </t>
  </si>
  <si>
    <t>כיתות גן  5 שטח 408 גליל ים ב'</t>
  </si>
  <si>
    <r>
      <t xml:space="preserve">שדרוג והתאמות מבנים גנ"י תמר תאנה מוריה ציפורן </t>
    </r>
    <r>
      <rPr>
        <b/>
        <strike/>
        <sz val="12"/>
        <rFont val="David"/>
        <family val="2"/>
      </rPr>
      <t>נסגר</t>
    </r>
  </si>
  <si>
    <r>
      <t xml:space="preserve">הצטיידות גנ"י לאחר שיפוץ </t>
    </r>
    <r>
      <rPr>
        <b/>
        <strike/>
        <sz val="12"/>
        <rFont val="David"/>
        <family val="2"/>
      </rPr>
      <t>נסגר</t>
    </r>
  </si>
  <si>
    <t>שיפוץ אולם ספורט היובל</t>
  </si>
  <si>
    <t>התקנת תאורה כיכר יערה</t>
  </si>
  <si>
    <t>ביצוע כולל צפי עד 31.12.2017</t>
  </si>
  <si>
    <t>תקציב מעבר למסגרת תוכנית הפיתוח  כולל צפי עד 31.12.2017</t>
  </si>
  <si>
    <t xml:space="preserve">אגף חינוך ורווחה </t>
  </si>
  <si>
    <t>קרן ייעודית</t>
  </si>
  <si>
    <t>קרן יעודית  מתחם גליל ים</t>
  </si>
  <si>
    <t>חניון אגד</t>
  </si>
  <si>
    <t>שדרות ה - 93 (הבאר)</t>
  </si>
  <si>
    <t>סמטת ניסנוב</t>
  </si>
  <si>
    <t>יהודה הנשיא רבי עקיבא דוד רזיאל</t>
  </si>
  <si>
    <t>תכנון חניון מרינה לי</t>
  </si>
  <si>
    <t>ציר העדפה</t>
  </si>
  <si>
    <t>פארק הבאסה שלב ב' (בית קפה)</t>
  </si>
  <si>
    <t>פיתוח מתחם אולפני הרצליה (ושצ"פים)</t>
  </si>
  <si>
    <t>תב"ע 2159 (2394)</t>
  </si>
  <si>
    <t>תכנון דיור בר השגה בשכונת ויצמן (שמשון הגיבור)</t>
  </si>
  <si>
    <t>בי"ס חדש מתחם אלתרמן (יצחק נבון)</t>
  </si>
  <si>
    <t>בניית 3 גנ"י חדשים (יד התשעה)</t>
  </si>
  <si>
    <t>בנית 3 גני ילדים (המסילה)</t>
  </si>
  <si>
    <t>גנ"י מדעיים באלתרמן 3</t>
  </si>
  <si>
    <t xml:space="preserve">ריהוט רחוב באיזור התעשיה </t>
  </si>
  <si>
    <t>ביכנ"ס מקדש מלך</t>
  </si>
  <si>
    <t>תכנון  אסטרטגי ציר מעפילים</t>
  </si>
  <si>
    <t>פיצויי הפקעה תוכנית הר' 1929  6524/53 (ז'בוטינסקי)</t>
  </si>
  <si>
    <t>מקורות מימון - יתרה למימוש</t>
  </si>
  <si>
    <t>מקורות מימון - יתרה להזרמה עד 31.12.17</t>
  </si>
  <si>
    <t>מימוןו מ. התחבורה</t>
  </si>
  <si>
    <t>תוכנית פיתוח שנתית 2017 :מימוש - ריכוז לפי אגפים/יחידות</t>
  </si>
  <si>
    <t>סה"כ תקציב שמומש עד 30.9.2017</t>
  </si>
  <si>
    <t>סה"כ תקציב למימוש עד 31.12.2017</t>
  </si>
  <si>
    <t>סה"כ תקציב שמומש/ימומש עד 31.12.2017</t>
  </si>
  <si>
    <t>יתרת תקציב שלא מומשה</t>
  </si>
  <si>
    <t>תוכנית פיתוח שנתית 2017 :מימוש - אגף הנדסה</t>
  </si>
  <si>
    <t>תוכנית פיתוח שנתית 2017 :מימוש - החברה לפיתוח הרצליה</t>
  </si>
  <si>
    <t>תוכנית פיתוח שנתית 2017 :מימוש - אגף ת.ב.ל</t>
  </si>
  <si>
    <t>תוכנית פיתוח שנתית 2017 :מימוש - אגף בטחון ,פיקוח וסדר ציבורי</t>
  </si>
  <si>
    <t>תוכנית פיתוח שנתית 2017 :מימוש - אגף חינוך ,רווחה וספורט</t>
  </si>
  <si>
    <t>תוכנית פיתוח שנתית 2017 :מימוש - אגף ש.א.י.פ.ה/חופים/איכות הסביבה</t>
  </si>
  <si>
    <t>תוכנית פיתוח שנתית 2017 :מימוש - החברה לפיתוח התיירות בהרצליה</t>
  </si>
  <si>
    <t>תוכנית פיתוח שנתית 2017 :מימוש - אגף מיחשוב ומערכות מידע</t>
  </si>
  <si>
    <t>תוכנית פיתוח שנתית 2017 :מימוש - מחלקת נכסים וביטוח</t>
  </si>
  <si>
    <t>תוכנית פיתוח שנתית 2017 :מימוש - שיפוץ חזיתות בתים/עמידר</t>
  </si>
  <si>
    <t>תוכנית פיתוח שנתית 2017 :מימוש - כללי</t>
  </si>
  <si>
    <t>התקציב הבלתי רגיל לשנת 2017 – ביצוע</t>
  </si>
  <si>
    <t xml:space="preserve">ביצוע תקציב הבלתי רגיל לשנת 2017    </t>
  </si>
  <si>
    <t>ריכוז</t>
  </si>
  <si>
    <t>אגף חינוך/רווחה/ספורט</t>
  </si>
  <si>
    <t>אגף מיחשוב ומערכות מידע</t>
  </si>
  <si>
    <t>שיפוץ חזיתות ובתים</t>
  </si>
  <si>
    <t>מימוש תקציב בלתי רגיל במסגרת תוכנית הפיתוח השנתית 2017</t>
  </si>
  <si>
    <t>תקציב בלתי רגיל שאושר מעבר לתוכנית הפיתוח השנתית במהלך 2017</t>
  </si>
  <si>
    <t xml:space="preserve">אגף שאיפ"ה </t>
  </si>
  <si>
    <t xml:space="preserve">החברה לפיתוח התיירות הרצליה     </t>
  </si>
  <si>
    <t xml:space="preserve">אגף תקשוב ומערכות מידע     </t>
  </si>
  <si>
    <t>שביל צמרות ישראל(שביל אינטגרציה)</t>
  </si>
  <si>
    <t>משרד הפנים</t>
  </si>
  <si>
    <r>
      <t xml:space="preserve">הצעת התקציב הבלתי רגיל לשנת 2017 הסתכמה בסכום של  </t>
    </r>
    <r>
      <rPr>
        <b/>
        <sz val="12"/>
        <color theme="1"/>
        <rFont val="David"/>
        <family val="2"/>
        <charset val="177"/>
      </rPr>
      <t>434,621 אלפי ₪ .</t>
    </r>
  </si>
  <si>
    <t>סה"כ חנוך</t>
  </si>
  <si>
    <t>סה"כ  בטחון פיקוח וסדר ציבורי</t>
  </si>
  <si>
    <t>סה"כ רשות חופים</t>
  </si>
  <si>
    <t>סה"כ תקשוב ומע. מידע</t>
  </si>
  <si>
    <t>מספר הפרויקטים המטופל ע"י אגף הנדסה :</t>
  </si>
  <si>
    <t>מקורות מימון לפרויקטים :</t>
  </si>
  <si>
    <t>מקורות מימון</t>
  </si>
  <si>
    <t>סכום</t>
  </si>
  <si>
    <t>חלוקת התקציב לפי סוגי עבודות :</t>
  </si>
  <si>
    <t>סוג העבודה</t>
  </si>
  <si>
    <t>פרויקטים עיקריים</t>
  </si>
  <si>
    <t>פרויקטים בביצוע</t>
  </si>
  <si>
    <t>פרויקטים תכנון עיר</t>
  </si>
  <si>
    <t>פרויקטים התחדשות עירונית</t>
  </si>
  <si>
    <t>שינוי שם : מסומן (*)</t>
  </si>
  <si>
    <t xml:space="preserve">סך התקציב הנדרש בשנת 2018 ע"י אגף הנדסה מסתכם ב - </t>
  </si>
  <si>
    <t>תב"עות קטנות, שימור אתרים, תכנון מתחם הר' 2200</t>
  </si>
  <si>
    <t>רח' ז'בוטינסקי אלתרמן הבריגדה 
(מול רמ"י)</t>
  </si>
  <si>
    <t>עבודות ניקוז בעיר, פרויקטים תחבורתיים בעיר, מערכת בקרת רמזורים , פיתוח שצ"פים מורדי הגטאות, סמטת הבאר</t>
  </si>
  <si>
    <t>מספר הפרויקטים המטופל ע"י החברה לפיתוח בע"מ :</t>
  </si>
  <si>
    <t>אחוז</t>
  </si>
  <si>
    <t>פרויקט</t>
  </si>
  <si>
    <t xml:space="preserve">מתחם גליל ים </t>
  </si>
  <si>
    <t xml:space="preserve">פרויקטים שונים </t>
  </si>
  <si>
    <t xml:space="preserve">מתוכם העיקריים : </t>
  </si>
  <si>
    <t>מערכת כבישים ותשתיות א.ת. מערבי</t>
  </si>
  <si>
    <t xml:space="preserve">סך התקציב הנדרש בשנת 2018 ע"י החברה לפיתוח הרצליה  מסתכם ב - </t>
  </si>
  <si>
    <t>קרן ייעודית גליל ים</t>
  </si>
  <si>
    <t>פרויקטים עיקריים בשנת 2018 :</t>
  </si>
  <si>
    <t>מספר הפרויקטים המטופל ע"י האגף  :</t>
  </si>
  <si>
    <t xml:space="preserve">סך התקציב הנדרש בשנת 2018 ע"י האגף  מסתכם ב - </t>
  </si>
  <si>
    <t>אגף ביטחון , פיקוח וסדר ציבורי</t>
  </si>
  <si>
    <t>מספר הפרויקטים המטופל ע"י האגף :</t>
  </si>
  <si>
    <t>אגף חינוך</t>
  </si>
  <si>
    <t xml:space="preserve">הצטיידות בי"ס יצחק נבון באלתרמן </t>
  </si>
  <si>
    <t>תוכנית אסטרטגית להתיעלות  עירונית באזהת"ש</t>
  </si>
  <si>
    <t>מיזוג אוויר אולמות ספורט 
(אילנות,רעות)</t>
  </si>
  <si>
    <t xml:space="preserve">כיתות מעון 5 יום 5 כיתות גן- 
שטח  404 גליל ים ב' </t>
  </si>
  <si>
    <t>בית ספר יסודי 18 כיתות 
שטח  408 גליל ים ב'</t>
  </si>
  <si>
    <t>גן 3 כיתות שטח 402 גליל ים ב'</t>
  </si>
  <si>
    <t>ספריה+מ.קהילתי שטח 406 
 גליל ים ב'</t>
  </si>
  <si>
    <t>בית ספר יסודי 18 כיתות 
שטח 304 גלילי ים א'</t>
  </si>
  <si>
    <t>אגף שאיפה</t>
  </si>
  <si>
    <t>האגף אחראי בין היתר על רשות החופים והיחידה לאיכות הסביבה.</t>
  </si>
  <si>
    <t xml:space="preserve">שיקום ושדרוג גינות ציבוריות, שדרוג תשתיות משטחי גומי בגינות ציבוריות , </t>
  </si>
  <si>
    <t>היחידה לאיכות הסביבה</t>
  </si>
  <si>
    <r>
      <t>שיקום ,שד' ,הק' ונגישות גינות ציבוריות (</t>
    </r>
    <r>
      <rPr>
        <sz val="11"/>
        <rFont val="David"/>
        <family val="2"/>
      </rPr>
      <t>נגישות גינות)</t>
    </r>
  </si>
  <si>
    <r>
      <t xml:space="preserve">שדרוג מערכת השקייה ממוחשבות </t>
    </r>
    <r>
      <rPr>
        <sz val="11"/>
        <rFont val="David"/>
        <family val="2"/>
      </rPr>
      <t>(חדשים)</t>
    </r>
  </si>
  <si>
    <t xml:space="preserve">סך התקציב הנדרש בשנת 2018 ע"י היחידה  מסתכם ב - </t>
  </si>
  <si>
    <t>החברה לפיתוח התיירות בהרצליה</t>
  </si>
  <si>
    <t>מתוקצב כולו מקרן עבודות פיתוח.</t>
  </si>
  <si>
    <t>מרבית הפרויקטים של המחלקה הינם פיצויי הפקעה. פרויקטים אלו נמשכים זמן רב</t>
  </si>
  <si>
    <t>וסכומי התקציב, הנדרש, אם בכלל, אינם ידועים מראש ותלויים לעיתים בהליכים משפטיים.</t>
  </si>
  <si>
    <t xml:space="preserve">סך התקציב הנדרש בשנת 2018 ע"י החברה  מסתכם ב - </t>
  </si>
  <si>
    <t xml:space="preserve">התקנת מצלמות ברחבי העיר </t>
  </si>
  <si>
    <t xml:space="preserve">מחשב לכל גן </t>
  </si>
  <si>
    <t>אגף תקשוב  ומערכות מידע</t>
  </si>
  <si>
    <r>
      <t xml:space="preserve">תב"ר 1982 : התקנת מערך מצלמות מוס"ח ומוסדות ציבור - </t>
    </r>
    <r>
      <rPr>
        <b/>
        <sz val="12"/>
        <color theme="1"/>
        <rFont val="David"/>
        <family val="2"/>
      </rPr>
      <t>התקנת מערך שו"ב מצלמות מוס"ח ומוסדות ציבור</t>
    </r>
    <r>
      <rPr>
        <sz val="12"/>
        <color theme="1"/>
        <rFont val="David"/>
        <family val="2"/>
      </rPr>
      <t>.</t>
    </r>
  </si>
  <si>
    <r>
      <t>תב"ר 1871 : פריסת סיבים אופטיים ברחבי העיר-</t>
    </r>
    <r>
      <rPr>
        <b/>
        <sz val="12"/>
        <color theme="1"/>
        <rFont val="David"/>
        <family val="2"/>
      </rPr>
      <t xml:space="preserve"> פריסת </t>
    </r>
    <r>
      <rPr>
        <b/>
        <sz val="12"/>
        <color theme="1"/>
        <rFont val="David"/>
        <family val="2"/>
        <charset val="177"/>
      </rPr>
      <t>תשתיות תקשורת ברחבי העיר ובמוס"ח.</t>
    </r>
  </si>
  <si>
    <r>
      <t xml:space="preserve">התקנת מערך </t>
    </r>
    <r>
      <rPr>
        <b/>
        <sz val="11"/>
        <rFont val="David"/>
        <family val="2"/>
      </rPr>
      <t>שו"ב</t>
    </r>
    <r>
      <rPr>
        <sz val="11"/>
        <rFont val="David"/>
        <family val="2"/>
        <charset val="177"/>
      </rPr>
      <t xml:space="preserve"> מצלמות מוס"ח  ומבני ציבור  </t>
    </r>
    <r>
      <rPr>
        <b/>
        <sz val="11"/>
        <rFont val="David"/>
        <family val="2"/>
      </rPr>
      <t>(*)</t>
    </r>
    <r>
      <rPr>
        <sz val="11"/>
        <rFont val="David"/>
        <family val="2"/>
        <charset val="177"/>
      </rPr>
      <t xml:space="preserve"> </t>
    </r>
    <r>
      <rPr>
        <b/>
        <sz val="11"/>
        <rFont val="David"/>
        <family val="2"/>
      </rPr>
      <t>עדכון שם</t>
    </r>
  </si>
  <si>
    <t>שיפוץ חזיתות בתים/עמידר</t>
  </si>
  <si>
    <t>הסכום ברובו כולל מימון ביניים של העיריה  בגין שיפוצי בתים במסגרת אגודת תרבות הדיור.</t>
  </si>
  <si>
    <t>גנ"י בנווה עמל (ציפורן,מוריה)</t>
  </si>
  <si>
    <t>גנ"י מרכז ויצמן (תמר,תאנה)</t>
  </si>
  <si>
    <t>גן ילדים במתחם זרובבל</t>
  </si>
  <si>
    <t>גן רשל, גנ"י בי"ס אילנות</t>
  </si>
  <si>
    <t>תיכון ראשונים</t>
  </si>
  <si>
    <t>בדיקות תכנוניות  כללי</t>
  </si>
  <si>
    <t>שיפוץ יסודי במעון בן סרוק כולל הצטיידות</t>
  </si>
  <si>
    <t>הרצליה ב' - שצ"פ רח' המסילה , מרכז מסחרי אל-על נורדאו</t>
  </si>
  <si>
    <t>סה"כ 73</t>
  </si>
  <si>
    <t>סה"כ 74</t>
  </si>
  <si>
    <t>סה"כ 76</t>
  </si>
  <si>
    <t>סה"כ 81</t>
  </si>
  <si>
    <t>סה"כ 82</t>
  </si>
  <si>
    <t>סה"כ 72</t>
  </si>
  <si>
    <t>סה"כ 84</t>
  </si>
  <si>
    <t>סה"כ 85</t>
  </si>
  <si>
    <t>סה"כ 87</t>
  </si>
  <si>
    <t>סה"כ 93</t>
  </si>
  <si>
    <t>סה"כ 71</t>
  </si>
  <si>
    <t>סה"כ 747 חופים</t>
  </si>
  <si>
    <t>סה"כ 87 תרבות הדיור</t>
  </si>
  <si>
    <t>תכנון ובנין עיר</t>
  </si>
  <si>
    <t>חינוך ספורט ורווחה</t>
  </si>
  <si>
    <t xml:space="preserve">נכסים </t>
  </si>
  <si>
    <t>תשלומים בלתי רגילים</t>
  </si>
  <si>
    <t>סה"כ 848</t>
  </si>
  <si>
    <t>סה"כ 99</t>
  </si>
  <si>
    <t>סה"כ 61</t>
  </si>
  <si>
    <t>ריכוז לפי פרקים</t>
  </si>
  <si>
    <t>העברה מעודפי תקציב רגיל שנים קודמות</t>
  </si>
  <si>
    <t>פיתוח מתחם זרובבל.</t>
  </si>
  <si>
    <t>שצ"פ צמרות דרום (השביל הירוק)</t>
  </si>
  <si>
    <t>פיתוח שצ"פ צמרות דרום</t>
  </si>
  <si>
    <t xml:space="preserve">פיתוח אולמות ספורט. </t>
  </si>
  <si>
    <t>פיתוח רחוב צ.ה.ל.</t>
  </si>
  <si>
    <t>פיתוח רחוב בר כוכבא ורחוב צ.ה.ל.</t>
  </si>
  <si>
    <t>המשך השקעה בבית העלמין החדש.</t>
  </si>
  <si>
    <t>תכנון ועדכון  תוכנית אב לשבילי אופניים</t>
  </si>
  <si>
    <t>רח' ז'בוטינסקי אלתרמן הבריגדה (רמ"י)</t>
  </si>
  <si>
    <t>בית עלמין חדש</t>
  </si>
  <si>
    <t>פיתוח מתחם המסילה  ודב הוז</t>
  </si>
  <si>
    <t>פיתוח  מתחם הר' 1903</t>
  </si>
  <si>
    <t xml:space="preserve">מרכז תחבורה חדש </t>
  </si>
  <si>
    <t>בי"ס חדש יצחק נבון מתחם אלתרמן</t>
  </si>
  <si>
    <t>קיריית החינוך שטח 406 גליל ים ב'</t>
  </si>
  <si>
    <t>פיתוח מתנ"ס נווה עמל ומ. טניס</t>
  </si>
  <si>
    <t>גנ"י מדעיים באלתרמן</t>
  </si>
  <si>
    <t>מערכת תאורה LED ברחבי העיר</t>
  </si>
  <si>
    <t>שיפוצים שונים במוס"ח</t>
  </si>
  <si>
    <t>בניית בי"ס ירוק ברחוב משה</t>
  </si>
  <si>
    <t>החלפת צ'לרים א.ס. נ. ישראל,סמדר,נוף ים</t>
  </si>
  <si>
    <t>התקציב מיועד לשדרוג מקלטים ציבוריים והקמת מערכים לחרום לפינוי וחילוץ.</t>
  </si>
  <si>
    <t>התקציב מיועד ברובו להצטיידות מוסדות חינוך חדשים ולאחר שיפוץ.</t>
  </si>
  <si>
    <t>התקציב מיועד לשיפוץ מבני תנו"ס , עבודות התאמה לתקן מגרשי ספורט וציפוי מגרשי ספורט.</t>
  </si>
  <si>
    <t>הסדרה נופית של שטחי בי"ס, הקמת פינות מיחזור.</t>
  </si>
  <si>
    <t>התקציב מיועד לפיתוח חופי רחצה ורכישת טרקטורים.</t>
  </si>
  <si>
    <t>פרויקט השכרת אופניים, פיתוח חורשת אקליפטוסים בנחלת עדה ,</t>
  </si>
  <si>
    <t>פרויקטים שונים של  איכות הסביבה  והפחתת זיהום האוויר.</t>
  </si>
  <si>
    <t>פיתוח גן לאומי אפולוניה ותכנון תב"עות  - חוף הים, טיילת החוף, כיכר דה שליט.</t>
  </si>
  <si>
    <t xml:space="preserve">התקנת מערך שליטה ובקרה מצלמות מוסדות חינוך ומבני ציבור, פריסת תשתיות </t>
  </si>
  <si>
    <t>תקשורת ברחבי העיר ומוסדות חינוך, תשתיות פס רחב מוסדות חינוך.</t>
  </si>
  <si>
    <t>נגישות לאנשים עם מוגבלויות, מדידות נכסים ובדיקות נכסים לצורך גביית היטלי פיתוח,</t>
  </si>
  <si>
    <t>פרויקטים דחופים בלתי צפויים מראש/מימוני ביניים.</t>
  </si>
  <si>
    <t>מקורת מימון-מימוש תקציב עד 31.12.2017</t>
  </si>
  <si>
    <t>פרק</t>
  </si>
  <si>
    <t>מקורת מימון - מימוש תקציב עד 31.12.2017</t>
  </si>
  <si>
    <r>
      <t>כיתות גן  נוספות 4 שטח 408 גליל ים ב'</t>
    </r>
    <r>
      <rPr>
        <b/>
        <sz val="11"/>
        <rFont val="David"/>
        <family val="2"/>
      </rPr>
      <t xml:space="preserve"> סגור</t>
    </r>
  </si>
  <si>
    <r>
      <t xml:space="preserve">פיצויי הפקעה 6525 חל' 66,75,74 אינבסטלום הולדינגס </t>
    </r>
    <r>
      <rPr>
        <b/>
        <sz val="11"/>
        <rFont val="David"/>
        <family val="2"/>
      </rPr>
      <t>סגור</t>
    </r>
  </si>
  <si>
    <r>
      <t xml:space="preserve">שדרוג כבישים ומדרכות </t>
    </r>
    <r>
      <rPr>
        <b/>
        <sz val="11"/>
        <rFont val="David"/>
        <family val="2"/>
      </rPr>
      <t>(*) עבר לתבל)</t>
    </r>
  </si>
  <si>
    <r>
      <t xml:space="preserve">פינוי בינוי סוקולוב ירושלים </t>
    </r>
    <r>
      <rPr>
        <b/>
        <sz val="12"/>
        <rFont val="David"/>
        <family val="2"/>
      </rPr>
      <t>(*)שינוי מימון</t>
    </r>
  </si>
  <si>
    <r>
      <t xml:space="preserve">רחוב בר כוכבא </t>
    </r>
    <r>
      <rPr>
        <b/>
        <sz val="12"/>
        <rFont val="David"/>
        <family val="2"/>
      </rPr>
      <t>(1)</t>
    </r>
  </si>
  <si>
    <r>
      <t>פיתוח מתחם "מרינה לי"</t>
    </r>
    <r>
      <rPr>
        <b/>
        <sz val="12"/>
        <color rgb="FFFF0000"/>
        <rFont val="David"/>
        <family val="2"/>
      </rPr>
      <t xml:space="preserve"> </t>
    </r>
    <r>
      <rPr>
        <b/>
        <sz val="12"/>
        <rFont val="David"/>
        <family val="2"/>
      </rPr>
      <t>הקטנה</t>
    </r>
  </si>
  <si>
    <r>
      <t xml:space="preserve">רחוב בר כוכבא </t>
    </r>
    <r>
      <rPr>
        <b/>
        <sz val="12"/>
        <rFont val="David"/>
        <family val="2"/>
      </rPr>
      <t>(1) שינוי מימון</t>
    </r>
  </si>
  <si>
    <r>
      <t xml:space="preserve">כיתות מעון 5 וכיתות גן 2 שטח 404 גליל ים ב' </t>
    </r>
    <r>
      <rPr>
        <b/>
        <sz val="12"/>
        <rFont val="David"/>
        <family val="2"/>
      </rPr>
      <t>(2)</t>
    </r>
  </si>
  <si>
    <r>
      <t xml:space="preserve">בית העלמין החדש </t>
    </r>
    <r>
      <rPr>
        <b/>
        <sz val="12"/>
        <rFont val="David"/>
        <family val="2"/>
      </rPr>
      <t>(5)</t>
    </r>
  </si>
  <si>
    <r>
      <t xml:space="preserve"> כיתות גן וכיתות מעון שטח 404 גליל ים ב' (*) כולל שינוי שם</t>
    </r>
    <r>
      <rPr>
        <b/>
        <sz val="12"/>
        <color rgb="FFFF0000"/>
        <rFont val="David"/>
        <family val="2"/>
      </rPr>
      <t xml:space="preserve"> </t>
    </r>
    <r>
      <rPr>
        <b/>
        <sz val="12"/>
        <rFont val="David"/>
        <family val="2"/>
      </rPr>
      <t>(2)</t>
    </r>
  </si>
  <si>
    <r>
      <t xml:space="preserve">כיתות גן 4 שטח 408 גליל ים ב' </t>
    </r>
    <r>
      <rPr>
        <b/>
        <sz val="12"/>
        <rFont val="David"/>
        <family val="2"/>
      </rPr>
      <t>(*) הקטנה וסגירה</t>
    </r>
  </si>
  <si>
    <r>
      <t>מבנה תרבות במערב העיר</t>
    </r>
    <r>
      <rPr>
        <b/>
        <sz val="12"/>
        <color rgb="FFFF0000"/>
        <rFont val="David"/>
        <family val="2"/>
      </rPr>
      <t xml:space="preserve"> </t>
    </r>
    <r>
      <rPr>
        <b/>
        <sz val="12"/>
        <rFont val="David"/>
        <family val="2"/>
      </rPr>
      <t>שינוי מימון</t>
    </r>
  </si>
  <si>
    <r>
      <t xml:space="preserve">רחוב החרש </t>
    </r>
    <r>
      <rPr>
        <b/>
        <sz val="12"/>
        <color rgb="FFFF0000"/>
        <rFont val="David"/>
        <family val="2"/>
      </rPr>
      <t xml:space="preserve"> </t>
    </r>
    <r>
      <rPr>
        <b/>
        <sz val="12"/>
        <rFont val="David"/>
        <family val="2"/>
      </rPr>
      <t>שינוי מימון</t>
    </r>
  </si>
  <si>
    <r>
      <t>מיזוג אוויר אולמות ספורט (אילנות רעות)</t>
    </r>
    <r>
      <rPr>
        <b/>
        <sz val="12"/>
        <color rgb="FFFF0000"/>
        <rFont val="David"/>
        <family val="2"/>
      </rPr>
      <t xml:space="preserve"> </t>
    </r>
    <r>
      <rPr>
        <b/>
        <sz val="12"/>
        <rFont val="David"/>
        <family val="2"/>
      </rPr>
      <t>שינוי מימון</t>
    </r>
  </si>
  <si>
    <r>
      <t xml:space="preserve">בית עלמין חדש </t>
    </r>
    <r>
      <rPr>
        <b/>
        <sz val="12"/>
        <rFont val="David"/>
        <family val="2"/>
      </rPr>
      <t>(5)</t>
    </r>
  </si>
  <si>
    <r>
      <t xml:space="preserve">בי"ס חדש מתחם אלתרמן </t>
    </r>
    <r>
      <rPr>
        <b/>
        <sz val="12"/>
        <rFont val="David"/>
        <family val="2"/>
      </rPr>
      <t>(שינוי מימון)</t>
    </r>
  </si>
  <si>
    <r>
      <t xml:space="preserve">שיפוצי מוס"ח 2015 (לב טוב וגורדון) </t>
    </r>
    <r>
      <rPr>
        <b/>
        <sz val="12"/>
        <rFont val="David"/>
        <family val="2"/>
      </rPr>
      <t>(כולל ש.מימון) (3)</t>
    </r>
  </si>
  <si>
    <r>
      <t xml:space="preserve">תוספת בניה יוחנני  </t>
    </r>
    <r>
      <rPr>
        <b/>
        <sz val="12"/>
        <rFont val="David"/>
        <family val="2"/>
      </rPr>
      <t>(שינוי מימון)</t>
    </r>
  </si>
  <si>
    <r>
      <t xml:space="preserve">שיפוץ תוספת בניה בר אילן </t>
    </r>
    <r>
      <rPr>
        <b/>
        <sz val="12"/>
        <rFont val="David"/>
        <family val="2"/>
      </rPr>
      <t>(הג. היקף)</t>
    </r>
  </si>
  <si>
    <r>
      <t xml:space="preserve">שיפוצי מוס"ח 2015 (לב טוב וגורדון) </t>
    </r>
    <r>
      <rPr>
        <b/>
        <sz val="12"/>
        <rFont val="David"/>
        <family val="2"/>
      </rPr>
      <t>(שינוי מימון) (3)</t>
    </r>
  </si>
  <si>
    <r>
      <t xml:space="preserve">מערכת התראה רעידות אדמה בי"ס </t>
    </r>
    <r>
      <rPr>
        <b/>
        <sz val="12"/>
        <rFont val="David"/>
        <family val="2"/>
      </rPr>
      <t xml:space="preserve">(4) </t>
    </r>
  </si>
  <si>
    <r>
      <t>סירות</t>
    </r>
    <r>
      <rPr>
        <sz val="12"/>
        <rFont val="David"/>
        <family val="2"/>
      </rPr>
      <t xml:space="preserve"> </t>
    </r>
    <r>
      <rPr>
        <b/>
        <sz val="12"/>
        <rFont val="David"/>
        <family val="2"/>
      </rPr>
      <t>ומתקנים</t>
    </r>
    <r>
      <rPr>
        <sz val="12"/>
        <rFont val="David"/>
        <family val="2"/>
      </rPr>
      <t xml:space="preserve"> </t>
    </r>
    <r>
      <rPr>
        <sz val="12"/>
        <rFont val="David"/>
        <family val="2"/>
        <charset val="177"/>
      </rPr>
      <t xml:space="preserve">מועדון ימי </t>
    </r>
    <r>
      <rPr>
        <b/>
        <sz val="12"/>
        <rFont val="David"/>
        <family val="2"/>
      </rPr>
      <t>(עדכון שם)</t>
    </r>
  </si>
  <si>
    <t xml:space="preserve"> </t>
  </si>
  <si>
    <t>מקורת מימון - מימוש תקציב עד31.12.2017</t>
  </si>
  <si>
    <t>היקפי פרויקט מעל 14,000,000 ₪</t>
  </si>
  <si>
    <t>פרויקטים לביצוע ע"י החברה לפיתוח הרצליה</t>
  </si>
  <si>
    <t>5-16</t>
  </si>
  <si>
    <t>17-21</t>
  </si>
  <si>
    <t>35-36</t>
  </si>
  <si>
    <t>37-38</t>
  </si>
  <si>
    <t>39-41</t>
  </si>
  <si>
    <t>42-44</t>
  </si>
  <si>
    <t>45-46</t>
  </si>
  <si>
    <t>47-48</t>
  </si>
  <si>
    <t>49-50</t>
  </si>
  <si>
    <t>51-52</t>
  </si>
  <si>
    <t>53-54</t>
  </si>
  <si>
    <t>55-56</t>
  </si>
  <si>
    <t>57-87</t>
  </si>
  <si>
    <t>88</t>
  </si>
  <si>
    <t>דו"ח מפורט מובא בעמודים  57-87</t>
  </si>
  <si>
    <t>ראה פרוט נוסף בעמוד 16</t>
  </si>
  <si>
    <t>פרוט הפרויקטים מובא בעמוד 88</t>
  </si>
  <si>
    <t>24 באוקטובר 2017</t>
  </si>
  <si>
    <t>ד' בחשוון תשע"ח</t>
  </si>
  <si>
    <t>פיתוח שצ"פ צמרות דרום.</t>
  </si>
  <si>
    <t>מרכז תחבורה חדש .</t>
  </si>
  <si>
    <t>תוכנית תוקף תוכנית מתאר, תמ"א 38 ,
תכנון פרויקים פינוי בינוי והתחדשות עירונית</t>
  </si>
  <si>
    <t>תב"ע תחנה מרכזית חדשה זמנית - שימוש חורג</t>
  </si>
  <si>
    <t>תוכנית אסטרטגית להתיעלות  עירונית במרכז העיר</t>
  </si>
  <si>
    <t>מסמכי   מדיניות   להתחדשות  עירונית בשכונות</t>
  </si>
  <si>
    <t>גנ"י במתחם אלתרמן</t>
  </si>
  <si>
    <t>שביל צמרות ישראל 
(שביל אינטגרציה)</t>
  </si>
  <si>
    <t>הסדרת תעלה ותפיסת קיץ    
בר כוכבא</t>
  </si>
  <si>
    <t>בי"ס חדש במתחם אלתרמן   
(יצחק נבון)</t>
  </si>
  <si>
    <t>השקעה תשתיות/הרחבות חניונים</t>
  </si>
  <si>
    <t>ארחים</t>
  </si>
  <si>
    <t>מספר הפרויקטים :</t>
  </si>
  <si>
    <t>מתקני משחק וריהוט גן, תכנון ופיתוח חורשות חדשות, שדרוג המרחב הציבורי,</t>
  </si>
  <si>
    <t>התקציב הבלתי רגיל לשנת 2017 - ביצוע</t>
  </si>
  <si>
    <t>63 - 59</t>
  </si>
  <si>
    <t>68 - 64</t>
  </si>
  <si>
    <t>71 - 69</t>
  </si>
  <si>
    <t>74 - 73</t>
  </si>
  <si>
    <t>77 - 75</t>
  </si>
  <si>
    <t>87 - 83</t>
  </si>
  <si>
    <t>תקצוב תב"רים שאושרו במועצה מעבר לתוכנית הפיתוח השנתית</t>
  </si>
  <si>
    <t>מקורת מימון - מימוש תקציב עד  31.12.2017</t>
  </si>
  <si>
    <t>בית ספר יסודי 18 כיתות  שטח 304 גלילי ים א'</t>
  </si>
  <si>
    <r>
      <t xml:space="preserve">בית כנסת שיכון דרום </t>
    </r>
    <r>
      <rPr>
        <b/>
        <sz val="11"/>
        <rFont val="David"/>
        <family val="2"/>
      </rPr>
      <t>(סגור)</t>
    </r>
  </si>
  <si>
    <r>
      <t>חיבור מערכת ניקוז לכביש 20</t>
    </r>
    <r>
      <rPr>
        <b/>
        <sz val="11"/>
        <rFont val="David"/>
        <family val="2"/>
      </rPr>
      <t>(סגור)</t>
    </r>
  </si>
  <si>
    <r>
      <t xml:space="preserve">כביש הואדי </t>
    </r>
    <r>
      <rPr>
        <b/>
        <sz val="11"/>
        <rFont val="David"/>
        <family val="2"/>
      </rPr>
      <t>(סגור)</t>
    </r>
  </si>
  <si>
    <r>
      <t xml:space="preserve">פת' בעיות קונסטרוקציה </t>
    </r>
    <r>
      <rPr>
        <b/>
        <sz val="11"/>
        <rFont val="David"/>
        <family val="2"/>
      </rPr>
      <t>(סגור)</t>
    </r>
  </si>
  <si>
    <r>
      <t xml:space="preserve">תב"ע הר' 2162 רזיאל </t>
    </r>
    <r>
      <rPr>
        <b/>
        <sz val="11"/>
        <rFont val="David"/>
        <family val="2"/>
      </rPr>
      <t>(סגור)</t>
    </r>
  </si>
  <si>
    <r>
      <t xml:space="preserve">רח' אזר וההסתדרות </t>
    </r>
    <r>
      <rPr>
        <b/>
        <sz val="11"/>
        <rFont val="David"/>
        <family val="2"/>
      </rPr>
      <t>(סגור)</t>
    </r>
  </si>
  <si>
    <r>
      <t xml:space="preserve">תכנון גבעת התחמושת </t>
    </r>
    <r>
      <rPr>
        <b/>
        <sz val="11"/>
        <rFont val="David"/>
        <family val="2"/>
      </rPr>
      <t>(סגור)</t>
    </r>
  </si>
  <si>
    <r>
      <t xml:space="preserve">העצמאות קטע בן גוריון קהילת ציון </t>
    </r>
    <r>
      <rPr>
        <b/>
        <sz val="11"/>
        <rFont val="David"/>
        <family val="2"/>
      </rPr>
      <t>(סגור)</t>
    </r>
  </si>
  <si>
    <r>
      <t xml:space="preserve">תכנית אב חדשה לתחבורה </t>
    </r>
    <r>
      <rPr>
        <b/>
        <sz val="11"/>
        <rFont val="David"/>
        <family val="2"/>
      </rPr>
      <t>(סגור)</t>
    </r>
  </si>
  <si>
    <r>
      <t xml:space="preserve">תשתיות תקשורת </t>
    </r>
    <r>
      <rPr>
        <b/>
        <sz val="11"/>
        <rFont val="David"/>
        <family val="2"/>
      </rPr>
      <t>(סגור)</t>
    </r>
  </si>
  <si>
    <r>
      <t xml:space="preserve">שדרוג תשתיות מידע </t>
    </r>
    <r>
      <rPr>
        <b/>
        <sz val="11"/>
        <rFont val="David"/>
        <family val="2"/>
      </rPr>
      <t>(סגור)</t>
    </r>
  </si>
  <si>
    <r>
      <t xml:space="preserve">רכישת חנייה חניון "דיזנגוף" </t>
    </r>
    <r>
      <rPr>
        <b/>
        <sz val="11"/>
        <rFont val="David"/>
        <family val="2"/>
      </rPr>
      <t>(סגור)</t>
    </r>
  </si>
  <si>
    <r>
      <t xml:space="preserve">גידור מגרשי טניס נ.עמל </t>
    </r>
    <r>
      <rPr>
        <b/>
        <sz val="11"/>
        <rFont val="David"/>
        <family val="2"/>
      </rPr>
      <t>(סגור)</t>
    </r>
  </si>
  <si>
    <r>
      <t xml:space="preserve">מיזוג אוויר בכיתות לימוד בי"ס חינוך ימי </t>
    </r>
    <r>
      <rPr>
        <b/>
        <sz val="11"/>
        <rFont val="David"/>
        <family val="2"/>
      </rPr>
      <t>(סגור)</t>
    </r>
  </si>
  <si>
    <r>
      <t xml:space="preserve">מתקן סל אולם נוף ים </t>
    </r>
    <r>
      <rPr>
        <b/>
        <sz val="11"/>
        <rFont val="David"/>
        <family val="2"/>
      </rPr>
      <t>(סגור)</t>
    </r>
  </si>
  <si>
    <r>
      <t xml:space="preserve">חימר במגרשי הטניס </t>
    </r>
    <r>
      <rPr>
        <b/>
        <sz val="11"/>
        <rFont val="David"/>
        <family val="2"/>
      </rPr>
      <t>(סגור)</t>
    </r>
  </si>
  <si>
    <r>
      <t xml:space="preserve">הקמת מ.תאורה מ.ספורט בן גוריון </t>
    </r>
    <r>
      <rPr>
        <b/>
        <sz val="11"/>
        <rFont val="David"/>
        <family val="2"/>
      </rPr>
      <t>(סגור)</t>
    </r>
  </si>
  <si>
    <t>מתחם קמפוס הרצליה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</si>
</sst>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#0"/>
    <numFmt numFmtId="165" formatCode="0.0%"/>
    <numFmt numFmtId="166" formatCode="_ * #,##0_ ;_ * \-#,##0_ ;_ * &quot;-&quot;??_ ;_ @_ "/>
  </numFmts>
  <fonts count="61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b/>
      <sz val="11"/>
      <name val="David"/>
      <family val="2"/>
      <charset val="177"/>
    </font>
    <font>
      <sz val="11"/>
      <name val="David"/>
      <family val="2"/>
      <charset val="177"/>
    </font>
    <font>
      <sz val="8"/>
      <color rgb="FF000000"/>
      <name val="Tahoma"/>
      <family val="2"/>
    </font>
    <font>
      <sz val="12"/>
      <name val="David"/>
      <family val="2"/>
      <charset val="177"/>
    </font>
    <font>
      <b/>
      <sz val="12"/>
      <name val="David"/>
      <family val="2"/>
      <charset val="177"/>
    </font>
    <font>
      <sz val="10"/>
      <name val="Arial"/>
      <family val="2"/>
      <scheme val="minor"/>
    </font>
    <font>
      <sz val="10"/>
      <name val="Arial"/>
      <family val="2"/>
    </font>
    <font>
      <b/>
      <u/>
      <sz val="18"/>
      <name val="David"/>
      <family val="2"/>
      <charset val="177"/>
    </font>
    <font>
      <b/>
      <u/>
      <sz val="14"/>
      <name val="David"/>
      <family val="2"/>
      <charset val="177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David"/>
      <family val="2"/>
      <charset val="177"/>
    </font>
    <font>
      <sz val="11"/>
      <color rgb="FFFF0000"/>
      <name val="David"/>
      <family val="2"/>
      <charset val="177"/>
    </font>
    <font>
      <b/>
      <sz val="11"/>
      <color theme="1"/>
      <name val="Arial"/>
      <family val="2"/>
      <charset val="177"/>
      <scheme val="minor"/>
    </font>
    <font>
      <strike/>
      <sz val="11"/>
      <name val="David"/>
      <family val="2"/>
      <charset val="177"/>
    </font>
    <font>
      <sz val="10"/>
      <name val="Arial"/>
      <family val="2"/>
    </font>
    <font>
      <sz val="11"/>
      <name val="David"/>
      <family val="2"/>
    </font>
    <font>
      <b/>
      <sz val="11"/>
      <name val="David"/>
      <family val="2"/>
    </font>
    <font>
      <b/>
      <sz val="12"/>
      <name val="David"/>
      <family val="2"/>
    </font>
    <font>
      <sz val="12"/>
      <name val="David"/>
      <family val="2"/>
    </font>
    <font>
      <sz val="11"/>
      <color rgb="FF000000"/>
      <name val="Nachlieli CLM"/>
      <family val="2"/>
      <charset val="1"/>
    </font>
    <font>
      <sz val="11"/>
      <name val="David"/>
      <family val="2"/>
      <charset val="1"/>
    </font>
    <font>
      <sz val="9"/>
      <color rgb="FF000000"/>
      <name val="Nachlieli CLM"/>
      <family val="2"/>
      <charset val="1"/>
    </font>
    <font>
      <sz val="9"/>
      <color rgb="FF000000"/>
      <name val="Arial"/>
      <family val="2"/>
      <charset val="177"/>
    </font>
    <font>
      <sz val="8"/>
      <color theme="1"/>
      <name val="Andale WT"/>
      <family val="2"/>
    </font>
    <font>
      <b/>
      <sz val="12"/>
      <color theme="1"/>
      <name val="Andale WT"/>
      <family val="2"/>
    </font>
    <font>
      <b/>
      <u/>
      <sz val="16"/>
      <name val="David"/>
      <family val="2"/>
      <charset val="177"/>
    </font>
    <font>
      <b/>
      <u/>
      <sz val="16"/>
      <color theme="1"/>
      <name val="David"/>
      <family val="2"/>
      <charset val="177"/>
    </font>
    <font>
      <sz val="12"/>
      <color theme="1"/>
      <name val="David"/>
      <family val="2"/>
      <charset val="177"/>
    </font>
    <font>
      <b/>
      <u/>
      <sz val="12"/>
      <color theme="1"/>
      <name val="David"/>
      <family val="2"/>
      <charset val="177"/>
    </font>
    <font>
      <b/>
      <sz val="12"/>
      <color theme="1"/>
      <name val="David"/>
      <family val="2"/>
      <charset val="177"/>
    </font>
    <font>
      <sz val="12"/>
      <color theme="1"/>
      <name val="Wingdings"/>
      <charset val="2"/>
    </font>
    <font>
      <strike/>
      <sz val="12"/>
      <color theme="1"/>
      <name val="Times New Roman"/>
      <family val="1"/>
    </font>
    <font>
      <sz val="14"/>
      <color theme="1"/>
      <name val="David"/>
      <family val="2"/>
      <charset val="177"/>
    </font>
    <font>
      <b/>
      <u/>
      <sz val="14"/>
      <color theme="1"/>
      <name val="David"/>
      <family val="2"/>
      <charset val="177"/>
    </font>
    <font>
      <sz val="14"/>
      <color theme="1"/>
      <name val="Arial"/>
      <family val="2"/>
      <charset val="177"/>
      <scheme val="minor"/>
    </font>
    <font>
      <u val="singleAccounting"/>
      <sz val="12"/>
      <color theme="1"/>
      <name val="David"/>
      <family val="2"/>
      <charset val="177"/>
    </font>
    <font>
      <b/>
      <u val="doubleAccounting"/>
      <sz val="12"/>
      <color theme="1"/>
      <name val="David"/>
      <family val="2"/>
      <charset val="177"/>
    </font>
    <font>
      <b/>
      <sz val="11"/>
      <color theme="1"/>
      <name val="Arial"/>
      <family val="2"/>
      <scheme val="minor"/>
    </font>
    <font>
      <b/>
      <sz val="18"/>
      <color rgb="FFFF0000"/>
      <name val="David"/>
      <family val="2"/>
      <charset val="177"/>
    </font>
    <font>
      <b/>
      <u/>
      <sz val="36"/>
      <color theme="1"/>
      <name val="David"/>
      <family val="2"/>
      <charset val="177"/>
    </font>
    <font>
      <b/>
      <strike/>
      <sz val="11"/>
      <name val="David"/>
      <family val="2"/>
      <charset val="177"/>
    </font>
    <font>
      <b/>
      <strike/>
      <sz val="11"/>
      <name val="David"/>
      <family val="2"/>
    </font>
    <font>
      <strike/>
      <sz val="12"/>
      <name val="David"/>
      <family val="2"/>
      <charset val="177"/>
    </font>
    <font>
      <b/>
      <strike/>
      <sz val="12"/>
      <name val="David"/>
      <family val="2"/>
      <charset val="177"/>
    </font>
    <font>
      <b/>
      <sz val="12"/>
      <color theme="1"/>
      <name val="David"/>
      <family val="2"/>
    </font>
    <font>
      <b/>
      <sz val="12"/>
      <color rgb="FFFF0000"/>
      <name val="David"/>
      <family val="2"/>
      <charset val="177"/>
    </font>
    <font>
      <b/>
      <sz val="12"/>
      <color rgb="FFFF0000"/>
      <name val="David"/>
      <family val="2"/>
    </font>
    <font>
      <b/>
      <strike/>
      <sz val="12"/>
      <name val="David"/>
      <family val="2"/>
    </font>
    <font>
      <b/>
      <sz val="11"/>
      <color rgb="FF000000"/>
      <name val="Nachlieli CLM"/>
      <family val="2"/>
      <charset val="1"/>
    </font>
    <font>
      <b/>
      <sz val="12"/>
      <color theme="1"/>
      <name val="Arial"/>
      <family val="2"/>
      <charset val="177"/>
      <scheme val="minor"/>
    </font>
    <font>
      <sz val="11"/>
      <color theme="1"/>
      <name val="Wingdings"/>
      <charset val="2"/>
    </font>
    <font>
      <sz val="12"/>
      <color theme="1"/>
      <name val="David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3CDDD"/>
        <bgColor rgb="FFCCCC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6" fillId="0" borderId="0"/>
    <xf numFmtId="0" fontId="13" fillId="0" borderId="0">
      <alignment vertical="top"/>
    </xf>
    <xf numFmtId="0" fontId="6" fillId="2" borderId="1" applyNumberFormat="0" applyFont="0" applyAlignment="0" applyProtection="0"/>
    <xf numFmtId="0" fontId="14" fillId="0" borderId="0"/>
    <xf numFmtId="0" fontId="5" fillId="0" borderId="0"/>
    <xf numFmtId="0" fontId="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43" fontId="23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3" fillId="0" borderId="0"/>
    <xf numFmtId="0" fontId="1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45">
    <xf numFmtId="0" fontId="0" fillId="0" borderId="0" xfId="0"/>
    <xf numFmtId="0" fontId="9" fillId="0" borderId="2" xfId="0" applyFont="1" applyFill="1" applyBorder="1" applyAlignment="1">
      <alignment vertical="center" wrapText="1"/>
    </xf>
    <xf numFmtId="3" fontId="9" fillId="0" borderId="2" xfId="0" applyNumberFormat="1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5" fillId="0" borderId="0" xfId="4" applyFont="1" applyBorder="1" applyAlignment="1">
      <alignment vertical="center"/>
    </xf>
    <xf numFmtId="0" fontId="11" fillId="0" borderId="0" xfId="4" applyFont="1" applyBorder="1" applyAlignment="1">
      <alignment vertical="center"/>
    </xf>
    <xf numFmtId="0" fontId="11" fillId="0" borderId="0" xfId="4" applyFont="1" applyBorder="1" applyAlignment="1">
      <alignment horizontal="right" vertical="center"/>
    </xf>
    <xf numFmtId="0" fontId="8" fillId="0" borderId="0" xfId="0" applyFont="1" applyFill="1" applyAlignment="1">
      <alignment vertical="center" wrapText="1"/>
    </xf>
    <xf numFmtId="0" fontId="9" fillId="0" borderId="2" xfId="0" applyFont="1" applyFill="1" applyBorder="1" applyAlignment="1"/>
    <xf numFmtId="0" fontId="12" fillId="0" borderId="0" xfId="0" applyFont="1" applyFill="1" applyAlignment="1">
      <alignment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/>
    <xf numFmtId="3" fontId="8" fillId="0" borderId="2" xfId="4" applyNumberFormat="1" applyFont="1" applyBorder="1" applyAlignment="1">
      <alignment horizontal="right" vertical="center" wrapText="1"/>
    </xf>
    <xf numFmtId="0" fontId="9" fillId="0" borderId="2" xfId="4" applyFont="1" applyFill="1" applyBorder="1" applyAlignment="1">
      <alignment vertical="center" wrapText="1"/>
    </xf>
    <xf numFmtId="3" fontId="9" fillId="0" borderId="2" xfId="4" applyNumberFormat="1" applyFont="1" applyFill="1" applyBorder="1" applyAlignment="1">
      <alignment vertical="center" wrapText="1"/>
    </xf>
    <xf numFmtId="0" fontId="9" fillId="0" borderId="0" xfId="4" applyFont="1" applyFill="1" applyAlignment="1">
      <alignment vertical="center" wrapText="1"/>
    </xf>
    <xf numFmtId="0" fontId="8" fillId="0" borderId="0" xfId="4" applyFont="1" applyFill="1" applyAlignment="1">
      <alignment vertical="center" wrapText="1"/>
    </xf>
    <xf numFmtId="0" fontId="11" fillId="0" borderId="0" xfId="4" applyFont="1" applyFill="1" applyAlignment="1">
      <alignment vertical="center" wrapText="1"/>
    </xf>
    <xf numFmtId="0" fontId="8" fillId="0" borderId="2" xfId="4" applyFont="1" applyBorder="1" applyAlignment="1">
      <alignment horizontal="right" vertical="center" wrapText="1"/>
    </xf>
    <xf numFmtId="0" fontId="8" fillId="0" borderId="2" xfId="4" applyFont="1" applyFill="1" applyBorder="1" applyAlignment="1">
      <alignment vertical="center" wrapText="1"/>
    </xf>
    <xf numFmtId="3" fontId="8" fillId="0" borderId="2" xfId="4" applyNumberFormat="1" applyFont="1" applyFill="1" applyBorder="1" applyAlignment="1">
      <alignment vertical="center" wrapText="1"/>
    </xf>
    <xf numFmtId="3" fontId="8" fillId="0" borderId="2" xfId="4" applyNumberFormat="1" applyFont="1" applyFill="1" applyBorder="1" applyAlignment="1">
      <alignment horizontal="right" vertical="center" wrapText="1"/>
    </xf>
    <xf numFmtId="3" fontId="9" fillId="0" borderId="4" xfId="4" applyNumberFormat="1" applyFont="1" applyFill="1" applyBorder="1" applyAlignment="1">
      <alignment vertical="center" wrapText="1"/>
    </xf>
    <xf numFmtId="3" fontId="9" fillId="0" borderId="6" xfId="4" applyNumberFormat="1" applyFont="1" applyFill="1" applyBorder="1" applyAlignment="1">
      <alignment vertical="center" wrapText="1"/>
    </xf>
    <xf numFmtId="3" fontId="8" fillId="0" borderId="6" xfId="4" applyNumberFormat="1" applyFont="1" applyFill="1" applyBorder="1" applyAlignment="1">
      <alignment vertical="center" wrapText="1"/>
    </xf>
    <xf numFmtId="3" fontId="9" fillId="0" borderId="6" xfId="4" applyNumberFormat="1" applyFont="1" applyFill="1" applyBorder="1" applyAlignment="1">
      <alignment horizontal="right" vertical="center" wrapText="1"/>
    </xf>
    <xf numFmtId="3" fontId="9" fillId="0" borderId="3" xfId="4" applyNumberFormat="1" applyFont="1" applyFill="1" applyBorder="1" applyAlignment="1">
      <alignment vertical="center" wrapText="1"/>
    </xf>
    <xf numFmtId="3" fontId="12" fillId="0" borderId="2" xfId="4" applyNumberFormat="1" applyFont="1" applyFill="1" applyBorder="1" applyAlignment="1">
      <alignment vertical="center" wrapText="1"/>
    </xf>
    <xf numFmtId="3" fontId="11" fillId="0" borderId="2" xfId="4" applyNumberFormat="1" applyFont="1" applyFill="1" applyBorder="1" applyAlignment="1">
      <alignment vertical="center" wrapText="1"/>
    </xf>
    <xf numFmtId="0" fontId="9" fillId="0" borderId="0" xfId="4" applyFont="1" applyFill="1"/>
    <xf numFmtId="3" fontId="9" fillId="0" borderId="0" xfId="4" applyNumberFormat="1" applyFont="1" applyFill="1" applyAlignment="1">
      <alignment horizontal="center" vertical="center"/>
    </xf>
    <xf numFmtId="3" fontId="9" fillId="0" borderId="0" xfId="4" applyNumberFormat="1" applyFont="1" applyFill="1"/>
    <xf numFmtId="3" fontId="8" fillId="0" borderId="2" xfId="0" applyNumberFormat="1" applyFont="1" applyFill="1" applyBorder="1" applyAlignment="1">
      <alignment horizontal="right" vertical="center" wrapText="1"/>
    </xf>
    <xf numFmtId="3" fontId="8" fillId="0" borderId="2" xfId="0" applyNumberFormat="1" applyFont="1" applyFill="1" applyBorder="1" applyAlignment="1">
      <alignment vertical="center" wrapText="1"/>
    </xf>
    <xf numFmtId="3" fontId="12" fillId="0" borderId="2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0" fontId="8" fillId="0" borderId="2" xfId="4" applyFont="1" applyFill="1" applyBorder="1" applyAlignment="1">
      <alignment horizontal="right" vertical="center" wrapText="1"/>
    </xf>
    <xf numFmtId="0" fontId="9" fillId="0" borderId="0" xfId="4" applyFont="1" applyFill="1" applyBorder="1"/>
    <xf numFmtId="165" fontId="9" fillId="0" borderId="0" xfId="4" applyNumberFormat="1" applyFont="1" applyFill="1" applyBorder="1"/>
    <xf numFmtId="0" fontId="9" fillId="0" borderId="0" xfId="4" applyFont="1" applyFill="1" applyAlignment="1">
      <alignment wrapText="1"/>
    </xf>
    <xf numFmtId="3" fontId="8" fillId="0" borderId="2" xfId="4" applyNumberFormat="1" applyFont="1" applyFill="1" applyBorder="1" applyAlignment="1">
      <alignment wrapText="1"/>
    </xf>
    <xf numFmtId="3" fontId="8" fillId="0" borderId="0" xfId="4" applyNumberFormat="1" applyFont="1" applyFill="1" applyAlignment="1">
      <alignment wrapText="1"/>
    </xf>
    <xf numFmtId="165" fontId="9" fillId="0" borderId="0" xfId="4" applyNumberFormat="1" applyFont="1" applyFill="1"/>
    <xf numFmtId="3" fontId="9" fillId="0" borderId="0" xfId="0" applyNumberFormat="1" applyFont="1" applyFill="1" applyBorder="1" applyAlignment="1">
      <alignment vertical="center" wrapText="1"/>
    </xf>
    <xf numFmtId="3" fontId="12" fillId="0" borderId="2" xfId="4" applyNumberFormat="1" applyFont="1" applyFill="1" applyBorder="1" applyAlignment="1">
      <alignment horizontal="right" vertical="center" wrapText="1"/>
    </xf>
    <xf numFmtId="3" fontId="9" fillId="0" borderId="2" xfId="4" applyNumberFormat="1" applyFont="1" applyFill="1" applyBorder="1"/>
    <xf numFmtId="3" fontId="9" fillId="0" borderId="0" xfId="0" applyNumberFormat="1" applyFont="1" applyFill="1" applyAlignment="1">
      <alignment wrapText="1"/>
    </xf>
    <xf numFmtId="3" fontId="9" fillId="0" borderId="0" xfId="0" applyNumberFormat="1" applyFont="1" applyFill="1"/>
    <xf numFmtId="0" fontId="8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right" vertical="center" wrapText="1"/>
    </xf>
    <xf numFmtId="3" fontId="9" fillId="0" borderId="0" xfId="4" applyNumberFormat="1" applyFont="1" applyFill="1" applyBorder="1"/>
    <xf numFmtId="0" fontId="9" fillId="0" borderId="0" xfId="4" applyNumberFormat="1" applyFont="1" applyFill="1"/>
    <xf numFmtId="3" fontId="8" fillId="0" borderId="0" xfId="4" applyNumberFormat="1" applyFont="1" applyFill="1" applyAlignment="1">
      <alignment vertical="center" wrapText="1"/>
    </xf>
    <xf numFmtId="3" fontId="9" fillId="0" borderId="0" xfId="4" applyNumberFormat="1" applyFont="1" applyFill="1" applyBorder="1" applyAlignment="1">
      <alignment vertical="center" wrapText="1"/>
    </xf>
    <xf numFmtId="0" fontId="9" fillId="0" borderId="4" xfId="4" applyFont="1" applyFill="1" applyBorder="1" applyAlignment="1">
      <alignment vertical="center" wrapText="1"/>
    </xf>
    <xf numFmtId="0" fontId="9" fillId="0" borderId="0" xfId="4" applyFont="1" applyFill="1" applyBorder="1" applyAlignment="1">
      <alignment vertical="center" wrapText="1"/>
    </xf>
    <xf numFmtId="3" fontId="8" fillId="0" borderId="0" xfId="4" applyNumberFormat="1" applyFont="1" applyFill="1" applyBorder="1" applyAlignment="1">
      <alignment vertical="center" wrapText="1"/>
    </xf>
    <xf numFmtId="0" fontId="7" fillId="0" borderId="0" xfId="4" applyFont="1" applyFill="1" applyBorder="1"/>
    <xf numFmtId="0" fontId="8" fillId="0" borderId="0" xfId="4" applyFont="1" applyFill="1" applyBorder="1" applyAlignment="1">
      <alignment horizontal="right" vertical="center" wrapText="1"/>
    </xf>
    <xf numFmtId="164" fontId="10" fillId="0" borderId="0" xfId="4" applyNumberFormat="1" applyFont="1" applyFill="1" applyBorder="1" applyAlignment="1">
      <alignment vertical="top"/>
    </xf>
    <xf numFmtId="3" fontId="12" fillId="0" borderId="0" xfId="4" applyNumberFormat="1" applyFont="1" applyFill="1" applyBorder="1" applyAlignment="1">
      <alignment vertical="center" wrapText="1"/>
    </xf>
    <xf numFmtId="3" fontId="11" fillId="0" borderId="0" xfId="4" applyNumberFormat="1" applyFont="1" applyFill="1" applyBorder="1" applyAlignment="1">
      <alignment vertical="center" wrapText="1"/>
    </xf>
    <xf numFmtId="0" fontId="7" fillId="0" borderId="0" xfId="4" applyFont="1" applyFill="1" applyAlignment="1"/>
    <xf numFmtId="0" fontId="7" fillId="0" borderId="0" xfId="4" applyFont="1" applyFill="1"/>
    <xf numFmtId="0" fontId="9" fillId="0" borderId="0" xfId="4" applyFont="1" applyFill="1" applyAlignment="1"/>
    <xf numFmtId="3" fontId="8" fillId="0" borderId="0" xfId="4" applyNumberFormat="1" applyFont="1" applyFill="1" applyBorder="1" applyAlignment="1">
      <alignment horizontal="right" vertical="center" wrapText="1"/>
    </xf>
    <xf numFmtId="3" fontId="12" fillId="0" borderId="4" xfId="4" applyNumberFormat="1" applyFont="1" applyFill="1" applyBorder="1" applyAlignment="1">
      <alignment vertical="center" wrapText="1"/>
    </xf>
    <xf numFmtId="0" fontId="24" fillId="0" borderId="2" xfId="4" applyFont="1" applyFill="1" applyBorder="1" applyAlignment="1">
      <alignment vertical="center" wrapText="1"/>
    </xf>
    <xf numFmtId="3" fontId="9" fillId="0" borderId="0" xfId="0" applyNumberFormat="1" applyFont="1" applyFill="1" applyBorder="1"/>
    <xf numFmtId="0" fontId="9" fillId="0" borderId="0" xfId="0" applyFont="1" applyFill="1" applyBorder="1"/>
    <xf numFmtId="3" fontId="8" fillId="0" borderId="0" xfId="0" applyNumberFormat="1" applyFont="1" applyFill="1" applyBorder="1"/>
    <xf numFmtId="0" fontId="7" fillId="0" borderId="0" xfId="0" applyFont="1" applyFill="1"/>
    <xf numFmtId="3" fontId="8" fillId="0" borderId="0" xfId="0" applyNumberFormat="1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wrapText="1"/>
    </xf>
    <xf numFmtId="0" fontId="8" fillId="0" borderId="2" xfId="0" applyFont="1" applyFill="1" applyBorder="1" applyAlignment="1"/>
    <xf numFmtId="0" fontId="8" fillId="0" borderId="0" xfId="0" applyFont="1" applyFill="1"/>
    <xf numFmtId="3" fontId="9" fillId="0" borderId="0" xfId="4" applyNumberFormat="1" applyFont="1" applyFill="1" applyAlignment="1">
      <alignment vertical="center" wrapText="1"/>
    </xf>
    <xf numFmtId="0" fontId="8" fillId="0" borderId="0" xfId="0" applyFont="1" applyFill="1" applyBorder="1" applyAlignment="1"/>
    <xf numFmtId="0" fontId="9" fillId="0" borderId="0" xfId="0" applyFont="1" applyFill="1" applyAlignment="1"/>
    <xf numFmtId="0" fontId="25" fillId="0" borderId="2" xfId="4" applyFont="1" applyFill="1" applyBorder="1" applyAlignment="1">
      <alignment vertical="center" wrapText="1"/>
    </xf>
    <xf numFmtId="0" fontId="9" fillId="0" borderId="0" xfId="4" applyNumberFormat="1" applyFont="1" applyFill="1" applyBorder="1"/>
    <xf numFmtId="0" fontId="8" fillId="0" borderId="2" xfId="4" applyFont="1" applyFill="1" applyBorder="1" applyAlignment="1">
      <alignment horizontal="right" vertical="center"/>
    </xf>
    <xf numFmtId="0" fontId="20" fillId="0" borderId="2" xfId="4" applyFont="1" applyFill="1" applyBorder="1" applyAlignment="1">
      <alignment vertical="center" wrapText="1"/>
    </xf>
    <xf numFmtId="0" fontId="12" fillId="0" borderId="2" xfId="4" applyFont="1" applyFill="1" applyBorder="1" applyAlignment="1">
      <alignment vertical="center" wrapText="1"/>
    </xf>
    <xf numFmtId="0" fontId="9" fillId="0" borderId="0" xfId="4" applyFont="1" applyFill="1" applyBorder="1" applyAlignment="1">
      <alignment wrapText="1"/>
    </xf>
    <xf numFmtId="0" fontId="9" fillId="0" borderId="0" xfId="4" applyFont="1" applyFill="1" applyBorder="1" applyAlignment="1"/>
    <xf numFmtId="3" fontId="9" fillId="0" borderId="0" xfId="4" applyNumberFormat="1" applyFont="1" applyFill="1" applyBorder="1" applyAlignment="1">
      <alignment wrapText="1"/>
    </xf>
    <xf numFmtId="165" fontId="9" fillId="0" borderId="0" xfId="9" applyNumberFormat="1" applyFont="1" applyFill="1" applyBorder="1"/>
    <xf numFmtId="0" fontId="9" fillId="0" borderId="3" xfId="4" applyFont="1" applyFill="1" applyBorder="1" applyAlignment="1">
      <alignment vertical="center" wrapText="1"/>
    </xf>
    <xf numFmtId="0" fontId="8" fillId="0" borderId="4" xfId="4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4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vertical="center" wrapText="1"/>
    </xf>
    <xf numFmtId="3" fontId="8" fillId="0" borderId="6" xfId="0" applyNumberFormat="1" applyFont="1" applyFill="1" applyBorder="1" applyAlignment="1">
      <alignment vertical="center" wrapText="1"/>
    </xf>
    <xf numFmtId="0" fontId="8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3" fontId="12" fillId="0" borderId="6" xfId="4" applyNumberFormat="1" applyFont="1" applyFill="1" applyBorder="1" applyAlignment="1">
      <alignment vertical="center" wrapText="1"/>
    </xf>
    <xf numFmtId="0" fontId="12" fillId="0" borderId="0" xfId="4" applyFont="1" applyFill="1" applyAlignment="1">
      <alignment vertical="center" wrapText="1"/>
    </xf>
    <xf numFmtId="0" fontId="9" fillId="0" borderId="2" xfId="4" applyFont="1" applyFill="1" applyBorder="1"/>
    <xf numFmtId="0" fontId="9" fillId="0" borderId="6" xfId="4" applyFont="1" applyFill="1" applyBorder="1" applyAlignment="1">
      <alignment vertical="center" wrapText="1"/>
    </xf>
    <xf numFmtId="0" fontId="9" fillId="0" borderId="0" xfId="4" applyFont="1" applyFill="1" applyBorder="1" applyAlignment="1">
      <alignment vertical="center"/>
    </xf>
    <xf numFmtId="3" fontId="9" fillId="0" borderId="0" xfId="4" applyNumberFormat="1" applyFont="1" applyFill="1" applyAlignment="1">
      <alignment wrapText="1"/>
    </xf>
    <xf numFmtId="0" fontId="8" fillId="0" borderId="0" xfId="4" applyFont="1" applyFill="1" applyAlignment="1">
      <alignment wrapText="1"/>
    </xf>
    <xf numFmtId="165" fontId="9" fillId="0" borderId="0" xfId="9" applyNumberFormat="1" applyFont="1" applyFill="1"/>
    <xf numFmtId="0" fontId="12" fillId="0" borderId="0" xfId="4" applyFont="1" applyFill="1" applyBorder="1" applyAlignment="1">
      <alignment vertical="center" wrapText="1"/>
    </xf>
    <xf numFmtId="3" fontId="8" fillId="0" borderId="0" xfId="4" applyNumberFormat="1" applyFont="1" applyFill="1" applyBorder="1" applyAlignment="1">
      <alignment wrapText="1"/>
    </xf>
    <xf numFmtId="0" fontId="8" fillId="0" borderId="0" xfId="4" applyFont="1" applyFill="1" applyBorder="1" applyAlignment="1">
      <alignment wrapText="1"/>
    </xf>
    <xf numFmtId="0" fontId="9" fillId="0" borderId="17" xfId="4" applyFont="1" applyFill="1" applyBorder="1" applyAlignment="1">
      <alignment wrapText="1"/>
    </xf>
    <xf numFmtId="0" fontId="7" fillId="0" borderId="0" xfId="4" applyNumberFormat="1" applyFont="1" applyFill="1" applyBorder="1"/>
    <xf numFmtId="0" fontId="8" fillId="0" borderId="0" xfId="4" applyNumberFormat="1" applyFont="1" applyFill="1" applyBorder="1" applyAlignment="1">
      <alignment horizontal="right" vertical="center" wrapText="1"/>
    </xf>
    <xf numFmtId="0" fontId="9" fillId="0" borderId="0" xfId="4" applyNumberFormat="1" applyFont="1" applyFill="1" applyBorder="1" applyAlignment="1">
      <alignment vertical="center" wrapText="1"/>
    </xf>
    <xf numFmtId="0" fontId="12" fillId="0" borderId="0" xfId="4" applyNumberFormat="1" applyFont="1" applyFill="1" applyBorder="1" applyAlignment="1">
      <alignment vertical="center" wrapText="1"/>
    </xf>
    <xf numFmtId="0" fontId="9" fillId="0" borderId="0" xfId="4" applyNumberFormat="1" applyFont="1" applyFill="1" applyBorder="1" applyAlignment="1">
      <alignment wrapText="1"/>
    </xf>
    <xf numFmtId="0" fontId="8" fillId="0" borderId="0" xfId="4" applyNumberFormat="1" applyFont="1" applyFill="1" applyBorder="1" applyAlignment="1">
      <alignment wrapText="1"/>
    </xf>
    <xf numFmtId="164" fontId="9" fillId="0" borderId="0" xfId="4" applyNumberFormat="1" applyFont="1" applyFill="1" applyAlignment="1">
      <alignment vertical="center" wrapText="1"/>
    </xf>
    <xf numFmtId="0" fontId="15" fillId="0" borderId="0" xfId="4" applyFont="1" applyFill="1" applyBorder="1"/>
    <xf numFmtId="0" fontId="15" fillId="0" borderId="0" xfId="4" applyFont="1" applyFill="1" applyBorder="1" applyAlignment="1">
      <alignment horizontal="right" vertical="center" wrapText="1"/>
    </xf>
    <xf numFmtId="0" fontId="15" fillId="0" borderId="0" xfId="4" applyFont="1" applyFill="1" applyBorder="1" applyAlignment="1">
      <alignment horizontal="right" vertical="center"/>
    </xf>
    <xf numFmtId="0" fontId="15" fillId="0" borderId="0" xfId="4" applyFont="1" applyFill="1" applyBorder="1" applyAlignment="1">
      <alignment vertical="center"/>
    </xf>
    <xf numFmtId="0" fontId="12" fillId="0" borderId="2" xfId="4" applyFont="1" applyFill="1" applyBorder="1" applyAlignment="1">
      <alignment horizontal="right" vertical="center" wrapText="1"/>
    </xf>
    <xf numFmtId="0" fontId="12" fillId="0" borderId="2" xfId="4" applyFont="1" applyFill="1" applyBorder="1" applyAlignment="1">
      <alignment horizontal="center" vertical="center"/>
    </xf>
    <xf numFmtId="0" fontId="12" fillId="0" borderId="2" xfId="4" applyFont="1" applyFill="1" applyBorder="1"/>
    <xf numFmtId="0" fontId="12" fillId="0" borderId="0" xfId="4" applyFont="1" applyFill="1" applyBorder="1"/>
    <xf numFmtId="0" fontId="12" fillId="0" borderId="4" xfId="4" applyFont="1" applyFill="1" applyBorder="1" applyAlignment="1">
      <alignment horizontal="right" vertical="center" wrapText="1"/>
    </xf>
    <xf numFmtId="0" fontId="12" fillId="0" borderId="6" xfId="4" applyFont="1" applyFill="1" applyBorder="1" applyAlignment="1">
      <alignment vertical="center" wrapText="1"/>
    </xf>
    <xf numFmtId="3" fontId="11" fillId="0" borderId="2" xfId="4" applyNumberFormat="1" applyFont="1" applyFill="1" applyBorder="1" applyAlignment="1">
      <alignment vertical="center"/>
    </xf>
    <xf numFmtId="3" fontId="11" fillId="0" borderId="0" xfId="4" applyNumberFormat="1" applyFont="1" applyFill="1" applyBorder="1" applyAlignment="1">
      <alignment vertical="center"/>
    </xf>
    <xf numFmtId="0" fontId="11" fillId="0" borderId="0" xfId="4" applyFont="1" applyFill="1" applyBorder="1" applyAlignment="1">
      <alignment vertical="center"/>
    </xf>
    <xf numFmtId="0" fontId="11" fillId="0" borderId="6" xfId="4" applyFont="1" applyFill="1" applyBorder="1" applyAlignment="1">
      <alignment vertical="center"/>
    </xf>
    <xf numFmtId="3" fontId="12" fillId="0" borderId="0" xfId="4" applyNumberFormat="1" applyFont="1" applyFill="1" applyBorder="1" applyAlignment="1">
      <alignment vertical="center"/>
    </xf>
    <xf numFmtId="0" fontId="11" fillId="0" borderId="0" xfId="4" applyFont="1" applyFill="1" applyBorder="1"/>
    <xf numFmtId="3" fontId="11" fillId="0" borderId="0" xfId="4" applyNumberFormat="1" applyFont="1" applyFill="1" applyBorder="1"/>
    <xf numFmtId="0" fontId="11" fillId="0" borderId="0" xfId="4" applyFont="1" applyFill="1" applyBorder="1" applyAlignment="1">
      <alignment horizontal="right" vertical="center" wrapText="1"/>
    </xf>
    <xf numFmtId="0" fontId="11" fillId="0" borderId="0" xfId="4" applyFont="1" applyFill="1" applyBorder="1" applyAlignment="1">
      <alignment horizontal="right" vertical="center"/>
    </xf>
    <xf numFmtId="0" fontId="11" fillId="0" borderId="8" xfId="4" applyFont="1" applyFill="1" applyBorder="1" applyAlignment="1">
      <alignment horizontal="right" vertical="center"/>
    </xf>
    <xf numFmtId="0" fontId="11" fillId="0" borderId="9" xfId="4" applyFont="1" applyFill="1" applyBorder="1" applyAlignment="1">
      <alignment horizontal="right" vertical="center"/>
    </xf>
    <xf numFmtId="0" fontId="11" fillId="0" borderId="10" xfId="4" applyFont="1" applyFill="1" applyBorder="1" applyAlignment="1">
      <alignment horizontal="right" vertical="center"/>
    </xf>
    <xf numFmtId="0" fontId="12" fillId="0" borderId="2" xfId="4" applyFont="1" applyFill="1" applyBorder="1" applyAlignment="1">
      <alignment horizontal="right" vertical="center"/>
    </xf>
    <xf numFmtId="0" fontId="11" fillId="0" borderId="5" xfId="4" applyFont="1" applyFill="1" applyBorder="1" applyAlignment="1">
      <alignment vertical="center"/>
    </xf>
    <xf numFmtId="0" fontId="12" fillId="0" borderId="6" xfId="4" applyFont="1" applyFill="1" applyBorder="1" applyAlignment="1">
      <alignment horizontal="right" vertical="center"/>
    </xf>
    <xf numFmtId="3" fontId="12" fillId="0" borderId="2" xfId="4" applyNumberFormat="1" applyFont="1" applyFill="1" applyBorder="1" applyAlignment="1">
      <alignment horizontal="right" vertical="center"/>
    </xf>
    <xf numFmtId="3" fontId="12" fillId="0" borderId="0" xfId="4" applyNumberFormat="1" applyFont="1" applyFill="1" applyBorder="1" applyAlignment="1">
      <alignment horizontal="right" vertical="center"/>
    </xf>
    <xf numFmtId="166" fontId="11" fillId="0" borderId="0" xfId="12" applyNumberFormat="1" applyFont="1" applyFill="1" applyBorder="1" applyAlignment="1">
      <alignment horizontal="right" vertical="center"/>
    </xf>
    <xf numFmtId="0" fontId="12" fillId="0" borderId="0" xfId="4" applyFont="1" applyFill="1" applyBorder="1" applyAlignment="1">
      <alignment horizontal="right" vertical="center"/>
    </xf>
    <xf numFmtId="3" fontId="11" fillId="0" borderId="0" xfId="4" applyNumberFormat="1" applyFont="1" applyFill="1" applyBorder="1" applyAlignment="1">
      <alignment horizontal="right" vertical="center"/>
    </xf>
    <xf numFmtId="0" fontId="26" fillId="0" borderId="2" xfId="4" applyFont="1" applyFill="1" applyBorder="1" applyAlignment="1">
      <alignment vertical="center" wrapText="1"/>
    </xf>
    <xf numFmtId="3" fontId="26" fillId="0" borderId="2" xfId="4" applyNumberFormat="1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3" fontId="9" fillId="3" borderId="2" xfId="0" applyNumberFormat="1" applyFont="1" applyFill="1" applyBorder="1" applyAlignment="1">
      <alignment vertical="center" wrapText="1"/>
    </xf>
    <xf numFmtId="3" fontId="9" fillId="4" borderId="2" xfId="0" applyNumberFormat="1" applyFont="1" applyFill="1" applyBorder="1" applyAlignment="1">
      <alignment vertical="center" wrapText="1"/>
    </xf>
    <xf numFmtId="0" fontId="9" fillId="0" borderId="2" xfId="0" quotePrefix="1" applyFont="1" applyFill="1" applyBorder="1" applyAlignment="1">
      <alignment vertical="center" wrapText="1"/>
    </xf>
    <xf numFmtId="0" fontId="8" fillId="0" borderId="6" xfId="4" applyFont="1" applyBorder="1" applyAlignment="1">
      <alignment horizontal="right" vertical="center" wrapText="1"/>
    </xf>
    <xf numFmtId="3" fontId="9" fillId="0" borderId="5" xfId="4" applyNumberFormat="1" applyFont="1" applyFill="1" applyBorder="1" applyAlignment="1">
      <alignment vertical="center" wrapText="1"/>
    </xf>
    <xf numFmtId="0" fontId="9" fillId="0" borderId="16" xfId="0" applyFont="1" applyFill="1" applyBorder="1" applyAlignment="1">
      <alignment vertical="center" wrapText="1"/>
    </xf>
    <xf numFmtId="0" fontId="7" fillId="0" borderId="0" xfId="13" applyFont="1" applyBorder="1" applyAlignment="1"/>
    <xf numFmtId="3" fontId="9" fillId="0" borderId="0" xfId="13" applyNumberFormat="1" applyFont="1" applyBorder="1" applyAlignment="1">
      <alignment vertical="center" wrapText="1"/>
    </xf>
    <xf numFmtId="0" fontId="28" fillId="0" borderId="0" xfId="13"/>
    <xf numFmtId="0" fontId="9" fillId="0" borderId="0" xfId="13" applyFont="1" applyAlignment="1"/>
    <xf numFmtId="0" fontId="9" fillId="0" borderId="0" xfId="13" applyFont="1"/>
    <xf numFmtId="0" fontId="9" fillId="0" borderId="0" xfId="13" applyFont="1" applyBorder="1"/>
    <xf numFmtId="3" fontId="9" fillId="0" borderId="0" xfId="13" applyNumberFormat="1" applyFont="1" applyAlignment="1">
      <alignment horizontal="center" vertical="center"/>
    </xf>
    <xf numFmtId="0" fontId="9" fillId="0" borderId="0" xfId="13" applyFont="1" applyAlignment="1">
      <alignment horizontal="center" vertical="center"/>
    </xf>
    <xf numFmtId="0" fontId="9" fillId="0" borderId="0" xfId="13" applyFont="1" applyAlignment="1">
      <alignment vertical="center"/>
    </xf>
    <xf numFmtId="0" fontId="9" fillId="0" borderId="0" xfId="13" applyFont="1" applyAlignment="1">
      <alignment horizontal="right" vertical="center"/>
    </xf>
    <xf numFmtId="3" fontId="8" fillId="0" borderId="2" xfId="13" applyNumberFormat="1" applyFont="1" applyBorder="1" applyAlignment="1">
      <alignment horizontal="right" vertical="center" wrapText="1"/>
    </xf>
    <xf numFmtId="3" fontId="8" fillId="0" borderId="0" xfId="13" applyNumberFormat="1" applyFont="1" applyBorder="1" applyAlignment="1">
      <alignment horizontal="right" vertical="center" wrapText="1"/>
    </xf>
    <xf numFmtId="0" fontId="9" fillId="0" borderId="2" xfId="13" applyFont="1" applyBorder="1" applyAlignment="1">
      <alignment vertical="center" wrapText="1"/>
    </xf>
    <xf numFmtId="3" fontId="9" fillId="0" borderId="2" xfId="13" applyNumberFormat="1" applyFont="1" applyBorder="1" applyAlignment="1">
      <alignment vertical="center" wrapText="1"/>
    </xf>
    <xf numFmtId="0" fontId="9" fillId="0" borderId="2" xfId="13" applyFont="1" applyBorder="1" applyAlignment="1">
      <alignment vertical="center"/>
    </xf>
    <xf numFmtId="3" fontId="9" fillId="0" borderId="2" xfId="13" applyNumberFormat="1" applyFont="1" applyBorder="1" applyAlignment="1">
      <alignment horizontal="right" vertical="center" wrapText="1"/>
    </xf>
    <xf numFmtId="0" fontId="9" fillId="0" borderId="0" xfId="13" applyFont="1" applyAlignment="1">
      <alignment vertical="center" wrapText="1"/>
    </xf>
    <xf numFmtId="0" fontId="8" fillId="0" borderId="2" xfId="13" applyFont="1" applyBorder="1" applyAlignment="1">
      <alignment vertical="center" wrapText="1"/>
    </xf>
    <xf numFmtId="0" fontId="8" fillId="0" borderId="0" xfId="13" applyFont="1" applyAlignment="1">
      <alignment vertical="center" wrapText="1"/>
    </xf>
    <xf numFmtId="0" fontId="9" fillId="0" borderId="2" xfId="13" applyFont="1" applyFill="1" applyBorder="1" applyAlignment="1">
      <alignment vertical="center" wrapText="1"/>
    </xf>
    <xf numFmtId="0" fontId="9" fillId="5" borderId="0" xfId="13" applyFont="1" applyFill="1" applyAlignment="1">
      <alignment vertical="center" wrapText="1"/>
    </xf>
    <xf numFmtId="0" fontId="8" fillId="5" borderId="0" xfId="13" applyFont="1" applyFill="1" applyAlignment="1">
      <alignment vertical="center" wrapText="1"/>
    </xf>
    <xf numFmtId="3" fontId="9" fillId="5" borderId="0" xfId="13" applyNumberFormat="1" applyFont="1" applyFill="1" applyBorder="1" applyAlignment="1">
      <alignment vertical="center" wrapText="1"/>
    </xf>
    <xf numFmtId="3" fontId="8" fillId="0" borderId="2" xfId="13" applyNumberFormat="1" applyFont="1" applyBorder="1" applyAlignment="1">
      <alignment vertical="center" wrapText="1"/>
    </xf>
    <xf numFmtId="3" fontId="8" fillId="0" borderId="6" xfId="13" applyNumberFormat="1" applyFont="1" applyBorder="1" applyAlignment="1">
      <alignment vertical="center" wrapText="1"/>
    </xf>
    <xf numFmtId="3" fontId="8" fillId="0" borderId="0" xfId="13" applyNumberFormat="1" applyFont="1" applyAlignment="1">
      <alignment vertical="center" wrapText="1"/>
    </xf>
    <xf numFmtId="0" fontId="29" fillId="0" borderId="2" xfId="13" applyFont="1" applyBorder="1" applyAlignment="1">
      <alignment vertical="center" wrapText="1"/>
    </xf>
    <xf numFmtId="0" fontId="8" fillId="0" borderId="2" xfId="13" applyFont="1" applyFill="1" applyBorder="1" applyAlignment="1">
      <alignment vertical="center" wrapText="1"/>
    </xf>
    <xf numFmtId="0" fontId="29" fillId="0" borderId="2" xfId="13" applyFont="1" applyFill="1" applyBorder="1" applyAlignment="1">
      <alignment vertical="center" wrapText="1"/>
    </xf>
    <xf numFmtId="0" fontId="8" fillId="0" borderId="0" xfId="13" applyFont="1" applyAlignment="1">
      <alignment vertical="center"/>
    </xf>
    <xf numFmtId="0" fontId="11" fillId="0" borderId="0" xfId="13" applyFont="1" applyAlignment="1">
      <alignment vertical="center" wrapText="1"/>
    </xf>
    <xf numFmtId="3" fontId="9" fillId="0" borderId="2" xfId="13" applyNumberFormat="1" applyFont="1" applyFill="1" applyBorder="1" applyAlignment="1">
      <alignment vertical="center" wrapText="1"/>
    </xf>
    <xf numFmtId="3" fontId="8" fillId="0" borderId="2" xfId="13" applyNumberFormat="1" applyFont="1" applyFill="1" applyBorder="1" applyAlignment="1">
      <alignment horizontal="right" vertical="center" wrapText="1"/>
    </xf>
    <xf numFmtId="3" fontId="12" fillId="0" borderId="2" xfId="13" applyNumberFormat="1" applyFont="1" applyBorder="1" applyAlignment="1">
      <alignment vertical="center" wrapText="1"/>
    </xf>
    <xf numFmtId="3" fontId="12" fillId="0" borderId="2" xfId="13" applyNumberFormat="1" applyFont="1" applyBorder="1" applyAlignment="1">
      <alignment horizontal="right" vertical="center" wrapText="1"/>
    </xf>
    <xf numFmtId="3" fontId="9" fillId="0" borderId="0" xfId="13" applyNumberFormat="1" applyFont="1"/>
    <xf numFmtId="3" fontId="9" fillId="0" borderId="0" xfId="13" applyNumberFormat="1" applyFont="1" applyAlignment="1"/>
    <xf numFmtId="0" fontId="9" fillId="0" borderId="0" xfId="13" applyFont="1" applyAlignment="1">
      <alignment horizontal="right"/>
    </xf>
    <xf numFmtId="0" fontId="16" fillId="0" borderId="0" xfId="4" applyFont="1" applyFill="1" applyAlignment="1"/>
    <xf numFmtId="0" fontId="8" fillId="0" borderId="5" xfId="4" applyFont="1" applyFill="1" applyBorder="1" applyAlignment="1">
      <alignment horizontal="right" vertical="center" wrapText="1"/>
    </xf>
    <xf numFmtId="0" fontId="9" fillId="0" borderId="5" xfId="4" applyFont="1" applyFill="1" applyBorder="1" applyAlignment="1">
      <alignment vertical="center" wrapText="1"/>
    </xf>
    <xf numFmtId="3" fontId="9" fillId="0" borderId="2" xfId="4" applyNumberFormat="1" applyFont="1" applyFill="1" applyBorder="1" applyAlignment="1">
      <alignment horizontal="right" vertical="center" wrapText="1"/>
    </xf>
    <xf numFmtId="3" fontId="25" fillId="0" borderId="2" xfId="4" applyNumberFormat="1" applyFont="1" applyFill="1" applyBorder="1" applyAlignment="1">
      <alignment vertical="center" wrapText="1"/>
    </xf>
    <xf numFmtId="3" fontId="8" fillId="0" borderId="5" xfId="4" applyNumberFormat="1" applyFont="1" applyFill="1" applyBorder="1" applyAlignment="1">
      <alignment vertical="center" wrapText="1"/>
    </xf>
    <xf numFmtId="3" fontId="20" fillId="0" borderId="2" xfId="4" applyNumberFormat="1" applyFont="1" applyFill="1" applyBorder="1" applyAlignment="1">
      <alignment vertical="center" wrapText="1"/>
    </xf>
    <xf numFmtId="0" fontId="9" fillId="0" borderId="7" xfId="4" applyFont="1" applyFill="1" applyBorder="1" applyAlignment="1">
      <alignment vertical="center" wrapText="1"/>
    </xf>
    <xf numFmtId="0" fontId="11" fillId="0" borderId="2" xfId="4" applyFont="1" applyFill="1" applyBorder="1" applyAlignment="1">
      <alignment horizontal="right" vertical="center" wrapText="1"/>
    </xf>
    <xf numFmtId="0" fontId="8" fillId="0" borderId="6" xfId="4" applyFont="1" applyFill="1" applyBorder="1" applyAlignment="1">
      <alignment vertical="center" wrapText="1"/>
    </xf>
    <xf numFmtId="0" fontId="3" fillId="0" borderId="0" xfId="15"/>
    <xf numFmtId="0" fontId="9" fillId="0" borderId="0" xfId="15" applyFont="1"/>
    <xf numFmtId="0" fontId="9" fillId="0" borderId="0" xfId="15" applyFont="1" applyAlignment="1"/>
    <xf numFmtId="0" fontId="25" fillId="0" borderId="2" xfId="4" applyFont="1" applyFill="1" applyBorder="1"/>
    <xf numFmtId="3" fontId="32" fillId="0" borderId="0" xfId="15" applyNumberFormat="1" applyFont="1" applyBorder="1" applyAlignment="1">
      <alignment horizontal="right" vertical="top"/>
    </xf>
    <xf numFmtId="3" fontId="33" fillId="0" borderId="27" xfId="15" applyNumberFormat="1" applyFont="1" applyBorder="1" applyAlignment="1">
      <alignment horizontal="right" vertical="top"/>
    </xf>
    <xf numFmtId="3" fontId="9" fillId="0" borderId="0" xfId="4" applyNumberFormat="1" applyFont="1" applyFill="1" applyBorder="1" applyAlignment="1">
      <alignment vertical="center"/>
    </xf>
    <xf numFmtId="3" fontId="8" fillId="0" borderId="3" xfId="4" applyNumberFormat="1" applyFont="1" applyFill="1" applyBorder="1" applyAlignment="1">
      <alignment wrapText="1"/>
    </xf>
    <xf numFmtId="3" fontId="9" fillId="0" borderId="0" xfId="9" applyNumberFormat="1" applyFont="1" applyFill="1"/>
    <xf numFmtId="3" fontId="8" fillId="0" borderId="4" xfId="4" applyNumberFormat="1" applyFont="1" applyFill="1" applyBorder="1" applyAlignment="1">
      <alignment horizontal="right" vertical="center" wrapText="1"/>
    </xf>
    <xf numFmtId="0" fontId="9" fillId="0" borderId="2" xfId="4" applyFont="1" applyBorder="1" applyAlignment="1">
      <alignment wrapText="1"/>
    </xf>
    <xf numFmtId="3" fontId="9" fillId="0" borderId="2" xfId="4" applyNumberFormat="1" applyFont="1" applyBorder="1"/>
    <xf numFmtId="3" fontId="9" fillId="0" borderId="4" xfId="4" applyNumberFormat="1" applyFont="1" applyFill="1" applyBorder="1" applyAlignment="1">
      <alignment horizontal="center" vertical="center" wrapText="1"/>
    </xf>
    <xf numFmtId="3" fontId="26" fillId="0" borderId="4" xfId="4" applyNumberFormat="1" applyFont="1" applyFill="1" applyBorder="1" applyAlignment="1">
      <alignment vertical="center" wrapText="1"/>
    </xf>
    <xf numFmtId="0" fontId="9" fillId="0" borderId="2" xfId="15" applyFont="1" applyBorder="1" applyAlignment="1">
      <alignment vertical="center" wrapText="1"/>
    </xf>
    <xf numFmtId="3" fontId="12" fillId="0" borderId="2" xfId="4" applyNumberFormat="1" applyFont="1" applyFill="1" applyBorder="1" applyAlignment="1">
      <alignment vertical="center"/>
    </xf>
    <xf numFmtId="0" fontId="26" fillId="0" borderId="2" xfId="4" applyFont="1" applyFill="1" applyBorder="1"/>
    <xf numFmtId="3" fontId="20" fillId="0" borderId="0" xfId="4" applyNumberFormat="1" applyFont="1" applyFill="1"/>
    <xf numFmtId="3" fontId="9" fillId="0" borderId="0" xfId="15" applyNumberFormat="1" applyFont="1"/>
    <xf numFmtId="3" fontId="8" fillId="0" borderId="4" xfId="15" applyNumberFormat="1" applyFont="1" applyBorder="1" applyAlignment="1">
      <alignment horizontal="right" vertical="center" wrapText="1"/>
    </xf>
    <xf numFmtId="3" fontId="8" fillId="0" borderId="0" xfId="15" applyNumberFormat="1" applyFont="1" applyBorder="1" applyAlignment="1">
      <alignment horizontal="right" vertical="center" wrapText="1"/>
    </xf>
    <xf numFmtId="0" fontId="9" fillId="0" borderId="2" xfId="15" applyFont="1" applyBorder="1"/>
    <xf numFmtId="3" fontId="9" fillId="0" borderId="2" xfId="15" applyNumberFormat="1" applyFont="1" applyBorder="1"/>
    <xf numFmtId="0" fontId="9" fillId="0" borderId="4" xfId="15" applyFont="1" applyBorder="1"/>
    <xf numFmtId="0" fontId="9" fillId="0" borderId="2" xfId="15" applyFont="1" applyBorder="1" applyAlignment="1"/>
    <xf numFmtId="0" fontId="9" fillId="0" borderId="2" xfId="15" applyFont="1" applyFill="1" applyBorder="1" applyAlignment="1">
      <alignment vertical="center" wrapText="1"/>
    </xf>
    <xf numFmtId="3" fontId="9" fillId="0" borderId="2" xfId="15" applyNumberFormat="1" applyFont="1" applyBorder="1" applyAlignment="1">
      <alignment vertical="center" wrapText="1"/>
    </xf>
    <xf numFmtId="0" fontId="9" fillId="0" borderId="4" xfId="15" applyFont="1" applyBorder="1" applyAlignment="1">
      <alignment vertical="center" wrapText="1"/>
    </xf>
    <xf numFmtId="0" fontId="9" fillId="0" borderId="0" xfId="15" applyFont="1" applyAlignment="1">
      <alignment vertical="center" wrapText="1"/>
    </xf>
    <xf numFmtId="0" fontId="8" fillId="0" borderId="2" xfId="4" applyFont="1" applyBorder="1" applyAlignment="1">
      <alignment vertical="center" wrapText="1"/>
    </xf>
    <xf numFmtId="0" fontId="12" fillId="0" borderId="2" xfId="15" applyFont="1" applyBorder="1" applyAlignment="1">
      <alignment vertical="center" wrapText="1"/>
    </xf>
    <xf numFmtId="3" fontId="12" fillId="0" borderId="2" xfId="15" applyNumberFormat="1" applyFont="1" applyBorder="1" applyAlignment="1">
      <alignment vertical="center" wrapText="1"/>
    </xf>
    <xf numFmtId="3" fontId="12" fillId="0" borderId="4" xfId="15" applyNumberFormat="1" applyFont="1" applyBorder="1" applyAlignment="1">
      <alignment vertical="center" wrapText="1"/>
    </xf>
    <xf numFmtId="0" fontId="12" fillId="0" borderId="0" xfId="15" applyFont="1" applyAlignment="1">
      <alignment vertical="center" wrapText="1"/>
    </xf>
    <xf numFmtId="3" fontId="8" fillId="0" borderId="2" xfId="15" applyNumberFormat="1" applyFont="1" applyBorder="1" applyAlignment="1">
      <alignment horizontal="right" vertical="center" wrapText="1"/>
    </xf>
    <xf numFmtId="0" fontId="9" fillId="0" borderId="0" xfId="4" applyFont="1"/>
    <xf numFmtId="0" fontId="8" fillId="0" borderId="0" xfId="4" applyFont="1" applyBorder="1" applyAlignment="1">
      <alignment horizontal="right" vertical="center" wrapText="1"/>
    </xf>
    <xf numFmtId="0" fontId="9" fillId="0" borderId="2" xfId="4" applyFont="1" applyBorder="1" applyAlignment="1">
      <alignment vertical="center" wrapText="1"/>
    </xf>
    <xf numFmtId="3" fontId="9" fillId="0" borderId="2" xfId="4" applyNumberFormat="1" applyFont="1" applyBorder="1" applyAlignment="1">
      <alignment vertical="center" wrapText="1"/>
    </xf>
    <xf numFmtId="0" fontId="9" fillId="0" borderId="3" xfId="4" applyFont="1" applyBorder="1" applyAlignment="1">
      <alignment vertical="center" wrapText="1"/>
    </xf>
    <xf numFmtId="0" fontId="9" fillId="0" borderId="0" xfId="4" applyFont="1" applyAlignment="1">
      <alignment vertical="center" wrapText="1"/>
    </xf>
    <xf numFmtId="3" fontId="8" fillId="0" borderId="2" xfId="4" applyNumberFormat="1" applyFont="1" applyBorder="1" applyAlignment="1">
      <alignment vertical="center" wrapText="1"/>
    </xf>
    <xf numFmtId="0" fontId="8" fillId="0" borderId="0" xfId="4" applyFont="1" applyAlignment="1">
      <alignment vertical="center" wrapText="1"/>
    </xf>
    <xf numFmtId="0" fontId="24" fillId="0" borderId="2" xfId="4" applyFont="1" applyBorder="1" applyAlignment="1">
      <alignment vertical="center" wrapText="1"/>
    </xf>
    <xf numFmtId="0" fontId="12" fillId="0" borderId="2" xfId="4" applyFont="1" applyBorder="1" applyAlignment="1">
      <alignment vertical="center" wrapText="1"/>
    </xf>
    <xf numFmtId="3" fontId="12" fillId="0" borderId="2" xfId="4" applyNumberFormat="1" applyFont="1" applyBorder="1" applyAlignment="1">
      <alignment vertical="center" wrapText="1"/>
    </xf>
    <xf numFmtId="0" fontId="12" fillId="0" borderId="0" xfId="4" applyFont="1" applyAlignment="1">
      <alignment vertical="center" wrapText="1"/>
    </xf>
    <xf numFmtId="3" fontId="9" fillId="0" borderId="0" xfId="4" applyNumberFormat="1" applyFont="1"/>
    <xf numFmtId="0" fontId="9" fillId="0" borderId="0" xfId="4" applyFont="1" applyAlignment="1"/>
    <xf numFmtId="0" fontId="11" fillId="0" borderId="0" xfId="16" applyFont="1"/>
    <xf numFmtId="49" fontId="11" fillId="0" borderId="0" xfId="16" applyNumberFormat="1" applyFont="1"/>
    <xf numFmtId="3" fontId="11" fillId="0" borderId="0" xfId="16" applyNumberFormat="1" applyFont="1"/>
    <xf numFmtId="0" fontId="11" fillId="0" borderId="12" xfId="16" applyFont="1" applyBorder="1"/>
    <xf numFmtId="0" fontId="11" fillId="0" borderId="13" xfId="16" applyFont="1" applyBorder="1"/>
    <xf numFmtId="0" fontId="11" fillId="0" borderId="22" xfId="16" applyFont="1" applyBorder="1"/>
    <xf numFmtId="3" fontId="11" fillId="0" borderId="2" xfId="16" applyNumberFormat="1" applyFont="1" applyBorder="1"/>
    <xf numFmtId="3" fontId="11" fillId="0" borderId="23" xfId="16" applyNumberFormat="1" applyFont="1" applyBorder="1"/>
    <xf numFmtId="0" fontId="12" fillId="0" borderId="13" xfId="16" applyFont="1" applyBorder="1"/>
    <xf numFmtId="3" fontId="11" fillId="0" borderId="22" xfId="16" applyNumberFormat="1" applyFont="1" applyBorder="1"/>
    <xf numFmtId="3" fontId="11" fillId="0" borderId="22" xfId="16" applyNumberFormat="1" applyFont="1" applyFill="1" applyBorder="1"/>
    <xf numFmtId="0" fontId="12" fillId="0" borderId="0" xfId="16" applyFont="1"/>
    <xf numFmtId="3" fontId="12" fillId="0" borderId="22" xfId="16" applyNumberFormat="1" applyFont="1" applyBorder="1"/>
    <xf numFmtId="3" fontId="12" fillId="0" borderId="2" xfId="16" applyNumberFormat="1" applyFont="1" applyBorder="1"/>
    <xf numFmtId="3" fontId="12" fillId="0" borderId="23" xfId="16" applyNumberFormat="1" applyFont="1" applyBorder="1"/>
    <xf numFmtId="3" fontId="11" fillId="0" borderId="21" xfId="16" applyNumberFormat="1" applyFont="1" applyBorder="1"/>
    <xf numFmtId="3" fontId="11" fillId="0" borderId="6" xfId="16" applyNumberFormat="1" applyFont="1" applyBorder="1"/>
    <xf numFmtId="0" fontId="12" fillId="0" borderId="14" xfId="16" applyFont="1" applyBorder="1"/>
    <xf numFmtId="3" fontId="12" fillId="0" borderId="24" xfId="16" applyNumberFormat="1" applyFont="1" applyBorder="1"/>
    <xf numFmtId="3" fontId="12" fillId="0" borderId="25" xfId="16" applyNumberFormat="1" applyFont="1" applyBorder="1"/>
    <xf numFmtId="3" fontId="12" fillId="0" borderId="26" xfId="16" applyNumberFormat="1" applyFont="1" applyBorder="1"/>
    <xf numFmtId="0" fontId="3" fillId="0" borderId="0" xfId="17"/>
    <xf numFmtId="0" fontId="35" fillId="0" borderId="0" xfId="17" applyFont="1" applyAlignment="1">
      <alignment horizontal="right" vertical="center" readingOrder="2"/>
    </xf>
    <xf numFmtId="0" fontId="36" fillId="0" borderId="0" xfId="17" applyFont="1" applyAlignment="1">
      <alignment horizontal="right" vertical="center" readingOrder="2"/>
    </xf>
    <xf numFmtId="0" fontId="37" fillId="0" borderId="0" xfId="17" applyFont="1" applyAlignment="1">
      <alignment horizontal="right" vertical="center" readingOrder="2"/>
    </xf>
    <xf numFmtId="0" fontId="38" fillId="0" borderId="0" xfId="17" applyFont="1" applyAlignment="1">
      <alignment horizontal="right" vertical="center" readingOrder="2"/>
    </xf>
    <xf numFmtId="0" fontId="39" fillId="0" borderId="0" xfId="17" applyFont="1" applyAlignment="1">
      <alignment horizontal="right" vertical="center" readingOrder="2"/>
    </xf>
    <xf numFmtId="166" fontId="38" fillId="0" borderId="35" xfId="10" applyNumberFormat="1" applyFont="1" applyBorder="1" applyAlignment="1">
      <alignment horizontal="right" vertical="center" readingOrder="2"/>
    </xf>
    <xf numFmtId="0" fontId="36" fillId="0" borderId="0" xfId="17" applyFont="1" applyBorder="1" applyAlignment="1">
      <alignment horizontal="right" vertical="center" readingOrder="2"/>
    </xf>
    <xf numFmtId="0" fontId="40" fillId="0" borderId="0" xfId="17" applyFont="1" applyAlignment="1">
      <alignment horizontal="right" vertical="center" readingOrder="2"/>
    </xf>
    <xf numFmtId="0" fontId="36" fillId="0" borderId="0" xfId="17" quotePrefix="1" applyFont="1" applyAlignment="1">
      <alignment horizontal="right" vertical="center" readingOrder="2"/>
    </xf>
    <xf numFmtId="0" fontId="41" fillId="0" borderId="0" xfId="17" applyFont="1" applyAlignment="1">
      <alignment horizontal="right" vertical="center" readingOrder="2"/>
    </xf>
    <xf numFmtId="0" fontId="42" fillId="0" borderId="0" xfId="17" applyFont="1" applyAlignment="1">
      <alignment horizontal="right" vertical="center" readingOrder="2"/>
    </xf>
    <xf numFmtId="0" fontId="43" fillId="0" borderId="0" xfId="17" applyFont="1"/>
    <xf numFmtId="166" fontId="36" fillId="0" borderId="0" xfId="18" applyNumberFormat="1" applyFont="1" applyAlignment="1">
      <alignment horizontal="right" vertical="center" readingOrder="2"/>
    </xf>
    <xf numFmtId="166" fontId="44" fillId="0" borderId="0" xfId="18" applyNumberFormat="1" applyFont="1" applyAlignment="1">
      <alignment horizontal="right" vertical="center" readingOrder="2"/>
    </xf>
    <xf numFmtId="166" fontId="45" fillId="0" borderId="0" xfId="17" applyNumberFormat="1" applyFont="1" applyAlignment="1">
      <alignment horizontal="right" vertical="center" readingOrder="2"/>
    </xf>
    <xf numFmtId="0" fontId="38" fillId="0" borderId="2" xfId="17" applyFont="1" applyBorder="1" applyAlignment="1">
      <alignment horizontal="center" vertical="center" readingOrder="2"/>
    </xf>
    <xf numFmtId="0" fontId="38" fillId="0" borderId="2" xfId="17" applyFont="1" applyBorder="1" applyAlignment="1">
      <alignment horizontal="center" vertical="center" wrapText="1" readingOrder="2"/>
    </xf>
    <xf numFmtId="0" fontId="38" fillId="0" borderId="2" xfId="17" applyFont="1" applyBorder="1" applyAlignment="1">
      <alignment horizontal="right" vertical="center" readingOrder="2"/>
    </xf>
    <xf numFmtId="166" fontId="36" fillId="0" borderId="2" xfId="18" applyNumberFormat="1" applyFont="1" applyBorder="1" applyAlignment="1">
      <alignment horizontal="right" vertical="center" readingOrder="2"/>
    </xf>
    <xf numFmtId="0" fontId="38" fillId="0" borderId="2" xfId="17" applyFont="1" applyBorder="1" applyAlignment="1">
      <alignment horizontal="right" vertical="center" wrapText="1" readingOrder="2"/>
    </xf>
    <xf numFmtId="3" fontId="38" fillId="0" borderId="0" xfId="17" applyNumberFormat="1" applyFont="1" applyBorder="1" applyAlignment="1">
      <alignment horizontal="right" vertical="center" readingOrder="2"/>
    </xf>
    <xf numFmtId="3" fontId="38" fillId="0" borderId="35" xfId="17" applyNumberFormat="1" applyFont="1" applyBorder="1" applyAlignment="1">
      <alignment horizontal="right" vertical="center" readingOrder="2"/>
    </xf>
    <xf numFmtId="0" fontId="38" fillId="0" borderId="36" xfId="17" applyFont="1" applyBorder="1" applyAlignment="1">
      <alignment horizontal="right" vertical="center" readingOrder="2"/>
    </xf>
    <xf numFmtId="0" fontId="46" fillId="0" borderId="37" xfId="17" applyFont="1" applyBorder="1"/>
    <xf numFmtId="0" fontId="3" fillId="0" borderId="38" xfId="17" applyBorder="1"/>
    <xf numFmtId="166" fontId="38" fillId="0" borderId="19" xfId="18" applyNumberFormat="1" applyFont="1" applyBorder="1" applyAlignment="1">
      <alignment horizontal="right" vertical="center" readingOrder="2"/>
    </xf>
    <xf numFmtId="166" fontId="38" fillId="0" borderId="20" xfId="18" applyNumberFormat="1" applyFont="1" applyBorder="1" applyAlignment="1">
      <alignment horizontal="right" vertical="center" readingOrder="2"/>
    </xf>
    <xf numFmtId="0" fontId="36" fillId="0" borderId="33" xfId="17" applyFont="1" applyBorder="1" applyAlignment="1">
      <alignment horizontal="right" vertical="center" readingOrder="2"/>
    </xf>
    <xf numFmtId="0" fontId="36" fillId="0" borderId="5" xfId="17" applyFont="1" applyBorder="1" applyAlignment="1">
      <alignment horizontal="right" vertical="center" readingOrder="2"/>
    </xf>
    <xf numFmtId="0" fontId="3" fillId="0" borderId="6" xfId="17" applyBorder="1"/>
    <xf numFmtId="3" fontId="36" fillId="0" borderId="2" xfId="17" applyNumberFormat="1" applyFont="1" applyBorder="1" applyAlignment="1">
      <alignment horizontal="right" vertical="center" readingOrder="2"/>
    </xf>
    <xf numFmtId="3" fontId="36" fillId="0" borderId="29" xfId="17" applyNumberFormat="1" applyFont="1" applyBorder="1" applyAlignment="1">
      <alignment horizontal="right" vertical="center" readingOrder="2"/>
    </xf>
    <xf numFmtId="9" fontId="3" fillId="0" borderId="0" xfId="9" applyFont="1"/>
    <xf numFmtId="0" fontId="36" fillId="0" borderId="4" xfId="17" applyFont="1" applyBorder="1" applyAlignment="1">
      <alignment horizontal="right" vertical="center" readingOrder="2"/>
    </xf>
    <xf numFmtId="0" fontId="36" fillId="0" borderId="39" xfId="17" applyFont="1" applyBorder="1" applyAlignment="1">
      <alignment horizontal="right" vertical="center" readingOrder="2"/>
    </xf>
    <xf numFmtId="0" fontId="36" fillId="0" borderId="10" xfId="17" applyFont="1" applyBorder="1" applyAlignment="1">
      <alignment horizontal="right" vertical="center" readingOrder="2"/>
    </xf>
    <xf numFmtId="0" fontId="3" fillId="0" borderId="9" xfId="17" applyBorder="1"/>
    <xf numFmtId="0" fontId="36" fillId="0" borderId="29" xfId="17" applyFont="1" applyBorder="1" applyAlignment="1">
      <alignment horizontal="right" vertical="center" readingOrder="2"/>
    </xf>
    <xf numFmtId="3" fontId="36" fillId="0" borderId="0" xfId="17" applyNumberFormat="1" applyFont="1" applyAlignment="1">
      <alignment horizontal="right" vertical="center" readingOrder="2"/>
    </xf>
    <xf numFmtId="0" fontId="38" fillId="0" borderId="40" xfId="17" applyFont="1" applyBorder="1" applyAlignment="1">
      <alignment horizontal="right" vertical="center" readingOrder="2"/>
    </xf>
    <xf numFmtId="0" fontId="36" fillId="0" borderId="41" xfId="17" applyFont="1" applyBorder="1" applyAlignment="1">
      <alignment horizontal="right" vertical="center" readingOrder="2"/>
    </xf>
    <xf numFmtId="0" fontId="3" fillId="0" borderId="42" xfId="17" applyBorder="1"/>
    <xf numFmtId="166" fontId="38" fillId="0" borderId="25" xfId="18" applyNumberFormat="1" applyFont="1" applyBorder="1" applyAlignment="1">
      <alignment vertical="center" readingOrder="2"/>
    </xf>
    <xf numFmtId="9" fontId="38" fillId="0" borderId="26" xfId="9" applyFont="1" applyBorder="1" applyAlignment="1">
      <alignment vertical="center" readingOrder="2"/>
    </xf>
    <xf numFmtId="0" fontId="38" fillId="0" borderId="0" xfId="17" applyFont="1" applyBorder="1" applyAlignment="1">
      <alignment horizontal="right" vertical="center" readingOrder="2"/>
    </xf>
    <xf numFmtId="0" fontId="3" fillId="0" borderId="0" xfId="17" applyBorder="1"/>
    <xf numFmtId="166" fontId="38" fillId="0" borderId="0" xfId="18" applyNumberFormat="1" applyFont="1" applyBorder="1" applyAlignment="1">
      <alignment horizontal="right" vertical="center" readingOrder="2"/>
    </xf>
    <xf numFmtId="166" fontId="38" fillId="0" borderId="28" xfId="18" applyNumberFormat="1" applyFont="1" applyBorder="1" applyAlignment="1">
      <alignment horizontal="right" vertical="center" readingOrder="2"/>
    </xf>
    <xf numFmtId="0" fontId="38" fillId="0" borderId="5" xfId="17" applyFont="1" applyBorder="1" applyAlignment="1">
      <alignment horizontal="right" vertical="center" readingOrder="2"/>
    </xf>
    <xf numFmtId="0" fontId="21" fillId="0" borderId="6" xfId="17" applyFont="1" applyBorder="1"/>
    <xf numFmtId="166" fontId="38" fillId="0" borderId="31" xfId="18" applyNumberFormat="1" applyFont="1" applyBorder="1" applyAlignment="1">
      <alignment horizontal="right" vertical="center" readingOrder="2"/>
    </xf>
    <xf numFmtId="9" fontId="38" fillId="0" borderId="26" xfId="9" applyFont="1" applyBorder="1" applyAlignment="1">
      <alignment horizontal="right" vertical="center" readingOrder="2"/>
    </xf>
    <xf numFmtId="0" fontId="47" fillId="0" borderId="0" xfId="17" applyFont="1" applyAlignment="1">
      <alignment horizontal="right" vertical="center" readingOrder="2"/>
    </xf>
    <xf numFmtId="0" fontId="12" fillId="0" borderId="2" xfId="16" applyFont="1" applyBorder="1" applyAlignment="1">
      <alignment horizontal="center" vertical="center"/>
    </xf>
    <xf numFmtId="3" fontId="12" fillId="0" borderId="2" xfId="16" applyNumberFormat="1" applyFont="1" applyBorder="1" applyAlignment="1">
      <alignment horizontal="center" vertical="center" wrapText="1"/>
    </xf>
    <xf numFmtId="3" fontId="12" fillId="0" borderId="6" xfId="16" applyNumberFormat="1" applyFont="1" applyBorder="1" applyAlignment="1">
      <alignment horizontal="center" vertical="center" wrapText="1"/>
    </xf>
    <xf numFmtId="0" fontId="11" fillId="0" borderId="0" xfId="16" applyFont="1" applyAlignment="1">
      <alignment horizontal="center" vertical="center"/>
    </xf>
    <xf numFmtId="0" fontId="11" fillId="0" borderId="2" xfId="16" applyFont="1" applyBorder="1"/>
    <xf numFmtId="3" fontId="11" fillId="0" borderId="4" xfId="16" applyNumberFormat="1" applyFont="1" applyBorder="1"/>
    <xf numFmtId="3" fontId="11" fillId="0" borderId="0" xfId="16" applyNumberFormat="1" applyFont="1" applyBorder="1"/>
    <xf numFmtId="0" fontId="11" fillId="0" borderId="2" xfId="16" applyFont="1" applyBorder="1" applyAlignment="1">
      <alignment vertical="center"/>
    </xf>
    <xf numFmtId="3" fontId="11" fillId="0" borderId="2" xfId="16" applyNumberFormat="1" applyFont="1" applyBorder="1" applyAlignment="1">
      <alignment vertical="center"/>
    </xf>
    <xf numFmtId="3" fontId="9" fillId="0" borderId="2" xfId="16" applyNumberFormat="1" applyFont="1" applyBorder="1" applyAlignment="1">
      <alignment vertical="center" wrapText="1"/>
    </xf>
    <xf numFmtId="3" fontId="11" fillId="0" borderId="6" xfId="16" applyNumberFormat="1" applyFont="1" applyBorder="1" applyAlignment="1">
      <alignment vertical="center"/>
    </xf>
    <xf numFmtId="3" fontId="12" fillId="0" borderId="2" xfId="16" applyNumberFormat="1" applyFont="1" applyBorder="1" applyAlignment="1">
      <alignment vertical="center"/>
    </xf>
    <xf numFmtId="0" fontId="11" fillId="0" borderId="0" xfId="16" applyFont="1" applyAlignment="1">
      <alignment vertical="center"/>
    </xf>
    <xf numFmtId="0" fontId="11" fillId="0" borderId="0" xfId="16" applyFont="1" applyBorder="1" applyAlignment="1">
      <alignment vertical="center"/>
    </xf>
    <xf numFmtId="3" fontId="11" fillId="0" borderId="0" xfId="16" applyNumberFormat="1" applyFont="1" applyBorder="1" applyAlignment="1">
      <alignment vertical="center"/>
    </xf>
    <xf numFmtId="0" fontId="12" fillId="0" borderId="2" xfId="16" applyFont="1" applyBorder="1" applyAlignment="1">
      <alignment vertical="center"/>
    </xf>
    <xf numFmtId="3" fontId="12" fillId="0" borderId="2" xfId="16" applyNumberFormat="1" applyFont="1" applyFill="1" applyBorder="1" applyAlignment="1">
      <alignment vertical="center"/>
    </xf>
    <xf numFmtId="3" fontId="12" fillId="0" borderId="6" xfId="16" applyNumberFormat="1" applyFont="1" applyBorder="1" applyAlignment="1">
      <alignment vertical="center"/>
    </xf>
    <xf numFmtId="3" fontId="12" fillId="0" borderId="0" xfId="16" applyNumberFormat="1" applyFont="1" applyBorder="1" applyAlignment="1">
      <alignment vertical="center"/>
    </xf>
    <xf numFmtId="0" fontId="3" fillId="0" borderId="0" xfId="17" applyAlignment="1">
      <alignment horizontal="left"/>
    </xf>
    <xf numFmtId="0" fontId="42" fillId="0" borderId="0" xfId="17" applyFont="1" applyAlignment="1">
      <alignment horizontal="center" vertical="center" readingOrder="2"/>
    </xf>
    <xf numFmtId="0" fontId="36" fillId="0" borderId="0" xfId="17" quotePrefix="1" applyFont="1" applyAlignment="1">
      <alignment horizontal="left" vertical="center" readingOrder="2"/>
    </xf>
    <xf numFmtId="16" fontId="36" fillId="0" borderId="0" xfId="17" quotePrefix="1" applyNumberFormat="1" applyFont="1" applyAlignment="1">
      <alignment horizontal="left" vertical="center" readingOrder="2"/>
    </xf>
    <xf numFmtId="0" fontId="36" fillId="0" borderId="0" xfId="17" applyFont="1" applyAlignment="1">
      <alignment horizontal="left" vertical="center" readingOrder="2"/>
    </xf>
    <xf numFmtId="0" fontId="36" fillId="0" borderId="0" xfId="17" applyFont="1" applyAlignment="1">
      <alignment vertical="center" readingOrder="2"/>
    </xf>
    <xf numFmtId="0" fontId="15" fillId="0" borderId="0" xfId="4" applyFont="1" applyBorder="1"/>
    <xf numFmtId="0" fontId="15" fillId="0" borderId="0" xfId="4" applyFont="1" applyBorder="1" applyAlignment="1">
      <alignment horizontal="right" vertical="center" wrapText="1"/>
    </xf>
    <xf numFmtId="0" fontId="15" fillId="0" borderId="0" xfId="4" applyFont="1" applyBorder="1" applyAlignment="1">
      <alignment horizontal="right" vertical="center"/>
    </xf>
    <xf numFmtId="0" fontId="12" fillId="0" borderId="2" xfId="4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/>
    </xf>
    <xf numFmtId="0" fontId="12" fillId="0" borderId="0" xfId="4" applyFont="1" applyBorder="1"/>
    <xf numFmtId="0" fontId="8" fillId="0" borderId="2" xfId="16" applyFont="1" applyBorder="1" applyAlignment="1">
      <alignment horizontal="right" vertical="center" wrapText="1"/>
    </xf>
    <xf numFmtId="0" fontId="12" fillId="0" borderId="4" xfId="4" applyFont="1" applyBorder="1" applyAlignment="1">
      <alignment horizontal="right" vertical="center" wrapText="1"/>
    </xf>
    <xf numFmtId="0" fontId="8" fillId="0" borderId="6" xfId="16" applyFont="1" applyBorder="1" applyAlignment="1">
      <alignment horizontal="right" vertical="center" wrapText="1"/>
    </xf>
    <xf numFmtId="17" fontId="8" fillId="0" borderId="2" xfId="4" quotePrefix="1" applyNumberFormat="1" applyFont="1" applyBorder="1" applyAlignment="1">
      <alignment horizontal="right" vertical="center" wrapText="1"/>
    </xf>
    <xf numFmtId="0" fontId="12" fillId="0" borderId="0" xfId="4" applyFont="1" applyBorder="1" applyAlignment="1">
      <alignment vertical="center" wrapText="1"/>
    </xf>
    <xf numFmtId="3" fontId="11" fillId="0" borderId="2" xfId="4" applyNumberFormat="1" applyFont="1" applyBorder="1" applyAlignment="1">
      <alignment vertical="center" wrapText="1"/>
    </xf>
    <xf numFmtId="3" fontId="11" fillId="0" borderId="2" xfId="4" applyNumberFormat="1" applyFont="1" applyBorder="1" applyAlignment="1">
      <alignment horizontal="right" vertical="center" wrapText="1"/>
    </xf>
    <xf numFmtId="3" fontId="11" fillId="0" borderId="2" xfId="4" applyNumberFormat="1" applyFont="1" applyBorder="1" applyAlignment="1">
      <alignment vertical="center"/>
    </xf>
    <xf numFmtId="0" fontId="11" fillId="0" borderId="0" xfId="4" applyFont="1" applyBorder="1" applyAlignment="1">
      <alignment vertical="center" wrapText="1"/>
    </xf>
    <xf numFmtId="166" fontId="11" fillId="0" borderId="0" xfId="10" applyNumberFormat="1" applyFont="1" applyBorder="1" applyAlignment="1">
      <alignment vertical="center" wrapText="1"/>
    </xf>
    <xf numFmtId="3" fontId="11" fillId="0" borderId="2" xfId="4" applyNumberFormat="1" applyFont="1" applyBorder="1"/>
    <xf numFmtId="166" fontId="11" fillId="0" borderId="0" xfId="10" applyNumberFormat="1" applyFont="1" applyBorder="1" applyAlignment="1">
      <alignment vertical="center"/>
    </xf>
    <xf numFmtId="3" fontId="11" fillId="0" borderId="4" xfId="4" applyNumberFormat="1" applyFont="1" applyBorder="1" applyAlignment="1">
      <alignment vertical="center"/>
    </xf>
    <xf numFmtId="3" fontId="11" fillId="0" borderId="6" xfId="4" applyNumberFormat="1" applyFont="1" applyBorder="1" applyAlignment="1">
      <alignment vertical="center"/>
    </xf>
    <xf numFmtId="1" fontId="11" fillId="0" borderId="2" xfId="4" applyNumberFormat="1" applyFont="1" applyBorder="1" applyAlignment="1">
      <alignment vertical="center"/>
    </xf>
    <xf numFmtId="3" fontId="12" fillId="0" borderId="2" xfId="4" applyNumberFormat="1" applyFont="1" applyBorder="1"/>
    <xf numFmtId="0" fontId="12" fillId="0" borderId="0" xfId="4" applyFont="1" applyBorder="1" applyAlignment="1">
      <alignment vertical="center"/>
    </xf>
    <xf numFmtId="0" fontId="11" fillId="0" borderId="2" xfId="4" applyFont="1" applyBorder="1"/>
    <xf numFmtId="3" fontId="11" fillId="0" borderId="4" xfId="4" applyNumberFormat="1" applyFont="1" applyBorder="1" applyAlignment="1">
      <alignment vertical="center" wrapText="1"/>
    </xf>
    <xf numFmtId="3" fontId="11" fillId="0" borderId="6" xfId="4" applyNumberFormat="1" applyFont="1" applyBorder="1" applyAlignment="1">
      <alignment vertical="center" wrapText="1"/>
    </xf>
    <xf numFmtId="0" fontId="11" fillId="0" borderId="2" xfId="4" applyFont="1" applyBorder="1" applyAlignment="1">
      <alignment vertical="center"/>
    </xf>
    <xf numFmtId="0" fontId="11" fillId="0" borderId="0" xfId="4" applyFont="1" applyBorder="1"/>
    <xf numFmtId="3" fontId="11" fillId="0" borderId="0" xfId="4" applyNumberFormat="1" applyFont="1" applyBorder="1"/>
    <xf numFmtId="3" fontId="11" fillId="0" borderId="0" xfId="4" applyNumberFormat="1" applyFont="1" applyBorder="1" applyAlignment="1">
      <alignment vertical="center" wrapText="1"/>
    </xf>
    <xf numFmtId="0" fontId="11" fillId="0" borderId="0" xfId="4" applyFont="1" applyBorder="1" applyAlignment="1">
      <alignment horizontal="right" vertical="center" wrapText="1"/>
    </xf>
    <xf numFmtId="0" fontId="12" fillId="0" borderId="0" xfId="4" applyFont="1" applyBorder="1" applyAlignment="1">
      <alignment horizontal="right" vertical="center"/>
    </xf>
    <xf numFmtId="3" fontId="12" fillId="0" borderId="0" xfId="4" applyNumberFormat="1" applyFont="1" applyBorder="1" applyAlignment="1">
      <alignment horizontal="right" vertical="center"/>
    </xf>
    <xf numFmtId="0" fontId="7" fillId="0" borderId="0" xfId="4" applyFont="1" applyAlignment="1">
      <alignment horizontal="center"/>
    </xf>
    <xf numFmtId="3" fontId="9" fillId="0" borderId="0" xfId="4" applyNumberFormat="1" applyFont="1" applyAlignment="1">
      <alignment horizontal="center" vertical="center"/>
    </xf>
    <xf numFmtId="3" fontId="8" fillId="0" borderId="0" xfId="4" applyNumberFormat="1" applyFont="1" applyBorder="1" applyAlignment="1">
      <alignment horizontal="right" vertical="center" wrapText="1"/>
    </xf>
    <xf numFmtId="0" fontId="25" fillId="0" borderId="2" xfId="4" applyFont="1" applyBorder="1" applyAlignment="1">
      <alignment vertical="center" wrapText="1"/>
    </xf>
    <xf numFmtId="0" fontId="9" fillId="0" borderId="0" xfId="4" applyFont="1" applyAlignment="1">
      <alignment vertical="center"/>
    </xf>
    <xf numFmtId="3" fontId="9" fillId="3" borderId="2" xfId="4" applyNumberFormat="1" applyFont="1" applyFill="1" applyBorder="1" applyAlignment="1">
      <alignment vertical="center" wrapText="1"/>
    </xf>
    <xf numFmtId="0" fontId="22" fillId="0" borderId="2" xfId="4" applyFont="1" applyBorder="1" applyAlignment="1">
      <alignment vertical="center" wrapText="1"/>
    </xf>
    <xf numFmtId="3" fontId="22" fillId="0" borderId="2" xfId="4" applyNumberFormat="1" applyFont="1" applyBorder="1" applyAlignment="1">
      <alignment vertical="center" wrapText="1"/>
    </xf>
    <xf numFmtId="0" fontId="22" fillId="0" borderId="2" xfId="4" applyFont="1" applyFill="1" applyBorder="1" applyAlignment="1">
      <alignment vertical="center" wrapText="1"/>
    </xf>
    <xf numFmtId="0" fontId="11" fillId="6" borderId="0" xfId="4" applyFont="1" applyFill="1" applyAlignment="1">
      <alignment vertical="center" wrapText="1"/>
    </xf>
    <xf numFmtId="3" fontId="12" fillId="0" borderId="2" xfId="4" applyNumberFormat="1" applyFont="1" applyBorder="1" applyAlignment="1">
      <alignment horizontal="right" vertical="center" wrapText="1"/>
    </xf>
    <xf numFmtId="3" fontId="12" fillId="0" borderId="0" xfId="4" applyNumberFormat="1" applyFont="1" applyBorder="1" applyAlignment="1">
      <alignment vertical="center" wrapText="1"/>
    </xf>
    <xf numFmtId="0" fontId="9" fillId="0" borderId="0" xfId="16" applyFont="1"/>
    <xf numFmtId="0" fontId="16" fillId="0" borderId="0" xfId="16" applyFont="1" applyAlignment="1">
      <alignment horizontal="center"/>
    </xf>
    <xf numFmtId="0" fontId="9" fillId="0" borderId="0" xfId="16" applyFont="1" applyAlignment="1"/>
    <xf numFmtId="0" fontId="9" fillId="0" borderId="0" xfId="16" applyFont="1" applyFill="1"/>
    <xf numFmtId="3" fontId="9" fillId="0" borderId="0" xfId="16" applyNumberFormat="1" applyFont="1" applyFill="1"/>
    <xf numFmtId="3" fontId="9" fillId="0" borderId="0" xfId="16" applyNumberFormat="1" applyFont="1"/>
    <xf numFmtId="3" fontId="8" fillId="0" borderId="2" xfId="16" applyNumberFormat="1" applyFont="1" applyBorder="1" applyAlignment="1">
      <alignment horizontal="right" vertical="center" wrapText="1"/>
    </xf>
    <xf numFmtId="3" fontId="8" fillId="0" borderId="2" xfId="16" applyNumberFormat="1" applyFont="1" applyFill="1" applyBorder="1" applyAlignment="1">
      <alignment horizontal="right" vertical="center" wrapText="1"/>
    </xf>
    <xf numFmtId="3" fontId="8" fillId="0" borderId="0" xfId="16" applyNumberFormat="1" applyFont="1" applyBorder="1" applyAlignment="1">
      <alignment horizontal="right" vertical="center" wrapText="1"/>
    </xf>
    <xf numFmtId="0" fontId="9" fillId="0" borderId="3" xfId="16" applyFont="1" applyBorder="1" applyAlignment="1">
      <alignment vertical="center" wrapText="1"/>
    </xf>
    <xf numFmtId="0" fontId="9" fillId="0" borderId="3" xfId="16" applyFont="1" applyFill="1" applyBorder="1" applyAlignment="1">
      <alignment vertical="center" wrapText="1"/>
    </xf>
    <xf numFmtId="3" fontId="9" fillId="0" borderId="3" xfId="16" applyNumberFormat="1" applyFont="1" applyFill="1" applyBorder="1" applyAlignment="1">
      <alignment vertical="center" wrapText="1"/>
    </xf>
    <xf numFmtId="3" fontId="9" fillId="0" borderId="3" xfId="16" applyNumberFormat="1" applyFont="1" applyBorder="1" applyAlignment="1">
      <alignment vertical="center" wrapText="1"/>
    </xf>
    <xf numFmtId="0" fontId="9" fillId="0" borderId="0" xfId="16" applyFont="1" applyAlignment="1">
      <alignment vertical="center" wrapText="1"/>
    </xf>
    <xf numFmtId="0" fontId="9" fillId="0" borderId="2" xfId="16" applyFont="1" applyBorder="1" applyAlignment="1">
      <alignment vertical="center" wrapText="1"/>
    </xf>
    <xf numFmtId="0" fontId="9" fillId="0" borderId="2" xfId="16" applyFont="1" applyFill="1" applyBorder="1" applyAlignment="1">
      <alignment vertical="center" wrapText="1"/>
    </xf>
    <xf numFmtId="3" fontId="9" fillId="0" borderId="2" xfId="16" applyNumberFormat="1" applyFont="1" applyFill="1" applyBorder="1" applyAlignment="1">
      <alignment vertical="center" wrapText="1"/>
    </xf>
    <xf numFmtId="3" fontId="9" fillId="7" borderId="2" xfId="16" applyNumberFormat="1" applyFont="1" applyFill="1" applyBorder="1" applyAlignment="1">
      <alignment vertical="center" wrapText="1"/>
    </xf>
    <xf numFmtId="0" fontId="8" fillId="0" borderId="0" xfId="16" applyFont="1" applyAlignment="1">
      <alignment vertical="center" wrapText="1"/>
    </xf>
    <xf numFmtId="0" fontId="8" fillId="0" borderId="2" xfId="16" applyFont="1" applyBorder="1" applyAlignment="1">
      <alignment vertical="center" wrapText="1"/>
    </xf>
    <xf numFmtId="3" fontId="9" fillId="8" borderId="2" xfId="16" applyNumberFormat="1" applyFont="1" applyFill="1" applyBorder="1" applyAlignment="1">
      <alignment vertical="center" wrapText="1"/>
    </xf>
    <xf numFmtId="3" fontId="9" fillId="9" borderId="2" xfId="16" applyNumberFormat="1" applyFont="1" applyFill="1" applyBorder="1" applyAlignment="1">
      <alignment vertical="center" wrapText="1"/>
    </xf>
    <xf numFmtId="3" fontId="9" fillId="10" borderId="2" xfId="16" applyNumberFormat="1" applyFont="1" applyFill="1" applyBorder="1" applyAlignment="1">
      <alignment vertical="center" wrapText="1"/>
    </xf>
    <xf numFmtId="0" fontId="9" fillId="3" borderId="2" xfId="16" applyFont="1" applyFill="1" applyBorder="1" applyAlignment="1">
      <alignment vertical="center" wrapText="1"/>
    </xf>
    <xf numFmtId="0" fontId="9" fillId="0" borderId="0" xfId="16" applyFont="1" applyFill="1" applyAlignment="1">
      <alignment vertical="center" wrapText="1"/>
    </xf>
    <xf numFmtId="164" fontId="10" fillId="0" borderId="0" xfId="16" applyNumberFormat="1" applyFont="1" applyFill="1" applyBorder="1" applyAlignment="1">
      <alignment vertical="top"/>
    </xf>
    <xf numFmtId="0" fontId="12" fillId="0" borderId="0" xfId="16" applyFont="1" applyAlignment="1">
      <alignment vertical="center" wrapText="1"/>
    </xf>
    <xf numFmtId="0" fontId="12" fillId="0" borderId="2" xfId="16" applyFont="1" applyBorder="1" applyAlignment="1">
      <alignment vertical="center" wrapText="1"/>
    </xf>
    <xf numFmtId="0" fontId="9" fillId="0" borderId="0" xfId="16" applyFont="1" applyAlignment="1">
      <alignment wrapText="1"/>
    </xf>
    <xf numFmtId="0" fontId="9" fillId="0" borderId="2" xfId="16" applyFont="1" applyBorder="1" applyAlignment="1">
      <alignment wrapText="1"/>
    </xf>
    <xf numFmtId="0" fontId="8" fillId="0" borderId="0" xfId="16" applyFont="1" applyFill="1" applyAlignment="1">
      <alignment vertical="center" wrapText="1"/>
    </xf>
    <xf numFmtId="0" fontId="8" fillId="0" borderId="2" xfId="16" applyFont="1" applyFill="1" applyBorder="1" applyAlignment="1">
      <alignment vertical="center" wrapText="1"/>
    </xf>
    <xf numFmtId="0" fontId="9" fillId="0" borderId="2" xfId="16" applyFont="1" applyBorder="1"/>
    <xf numFmtId="0" fontId="9" fillId="0" borderId="2" xfId="16" applyFont="1" applyBorder="1" applyAlignment="1"/>
    <xf numFmtId="3" fontId="9" fillId="0" borderId="0" xfId="16" applyNumberFormat="1" applyFont="1" applyFill="1" applyAlignment="1">
      <alignment vertical="center" wrapText="1"/>
    </xf>
    <xf numFmtId="0" fontId="9" fillId="0" borderId="2" xfId="16" applyFont="1" applyBorder="1" applyAlignment="1">
      <alignment horizontal="right" vertical="center"/>
    </xf>
    <xf numFmtId="0" fontId="9" fillId="0" borderId="4" xfId="16" applyFont="1" applyBorder="1" applyAlignment="1">
      <alignment vertical="center" wrapText="1"/>
    </xf>
    <xf numFmtId="0" fontId="9" fillId="0" borderId="0" xfId="16" applyFont="1" applyBorder="1" applyAlignment="1">
      <alignment vertical="center" wrapText="1"/>
    </xf>
    <xf numFmtId="3" fontId="9" fillId="0" borderId="0" xfId="16" applyNumberFormat="1" applyFont="1" applyFill="1" applyBorder="1" applyAlignment="1">
      <alignment vertical="center" wrapText="1"/>
    </xf>
    <xf numFmtId="0" fontId="8" fillId="0" borderId="2" xfId="16" applyFont="1" applyBorder="1" applyAlignment="1"/>
    <xf numFmtId="3" fontId="8" fillId="0" borderId="2" xfId="16" applyNumberFormat="1" applyFont="1" applyFill="1" applyBorder="1" applyAlignment="1">
      <alignment vertical="center" wrapText="1"/>
    </xf>
    <xf numFmtId="3" fontId="8" fillId="0" borderId="2" xfId="16" applyNumberFormat="1" applyFont="1" applyBorder="1" applyAlignment="1">
      <alignment vertical="center" wrapText="1"/>
    </xf>
    <xf numFmtId="0" fontId="8" fillId="0" borderId="0" xfId="16" applyFont="1" applyAlignment="1">
      <alignment wrapText="1"/>
    </xf>
    <xf numFmtId="0" fontId="8" fillId="0" borderId="2" xfId="16" applyFont="1" applyBorder="1"/>
    <xf numFmtId="0" fontId="8" fillId="0" borderId="0" xfId="16" applyFont="1"/>
    <xf numFmtId="0" fontId="9" fillId="0" borderId="2" xfId="16" applyFont="1" applyFill="1" applyBorder="1" applyAlignment="1"/>
    <xf numFmtId="0" fontId="12" fillId="0" borderId="0" xfId="16" applyFont="1" applyFill="1" applyAlignment="1">
      <alignment vertical="center" wrapText="1"/>
    </xf>
    <xf numFmtId="0" fontId="9" fillId="0" borderId="0" xfId="16" applyFont="1" applyFill="1" applyAlignment="1">
      <alignment wrapText="1"/>
    </xf>
    <xf numFmtId="0" fontId="9" fillId="0" borderId="2" xfId="16" applyFont="1" applyFill="1" applyBorder="1"/>
    <xf numFmtId="0" fontId="9" fillId="0" borderId="2" xfId="16" quotePrefix="1" applyFont="1" applyFill="1" applyBorder="1" applyAlignment="1">
      <alignment vertical="center" wrapText="1"/>
    </xf>
    <xf numFmtId="3" fontId="9" fillId="3" borderId="2" xfId="16" applyNumberFormat="1" applyFont="1" applyFill="1" applyBorder="1" applyAlignment="1">
      <alignment vertical="center" wrapText="1"/>
    </xf>
    <xf numFmtId="0" fontId="22" fillId="0" borderId="2" xfId="16" applyFont="1" applyFill="1" applyBorder="1" applyAlignment="1">
      <alignment vertical="center" wrapText="1"/>
    </xf>
    <xf numFmtId="0" fontId="9" fillId="0" borderId="11" xfId="16" applyFont="1" applyBorder="1"/>
    <xf numFmtId="3" fontId="9" fillId="0" borderId="11" xfId="16" applyNumberFormat="1" applyFont="1" applyBorder="1" applyAlignment="1">
      <alignment vertical="center" wrapText="1"/>
    </xf>
    <xf numFmtId="3" fontId="8" fillId="0" borderId="0" xfId="16" applyNumberFormat="1" applyFont="1" applyFill="1" applyBorder="1" applyAlignment="1">
      <alignment vertical="center" wrapText="1"/>
    </xf>
    <xf numFmtId="0" fontId="8" fillId="0" borderId="0" xfId="16" applyFont="1" applyBorder="1"/>
    <xf numFmtId="0" fontId="8" fillId="0" borderId="3" xfId="16" applyFont="1" applyBorder="1" applyAlignment="1">
      <alignment vertical="center" wrapText="1"/>
    </xf>
    <xf numFmtId="0" fontId="8" fillId="0" borderId="3" xfId="16" applyFont="1" applyBorder="1"/>
    <xf numFmtId="0" fontId="12" fillId="0" borderId="2" xfId="16" applyFont="1" applyFill="1" applyBorder="1" applyAlignment="1">
      <alignment vertical="center" wrapText="1"/>
    </xf>
    <xf numFmtId="3" fontId="12" fillId="0" borderId="2" xfId="16" applyNumberFormat="1" applyFont="1" applyFill="1" applyBorder="1" applyAlignment="1">
      <alignment vertical="center" wrapText="1"/>
    </xf>
    <xf numFmtId="3" fontId="12" fillId="0" borderId="2" xfId="16" applyNumberFormat="1" applyFont="1" applyBorder="1" applyAlignment="1">
      <alignment vertical="center" wrapText="1"/>
    </xf>
    <xf numFmtId="0" fontId="8" fillId="0" borderId="0" xfId="16" applyFont="1" applyBorder="1" applyAlignment="1"/>
    <xf numFmtId="0" fontId="12" fillId="0" borderId="0" xfId="16" applyFont="1" applyBorder="1" applyAlignment="1">
      <alignment vertical="center" wrapText="1"/>
    </xf>
    <xf numFmtId="0" fontId="12" fillId="0" borderId="0" xfId="16" applyFont="1" applyFill="1" applyBorder="1" applyAlignment="1">
      <alignment vertical="center" wrapText="1"/>
    </xf>
    <xf numFmtId="3" fontId="12" fillId="0" borderId="0" xfId="16" applyNumberFormat="1" applyFont="1" applyFill="1" applyBorder="1" applyAlignment="1">
      <alignment vertical="center" wrapText="1"/>
    </xf>
    <xf numFmtId="3" fontId="12" fillId="0" borderId="0" xfId="16" applyNumberFormat="1" applyFont="1" applyBorder="1" applyAlignment="1">
      <alignment vertical="center" wrapText="1"/>
    </xf>
    <xf numFmtId="3" fontId="9" fillId="0" borderId="0" xfId="4" applyNumberFormat="1" applyFont="1" applyBorder="1" applyAlignment="1">
      <alignment vertical="center" wrapText="1"/>
    </xf>
    <xf numFmtId="3" fontId="9" fillId="0" borderId="0" xfId="4" quotePrefix="1" applyNumberFormat="1" applyFont="1" applyBorder="1" applyAlignment="1">
      <alignment vertical="center"/>
    </xf>
    <xf numFmtId="3" fontId="25" fillId="0" borderId="0" xfId="4" applyNumberFormat="1" applyFont="1" applyBorder="1" applyAlignment="1">
      <alignment vertical="center"/>
    </xf>
    <xf numFmtId="3" fontId="9" fillId="0" borderId="0" xfId="16" applyNumberFormat="1" applyFont="1" applyFill="1" applyAlignment="1">
      <alignment wrapText="1"/>
    </xf>
    <xf numFmtId="3" fontId="9" fillId="0" borderId="0" xfId="16" applyNumberFormat="1" applyFont="1" applyAlignment="1">
      <alignment wrapText="1"/>
    </xf>
    <xf numFmtId="3" fontId="9" fillId="0" borderId="3" xfId="4" applyNumberFormat="1" applyFont="1" applyBorder="1" applyAlignment="1">
      <alignment vertical="center" wrapText="1"/>
    </xf>
    <xf numFmtId="3" fontId="9" fillId="0" borderId="4" xfId="16" applyNumberFormat="1" applyFont="1" applyBorder="1"/>
    <xf numFmtId="3" fontId="9" fillId="0" borderId="2" xfId="16" applyNumberFormat="1" applyFont="1" applyFill="1" applyBorder="1"/>
    <xf numFmtId="3" fontId="9" fillId="0" borderId="2" xfId="16" applyNumberFormat="1" applyFont="1" applyBorder="1"/>
    <xf numFmtId="3" fontId="9" fillId="0" borderId="2" xfId="16" applyNumberFormat="1" applyFont="1" applyFill="1" applyBorder="1" applyAlignment="1">
      <alignment wrapText="1"/>
    </xf>
    <xf numFmtId="165" fontId="9" fillId="0" borderId="0" xfId="9" applyNumberFormat="1" applyFont="1" applyFill="1" applyAlignment="1">
      <alignment wrapText="1"/>
    </xf>
    <xf numFmtId="165" fontId="9" fillId="0" borderId="0" xfId="9" applyNumberFormat="1" applyFont="1" applyAlignment="1">
      <alignment wrapText="1"/>
    </xf>
    <xf numFmtId="3" fontId="9" fillId="3" borderId="0" xfId="16" applyNumberFormat="1" applyFont="1" applyFill="1"/>
    <xf numFmtId="3" fontId="8" fillId="0" borderId="2" xfId="16" applyNumberFormat="1" applyFont="1" applyBorder="1"/>
    <xf numFmtId="3" fontId="9" fillId="7" borderId="0" xfId="16" applyNumberFormat="1" applyFont="1" applyFill="1"/>
    <xf numFmtId="0" fontId="16" fillId="0" borderId="0" xfId="4" applyFont="1" applyAlignment="1">
      <alignment horizontal="center"/>
    </xf>
    <xf numFmtId="3" fontId="9" fillId="8" borderId="2" xfId="4" applyNumberFormat="1" applyFont="1" applyFill="1" applyBorder="1" applyAlignment="1">
      <alignment vertical="center" wrapText="1"/>
    </xf>
    <xf numFmtId="3" fontId="9" fillId="7" borderId="2" xfId="4" applyNumberFormat="1" applyFont="1" applyFill="1" applyBorder="1" applyAlignment="1">
      <alignment vertical="center" wrapText="1"/>
    </xf>
    <xf numFmtId="3" fontId="9" fillId="9" borderId="2" xfId="4" applyNumberFormat="1" applyFont="1" applyFill="1" applyBorder="1" applyAlignment="1">
      <alignment vertical="center" wrapText="1"/>
    </xf>
    <xf numFmtId="3" fontId="9" fillId="11" borderId="0" xfId="4" applyNumberFormat="1" applyFont="1" applyFill="1"/>
    <xf numFmtId="0" fontId="51" fillId="0" borderId="3" xfId="4" applyFont="1" applyBorder="1" applyAlignment="1">
      <alignment wrapText="1"/>
    </xf>
    <xf numFmtId="0" fontId="9" fillId="12" borderId="2" xfId="4" applyFont="1" applyFill="1" applyBorder="1" applyAlignment="1">
      <alignment vertical="center" wrapText="1"/>
    </xf>
    <xf numFmtId="3" fontId="9" fillId="12" borderId="2" xfId="4" applyNumberFormat="1" applyFont="1" applyFill="1" applyBorder="1" applyAlignment="1">
      <alignment vertical="center" wrapText="1"/>
    </xf>
    <xf numFmtId="0" fontId="3" fillId="0" borderId="2" xfId="19" applyBorder="1"/>
    <xf numFmtId="0" fontId="9" fillId="0" borderId="0" xfId="4" applyFont="1" applyBorder="1" applyAlignment="1">
      <alignment vertical="center" wrapText="1"/>
    </xf>
    <xf numFmtId="0" fontId="9" fillId="0" borderId="0" xfId="4" applyFont="1" applyBorder="1"/>
    <xf numFmtId="3" fontId="9" fillId="0" borderId="0" xfId="4" applyNumberFormat="1" applyFont="1" applyBorder="1"/>
    <xf numFmtId="3" fontId="9" fillId="0" borderId="0" xfId="4" applyNumberFormat="1" applyFont="1" applyBorder="1" applyAlignment="1">
      <alignment wrapText="1"/>
    </xf>
    <xf numFmtId="165" fontId="9" fillId="0" borderId="0" xfId="9" applyNumberFormat="1" applyFont="1" applyBorder="1"/>
    <xf numFmtId="3" fontId="8" fillId="0" borderId="0" xfId="4" applyNumberFormat="1" applyFont="1" applyBorder="1" applyAlignment="1">
      <alignment vertical="center" wrapText="1"/>
    </xf>
    <xf numFmtId="0" fontId="7" fillId="0" borderId="0" xfId="16" applyFont="1"/>
    <xf numFmtId="0" fontId="8" fillId="0" borderId="4" xfId="16" applyFont="1" applyBorder="1" applyAlignment="1">
      <alignment horizontal="right" vertical="center" wrapText="1"/>
    </xf>
    <xf numFmtId="0" fontId="8" fillId="0" borderId="0" xfId="16" applyFont="1" applyBorder="1" applyAlignment="1">
      <alignment horizontal="right" vertical="center" wrapText="1"/>
    </xf>
    <xf numFmtId="3" fontId="9" fillId="0" borderId="4" xfId="16" applyNumberFormat="1" applyFont="1" applyBorder="1" applyAlignment="1">
      <alignment vertical="center" wrapText="1"/>
    </xf>
    <xf numFmtId="3" fontId="9" fillId="0" borderId="6" xfId="16" applyNumberFormat="1" applyFont="1" applyBorder="1" applyAlignment="1">
      <alignment vertical="center" wrapText="1"/>
    </xf>
    <xf numFmtId="0" fontId="9" fillId="12" borderId="2" xfId="16" applyFont="1" applyFill="1" applyBorder="1" applyAlignment="1">
      <alignment vertical="center" wrapText="1"/>
    </xf>
    <xf numFmtId="3" fontId="9" fillId="12" borderId="2" xfId="16" applyNumberFormat="1" applyFont="1" applyFill="1" applyBorder="1" applyAlignment="1">
      <alignment vertical="center" wrapText="1"/>
    </xf>
    <xf numFmtId="3" fontId="9" fillId="12" borderId="4" xfId="16" applyNumberFormat="1" applyFont="1" applyFill="1" applyBorder="1" applyAlignment="1">
      <alignment vertical="center" wrapText="1"/>
    </xf>
    <xf numFmtId="3" fontId="9" fillId="12" borderId="6" xfId="16" applyNumberFormat="1" applyFont="1" applyFill="1" applyBorder="1" applyAlignment="1">
      <alignment vertical="center" wrapText="1"/>
    </xf>
    <xf numFmtId="0" fontId="11" fillId="0" borderId="2" xfId="16" applyFont="1" applyFill="1" applyBorder="1" applyAlignment="1">
      <alignment horizontal="right" vertical="center" wrapText="1"/>
    </xf>
    <xf numFmtId="0" fontId="9" fillId="0" borderId="4" xfId="16" applyFont="1" applyBorder="1"/>
    <xf numFmtId="0" fontId="9" fillId="0" borderId="6" xfId="16" applyFont="1" applyBorder="1"/>
    <xf numFmtId="0" fontId="9" fillId="0" borderId="0" xfId="16" applyFont="1" applyBorder="1"/>
    <xf numFmtId="3" fontId="9" fillId="0" borderId="0" xfId="16" applyNumberFormat="1" applyFont="1" applyBorder="1"/>
    <xf numFmtId="3" fontId="9" fillId="0" borderId="0" xfId="16" applyNumberFormat="1" applyFont="1" applyBorder="1" applyAlignment="1">
      <alignment wrapText="1"/>
    </xf>
    <xf numFmtId="3" fontId="9" fillId="0" borderId="3" xfId="16" applyNumberFormat="1" applyFont="1" applyBorder="1"/>
    <xf numFmtId="165" fontId="9" fillId="0" borderId="0" xfId="16" applyNumberFormat="1" applyFont="1" applyBorder="1"/>
    <xf numFmtId="0" fontId="9" fillId="0" borderId="0" xfId="16" applyFont="1" applyBorder="1" applyAlignment="1"/>
    <xf numFmtId="0" fontId="8" fillId="0" borderId="4" xfId="4" applyFont="1" applyBorder="1" applyAlignment="1">
      <alignment horizontal="right" vertical="center" wrapText="1"/>
    </xf>
    <xf numFmtId="3" fontId="9" fillId="0" borderId="15" xfId="4" applyNumberFormat="1" applyFont="1" applyBorder="1" applyAlignment="1">
      <alignment vertical="center" wrapText="1"/>
    </xf>
    <xf numFmtId="3" fontId="9" fillId="0" borderId="16" xfId="4" applyNumberFormat="1" applyFont="1" applyBorder="1" applyAlignment="1">
      <alignment vertical="center" wrapText="1"/>
    </xf>
    <xf numFmtId="3" fontId="12" fillId="0" borderId="4" xfId="4" applyNumberFormat="1" applyFont="1" applyBorder="1" applyAlignment="1">
      <alignment vertical="center" wrapText="1"/>
    </xf>
    <xf numFmtId="3" fontId="12" fillId="0" borderId="6" xfId="4" applyNumberFormat="1" applyFont="1" applyBorder="1" applyAlignment="1">
      <alignment vertical="center" wrapText="1"/>
    </xf>
    <xf numFmtId="3" fontId="9" fillId="0" borderId="4" xfId="4" applyNumberFormat="1" applyFont="1" applyBorder="1" applyAlignment="1">
      <alignment vertical="center" wrapText="1"/>
    </xf>
    <xf numFmtId="3" fontId="9" fillId="0" borderId="6" xfId="4" applyNumberFormat="1" applyFont="1" applyBorder="1" applyAlignment="1">
      <alignment vertical="center" wrapText="1"/>
    </xf>
    <xf numFmtId="166" fontId="9" fillId="0" borderId="2" xfId="10" applyNumberFormat="1" applyFont="1" applyBorder="1" applyAlignment="1">
      <alignment vertical="center" wrapText="1"/>
    </xf>
    <xf numFmtId="0" fontId="9" fillId="0" borderId="2" xfId="4" applyFont="1" applyBorder="1"/>
    <xf numFmtId="3" fontId="9" fillId="0" borderId="3" xfId="4" applyNumberFormat="1" applyFont="1" applyBorder="1"/>
    <xf numFmtId="3" fontId="9" fillId="0" borderId="0" xfId="4" applyNumberFormat="1" applyFont="1" applyAlignment="1">
      <alignment vertical="center" wrapText="1"/>
    </xf>
    <xf numFmtId="3" fontId="9" fillId="7" borderId="0" xfId="4" applyNumberFormat="1" applyFont="1" applyFill="1"/>
    <xf numFmtId="0" fontId="9" fillId="0" borderId="15" xfId="4" applyFont="1" applyBorder="1" applyAlignment="1">
      <alignment vertical="center" wrapText="1"/>
    </xf>
    <xf numFmtId="0" fontId="9" fillId="0" borderId="4" xfId="4" applyFont="1" applyBorder="1" applyAlignment="1">
      <alignment vertical="center" wrapText="1"/>
    </xf>
    <xf numFmtId="0" fontId="12" fillId="0" borderId="4" xfId="4" applyFont="1" applyBorder="1" applyAlignment="1">
      <alignment vertical="center" wrapText="1"/>
    </xf>
    <xf numFmtId="0" fontId="9" fillId="0" borderId="0" xfId="4" applyFont="1" applyAlignment="1">
      <alignment wrapText="1"/>
    </xf>
    <xf numFmtId="3" fontId="9" fillId="0" borderId="0" xfId="4" applyNumberFormat="1" applyFont="1" applyAlignment="1">
      <alignment wrapText="1"/>
    </xf>
    <xf numFmtId="3" fontId="8" fillId="0" borderId="2" xfId="4" applyNumberFormat="1" applyFont="1" applyBorder="1" applyAlignment="1">
      <alignment wrapText="1"/>
    </xf>
    <xf numFmtId="0" fontId="8" fillId="0" borderId="0" xfId="4" applyFont="1" applyAlignment="1">
      <alignment wrapText="1"/>
    </xf>
    <xf numFmtId="3" fontId="8" fillId="0" borderId="0" xfId="4" applyNumberFormat="1" applyFont="1" applyAlignment="1">
      <alignment wrapText="1"/>
    </xf>
    <xf numFmtId="165" fontId="9" fillId="0" borderId="0" xfId="9" applyNumberFormat="1" applyFont="1"/>
    <xf numFmtId="3" fontId="9" fillId="11" borderId="2" xfId="16" applyNumberFormat="1" applyFont="1" applyFill="1" applyBorder="1" applyAlignment="1">
      <alignment vertical="center" wrapText="1"/>
    </xf>
    <xf numFmtId="0" fontId="11" fillId="0" borderId="2" xfId="16" applyFont="1" applyFill="1" applyBorder="1"/>
    <xf numFmtId="3" fontId="11" fillId="0" borderId="2" xfId="16" applyNumberFormat="1" applyFont="1" applyFill="1" applyBorder="1" applyAlignment="1">
      <alignment vertical="center"/>
    </xf>
    <xf numFmtId="3" fontId="9" fillId="0" borderId="0" xfId="16" applyNumberFormat="1" applyFont="1" applyBorder="1" applyAlignment="1">
      <alignment vertical="center" wrapText="1"/>
    </xf>
    <xf numFmtId="3" fontId="9" fillId="11" borderId="0" xfId="16" applyNumberFormat="1" applyFont="1" applyFill="1"/>
    <xf numFmtId="0" fontId="16" fillId="0" borderId="0" xfId="15" applyFont="1" applyAlignment="1">
      <alignment horizontal="center"/>
    </xf>
    <xf numFmtId="0" fontId="16" fillId="0" borderId="0" xfId="15" applyFont="1" applyAlignment="1"/>
    <xf numFmtId="0" fontId="9" fillId="0" borderId="3" xfId="15" applyFont="1" applyBorder="1" applyAlignment="1">
      <alignment vertical="center" wrapText="1"/>
    </xf>
    <xf numFmtId="0" fontId="9" fillId="0" borderId="2" xfId="4" applyNumberFormat="1" applyFont="1" applyBorder="1" applyAlignment="1">
      <alignment vertical="center" wrapText="1"/>
    </xf>
    <xf numFmtId="3" fontId="9" fillId="0" borderId="2" xfId="15" applyNumberFormat="1" applyFont="1" applyFill="1" applyBorder="1" applyAlignment="1">
      <alignment vertical="center" wrapText="1"/>
    </xf>
    <xf numFmtId="0" fontId="22" fillId="0" borderId="2" xfId="15" applyFont="1" applyBorder="1" applyAlignment="1">
      <alignment vertical="center" wrapText="1"/>
    </xf>
    <xf numFmtId="1" fontId="12" fillId="0" borderId="2" xfId="15" applyNumberFormat="1" applyFont="1" applyBorder="1" applyAlignment="1">
      <alignment vertical="center" wrapText="1"/>
    </xf>
    <xf numFmtId="3" fontId="7" fillId="0" borderId="0" xfId="16" applyNumberFormat="1" applyFont="1"/>
    <xf numFmtId="0" fontId="8" fillId="0" borderId="2" xfId="16" applyFont="1" applyFill="1" applyBorder="1" applyAlignment="1">
      <alignment horizontal="right" vertical="center" wrapText="1"/>
    </xf>
    <xf numFmtId="0" fontId="22" fillId="0" borderId="2" xfId="16" applyFont="1" applyBorder="1" applyAlignment="1">
      <alignment vertical="center" wrapText="1"/>
    </xf>
    <xf numFmtId="164" fontId="10" fillId="0" borderId="0" xfId="4" applyNumberFormat="1" applyFont="1" applyBorder="1" applyAlignment="1">
      <alignment vertical="top"/>
    </xf>
    <xf numFmtId="0" fontId="9" fillId="0" borderId="2" xfId="4" applyFont="1" applyBorder="1" applyAlignment="1">
      <alignment vertical="center"/>
    </xf>
    <xf numFmtId="166" fontId="36" fillId="0" borderId="23" xfId="18" applyNumberFormat="1" applyFont="1" applyBorder="1" applyAlignment="1">
      <alignment horizontal="right" vertical="center" readingOrder="2"/>
    </xf>
    <xf numFmtId="0" fontId="36" fillId="0" borderId="8" xfId="17" applyFont="1" applyBorder="1" applyAlignment="1">
      <alignment horizontal="right" vertical="center" readingOrder="2"/>
    </xf>
    <xf numFmtId="0" fontId="38" fillId="0" borderId="24" xfId="17" applyFont="1" applyBorder="1" applyAlignment="1">
      <alignment horizontal="right" vertical="center" readingOrder="2"/>
    </xf>
    <xf numFmtId="0" fontId="36" fillId="0" borderId="43" xfId="17" applyFont="1" applyBorder="1" applyAlignment="1">
      <alignment horizontal="right" vertical="center" readingOrder="2"/>
    </xf>
    <xf numFmtId="0" fontId="3" fillId="0" borderId="30" xfId="17" applyBorder="1"/>
    <xf numFmtId="9" fontId="38" fillId="0" borderId="2" xfId="9" applyFont="1" applyBorder="1" applyAlignment="1">
      <alignment horizontal="right" vertical="center" readingOrder="2"/>
    </xf>
    <xf numFmtId="3" fontId="9" fillId="0" borderId="0" xfId="0" quotePrefix="1" applyNumberFormat="1" applyFont="1" applyFill="1" applyBorder="1"/>
    <xf numFmtId="0" fontId="11" fillId="0" borderId="0" xfId="16" applyFont="1" applyAlignment="1">
      <alignment wrapText="1"/>
    </xf>
    <xf numFmtId="0" fontId="11" fillId="0" borderId="0" xfId="16" applyFont="1" applyFill="1"/>
    <xf numFmtId="0" fontId="15" fillId="0" borderId="0" xfId="16" applyFont="1" applyAlignment="1">
      <alignment horizontal="center"/>
    </xf>
    <xf numFmtId="0" fontId="15" fillId="0" borderId="0" xfId="16" applyFont="1" applyAlignment="1">
      <alignment horizontal="center" wrapText="1"/>
    </xf>
    <xf numFmtId="0" fontId="15" fillId="0" borderId="0" xfId="16" applyFont="1" applyFill="1" applyAlignment="1">
      <alignment horizontal="center"/>
    </xf>
    <xf numFmtId="3" fontId="15" fillId="0" borderId="0" xfId="16" applyNumberFormat="1" applyFont="1" applyAlignment="1">
      <alignment horizontal="center"/>
    </xf>
    <xf numFmtId="0" fontId="11" fillId="0" borderId="18" xfId="16" applyFont="1" applyBorder="1"/>
    <xf numFmtId="0" fontId="11" fillId="0" borderId="19" xfId="16" applyFont="1" applyBorder="1"/>
    <xf numFmtId="0" fontId="12" fillId="0" borderId="20" xfId="16" applyFont="1" applyBorder="1" applyAlignment="1">
      <alignment horizontal="center"/>
    </xf>
    <xf numFmtId="0" fontId="11" fillId="0" borderId="22" xfId="16" applyFont="1" applyBorder="1" applyAlignment="1">
      <alignment horizontal="center" vertical="center" wrapText="1"/>
    </xf>
    <xf numFmtId="0" fontId="11" fillId="0" borderId="2" xfId="16" applyFont="1" applyBorder="1" applyAlignment="1">
      <alignment horizontal="center" vertical="center" wrapText="1"/>
    </xf>
    <xf numFmtId="0" fontId="12" fillId="0" borderId="2" xfId="16" applyFont="1" applyBorder="1" applyAlignment="1">
      <alignment horizontal="center" vertical="center" wrapText="1"/>
    </xf>
    <xf numFmtId="0" fontId="12" fillId="0" borderId="2" xfId="16" applyFont="1" applyFill="1" applyBorder="1" applyAlignment="1">
      <alignment horizontal="center" vertical="center" wrapText="1"/>
    </xf>
    <xf numFmtId="0" fontId="12" fillId="0" borderId="23" xfId="16" applyFont="1" applyBorder="1" applyAlignment="1">
      <alignment horizontal="center" vertical="center" wrapText="1"/>
    </xf>
    <xf numFmtId="0" fontId="11" fillId="0" borderId="0" xfId="16" applyFont="1" applyAlignment="1">
      <alignment horizontal="center" vertical="center" wrapText="1"/>
    </xf>
    <xf numFmtId="0" fontId="12" fillId="0" borderId="22" xfId="16" applyFont="1" applyFill="1" applyBorder="1" applyAlignment="1">
      <alignment horizontal="right" vertical="center"/>
    </xf>
    <xf numFmtId="0" fontId="12" fillId="0" borderId="2" xfId="16" applyFont="1" applyFill="1" applyBorder="1" applyAlignment="1">
      <alignment horizontal="right" vertical="center"/>
    </xf>
    <xf numFmtId="0" fontId="12" fillId="0" borderId="23" xfId="16" applyFont="1" applyFill="1" applyBorder="1" applyAlignment="1">
      <alignment horizontal="center" vertical="center" wrapText="1"/>
    </xf>
    <xf numFmtId="0" fontId="11" fillId="0" borderId="0" xfId="16" applyFont="1" applyFill="1" applyAlignment="1">
      <alignment horizontal="center" vertical="center" wrapText="1"/>
    </xf>
    <xf numFmtId="0" fontId="12" fillId="0" borderId="2" xfId="16" applyFont="1" applyBorder="1" applyAlignment="1">
      <alignment wrapText="1"/>
    </xf>
    <xf numFmtId="0" fontId="11" fillId="0" borderId="23" xfId="16" applyFont="1" applyBorder="1"/>
    <xf numFmtId="0" fontId="11" fillId="0" borderId="22" xfId="16" applyFont="1" applyBorder="1" applyAlignment="1">
      <alignment horizontal="right"/>
    </xf>
    <xf numFmtId="0" fontId="11" fillId="0" borderId="2" xfId="16" applyFont="1" applyBorder="1" applyAlignment="1">
      <alignment horizontal="right"/>
    </xf>
    <xf numFmtId="0" fontId="11" fillId="0" borderId="2" xfId="16" applyFont="1" applyBorder="1" applyAlignment="1">
      <alignment horizontal="right" vertical="center" wrapText="1"/>
    </xf>
    <xf numFmtId="3" fontId="11" fillId="3" borderId="2" xfId="16" applyNumberFormat="1" applyFont="1" applyFill="1" applyBorder="1" applyAlignment="1">
      <alignment vertical="center"/>
    </xf>
    <xf numFmtId="3" fontId="7" fillId="0" borderId="2" xfId="16" applyNumberFormat="1" applyFont="1" applyFill="1" applyBorder="1" applyAlignment="1">
      <alignment vertical="center"/>
    </xf>
    <xf numFmtId="3" fontId="11" fillId="0" borderId="23" xfId="16" applyNumberFormat="1" applyFont="1" applyBorder="1" applyAlignment="1">
      <alignment vertical="center"/>
    </xf>
    <xf numFmtId="0" fontId="12" fillId="0" borderId="22" xfId="16" applyFont="1" applyBorder="1"/>
    <xf numFmtId="0" fontId="12" fillId="0" borderId="2" xfId="16" applyFont="1" applyBorder="1"/>
    <xf numFmtId="3" fontId="12" fillId="0" borderId="23" xfId="16" applyNumberFormat="1" applyFont="1" applyBorder="1" applyAlignment="1">
      <alignment vertical="center"/>
    </xf>
    <xf numFmtId="14" fontId="11" fillId="0" borderId="2" xfId="16" applyNumberFormat="1" applyFont="1" applyBorder="1" applyAlignment="1">
      <alignment horizontal="right"/>
    </xf>
    <xf numFmtId="3" fontId="11" fillId="10" borderId="2" xfId="16" applyNumberFormat="1" applyFont="1" applyFill="1" applyBorder="1" applyAlignment="1">
      <alignment vertical="center"/>
    </xf>
    <xf numFmtId="3" fontId="11" fillId="0" borderId="23" xfId="16" applyNumberFormat="1" applyFont="1" applyFill="1" applyBorder="1" applyAlignment="1">
      <alignment vertical="center"/>
    </xf>
    <xf numFmtId="0" fontId="12" fillId="0" borderId="0" xfId="16" applyFont="1" applyFill="1"/>
    <xf numFmtId="3" fontId="11" fillId="4" borderId="2" xfId="16" applyNumberFormat="1" applyFont="1" applyFill="1" applyBorder="1" applyAlignment="1">
      <alignment vertical="center"/>
    </xf>
    <xf numFmtId="3" fontId="11" fillId="9" borderId="2" xfId="16" applyNumberFormat="1" applyFont="1" applyFill="1" applyBorder="1" applyAlignment="1">
      <alignment vertical="center"/>
    </xf>
    <xf numFmtId="0" fontId="51" fillId="0" borderId="2" xfId="16" applyFont="1" applyBorder="1" applyAlignment="1">
      <alignment horizontal="right" vertical="center" wrapText="1"/>
    </xf>
    <xf numFmtId="3" fontId="51" fillId="0" borderId="2" xfId="16" applyNumberFormat="1" applyFont="1" applyBorder="1" applyAlignment="1">
      <alignment vertical="center"/>
    </xf>
    <xf numFmtId="3" fontId="12" fillId="0" borderId="4" xfId="16" applyNumberFormat="1" applyFont="1" applyBorder="1" applyAlignment="1">
      <alignment vertical="center"/>
    </xf>
    <xf numFmtId="14" fontId="11" fillId="0" borderId="22" xfId="16" applyNumberFormat="1" applyFont="1" applyFill="1" applyBorder="1" applyAlignment="1">
      <alignment horizontal="right"/>
    </xf>
    <xf numFmtId="0" fontId="7" fillId="0" borderId="22" xfId="16" applyFont="1" applyBorder="1" applyAlignment="1">
      <alignment wrapText="1"/>
    </xf>
    <xf numFmtId="0" fontId="7" fillId="0" borderId="2" xfId="16" applyFont="1" applyBorder="1" applyAlignment="1">
      <alignment wrapText="1"/>
    </xf>
    <xf numFmtId="0" fontId="54" fillId="0" borderId="0" xfId="16" applyFont="1"/>
    <xf numFmtId="0" fontId="12" fillId="0" borderId="24" xfId="16" applyFont="1" applyBorder="1"/>
    <xf numFmtId="0" fontId="12" fillId="0" borderId="25" xfId="16" applyFont="1" applyBorder="1"/>
    <xf numFmtId="0" fontId="12" fillId="0" borderId="0" xfId="16" applyFont="1" applyBorder="1"/>
    <xf numFmtId="0" fontId="12" fillId="0" borderId="0" xfId="16" applyFont="1" applyBorder="1" applyAlignment="1">
      <alignment wrapText="1"/>
    </xf>
    <xf numFmtId="3" fontId="12" fillId="0" borderId="0" xfId="16" applyNumberFormat="1" applyFont="1" applyBorder="1"/>
    <xf numFmtId="166" fontId="11" fillId="0" borderId="0" xfId="10" applyNumberFormat="1" applyFont="1"/>
    <xf numFmtId="0" fontId="7" fillId="0" borderId="0" xfId="16" applyFont="1" applyBorder="1"/>
    <xf numFmtId="0" fontId="7" fillId="0" borderId="0" xfId="16" applyFont="1" applyBorder="1" applyAlignment="1">
      <alignment wrapText="1"/>
    </xf>
    <xf numFmtId="0" fontId="11" fillId="0" borderId="5" xfId="16" applyFont="1" applyBorder="1"/>
    <xf numFmtId="3" fontId="12" fillId="0" borderId="5" xfId="16" applyNumberFormat="1" applyFont="1" applyBorder="1" applyAlignment="1">
      <alignment vertical="center"/>
    </xf>
    <xf numFmtId="3" fontId="12" fillId="0" borderId="8" xfId="16" applyNumberFormat="1" applyFont="1" applyBorder="1" applyAlignment="1">
      <alignment vertical="center"/>
    </xf>
    <xf numFmtId="0" fontId="26" fillId="0" borderId="4" xfId="16" applyFont="1" applyBorder="1"/>
    <xf numFmtId="0" fontId="26" fillId="0" borderId="2" xfId="16" applyFont="1" applyBorder="1"/>
    <xf numFmtId="0" fontId="26" fillId="0" borderId="5" xfId="16" applyFont="1" applyBorder="1"/>
    <xf numFmtId="0" fontId="26" fillId="0" borderId="0" xfId="16" applyFont="1"/>
    <xf numFmtId="0" fontId="25" fillId="0" borderId="4" xfId="4" applyFont="1" applyBorder="1" applyAlignment="1">
      <alignment vertical="center"/>
    </xf>
    <xf numFmtId="0" fontId="25" fillId="0" borderId="5" xfId="4" applyFont="1" applyBorder="1" applyAlignment="1">
      <alignment vertical="center"/>
    </xf>
    <xf numFmtId="0" fontId="25" fillId="0" borderId="6" xfId="4" applyFont="1" applyBorder="1" applyAlignment="1">
      <alignment vertical="center"/>
    </xf>
    <xf numFmtId="3" fontId="9" fillId="0" borderId="0" xfId="13" quotePrefix="1" applyNumberFormat="1" applyFont="1"/>
    <xf numFmtId="0" fontId="25" fillId="0" borderId="2" xfId="4" applyFont="1" applyBorder="1" applyAlignment="1">
      <alignment vertical="center"/>
    </xf>
    <xf numFmtId="3" fontId="9" fillId="0" borderId="0" xfId="4" quotePrefix="1" applyNumberFormat="1" applyFont="1" applyFill="1"/>
    <xf numFmtId="3" fontId="9" fillId="0" borderId="0" xfId="15" quotePrefix="1" applyNumberFormat="1" applyFont="1"/>
    <xf numFmtId="0" fontId="9" fillId="0" borderId="0" xfId="13" applyFont="1" applyFill="1"/>
    <xf numFmtId="3" fontId="12" fillId="0" borderId="2" xfId="13" applyNumberFormat="1" applyFont="1" applyFill="1" applyBorder="1" applyAlignment="1">
      <alignment vertical="center" wrapText="1"/>
    </xf>
    <xf numFmtId="3" fontId="9" fillId="0" borderId="0" xfId="13" applyNumberFormat="1" applyFont="1" applyFill="1" applyAlignment="1">
      <alignment horizontal="center" vertical="center"/>
    </xf>
    <xf numFmtId="43" fontId="9" fillId="0" borderId="2" xfId="14" applyFont="1" applyFill="1" applyBorder="1" applyAlignment="1">
      <alignment vertical="center" wrapText="1"/>
    </xf>
    <xf numFmtId="3" fontId="8" fillId="0" borderId="2" xfId="13" applyNumberFormat="1" applyFont="1" applyFill="1" applyBorder="1" applyAlignment="1">
      <alignment vertical="center" wrapText="1"/>
    </xf>
    <xf numFmtId="3" fontId="9" fillId="0" borderId="0" xfId="13" applyNumberFormat="1" applyFont="1" applyFill="1"/>
    <xf numFmtId="0" fontId="7" fillId="0" borderId="0" xfId="0" applyFont="1" applyFill="1" applyAlignment="1"/>
    <xf numFmtId="0" fontId="15" fillId="0" borderId="0" xfId="16" applyFont="1" applyAlignment="1">
      <alignment horizontal="center"/>
    </xf>
    <xf numFmtId="0" fontId="12" fillId="0" borderId="4" xfId="4" applyFont="1" applyBorder="1" applyAlignment="1"/>
    <xf numFmtId="3" fontId="53" fillId="0" borderId="25" xfId="17" applyNumberFormat="1" applyFont="1" applyBorder="1" applyAlignment="1">
      <alignment horizontal="right" vertical="center" readingOrder="2"/>
    </xf>
    <xf numFmtId="3" fontId="53" fillId="0" borderId="26" xfId="17" applyNumberFormat="1" applyFont="1" applyBorder="1" applyAlignment="1">
      <alignment horizontal="right" vertical="center" readingOrder="2"/>
    </xf>
    <xf numFmtId="0" fontId="38" fillId="0" borderId="44" xfId="17" applyFont="1" applyBorder="1" applyAlignment="1">
      <alignment horizontal="right" vertical="center" readingOrder="2"/>
    </xf>
    <xf numFmtId="0" fontId="46" fillId="0" borderId="36" xfId="17" applyFont="1" applyBorder="1"/>
    <xf numFmtId="0" fontId="36" fillId="0" borderId="44" xfId="17" applyFont="1" applyBorder="1" applyAlignment="1">
      <alignment horizontal="right" vertical="center" readingOrder="2"/>
    </xf>
    <xf numFmtId="3" fontId="12" fillId="0" borderId="6" xfId="13" applyNumberFormat="1" applyFont="1" applyBorder="1" applyAlignment="1">
      <alignment vertical="center" wrapText="1"/>
    </xf>
    <xf numFmtId="3" fontId="8" fillId="0" borderId="6" xfId="13" applyNumberFormat="1" applyFont="1" applyBorder="1" applyAlignment="1">
      <alignment horizontal="right" vertical="center" wrapText="1"/>
    </xf>
    <xf numFmtId="3" fontId="9" fillId="0" borderId="0" xfId="13" quotePrefix="1" applyNumberFormat="1" applyFont="1" applyAlignment="1">
      <alignment horizontal="center" vertical="center"/>
    </xf>
    <xf numFmtId="0" fontId="9" fillId="0" borderId="0" xfId="13" quotePrefix="1" applyFont="1" applyAlignment="1">
      <alignment horizontal="center" vertical="center"/>
    </xf>
    <xf numFmtId="0" fontId="9" fillId="0" borderId="0" xfId="13" quotePrefix="1" applyFont="1" applyAlignment="1">
      <alignment horizontal="center" vertical="center" wrapText="1"/>
    </xf>
    <xf numFmtId="0" fontId="16" fillId="0" borderId="0" xfId="4" applyFont="1" applyAlignment="1"/>
    <xf numFmtId="0" fontId="7" fillId="0" borderId="0" xfId="4" applyFont="1" applyAlignment="1">
      <alignment horizontal="center"/>
    </xf>
    <xf numFmtId="0" fontId="7" fillId="0" borderId="0" xfId="4" applyFont="1" applyAlignment="1">
      <alignment horizontal="center"/>
    </xf>
    <xf numFmtId="0" fontId="15" fillId="0" borderId="0" xfId="16" applyFont="1" applyAlignment="1">
      <alignment horizontal="center"/>
    </xf>
    <xf numFmtId="0" fontId="12" fillId="0" borderId="19" xfId="16" applyFont="1" applyBorder="1" applyAlignment="1">
      <alignment horizontal="center"/>
    </xf>
    <xf numFmtId="166" fontId="8" fillId="0" borderId="0" xfId="12" applyNumberFormat="1" applyFont="1" applyBorder="1" applyAlignment="1"/>
    <xf numFmtId="3" fontId="7" fillId="0" borderId="0" xfId="13" applyNumberFormat="1" applyFont="1" applyBorder="1" applyAlignment="1"/>
    <xf numFmtId="166" fontId="7" fillId="0" borderId="0" xfId="12" applyNumberFormat="1" applyFont="1" applyFill="1" applyAlignment="1"/>
    <xf numFmtId="3" fontId="16" fillId="0" borderId="0" xfId="15" applyNumberFormat="1" applyFont="1" applyAlignment="1"/>
    <xf numFmtId="0" fontId="12" fillId="0" borderId="2" xfId="4" applyFont="1" applyBorder="1" applyAlignment="1"/>
    <xf numFmtId="0" fontId="12" fillId="0" borderId="2" xfId="4" applyFont="1" applyBorder="1" applyAlignment="1">
      <alignment horizontal="center"/>
    </xf>
    <xf numFmtId="0" fontId="16" fillId="0" borderId="0" xfId="16" applyFont="1" applyAlignment="1"/>
    <xf numFmtId="0" fontId="15" fillId="0" borderId="0" xfId="16" applyFont="1" applyAlignment="1"/>
    <xf numFmtId="0" fontId="11" fillId="0" borderId="2" xfId="16" applyFont="1" applyBorder="1" applyAlignment="1">
      <alignment wrapText="1"/>
    </xf>
    <xf numFmtId="0" fontId="12" fillId="0" borderId="2" xfId="16" applyFont="1" applyBorder="1" applyAlignment="1">
      <alignment horizontal="center"/>
    </xf>
    <xf numFmtId="0" fontId="12" fillId="0" borderId="2" xfId="16" applyFont="1" applyFill="1" applyBorder="1" applyAlignment="1">
      <alignment horizontal="center"/>
    </xf>
    <xf numFmtId="0" fontId="9" fillId="0" borderId="6" xfId="13" applyFont="1" applyBorder="1" applyAlignment="1">
      <alignment vertical="center" wrapText="1"/>
    </xf>
    <xf numFmtId="0" fontId="8" fillId="0" borderId="6" xfId="13" applyFont="1" applyBorder="1" applyAlignment="1">
      <alignment vertical="center" wrapText="1"/>
    </xf>
    <xf numFmtId="3" fontId="8" fillId="0" borderId="6" xfId="0" applyNumberFormat="1" applyFont="1" applyFill="1" applyBorder="1" applyAlignment="1">
      <alignment horizontal="right" vertical="center" wrapText="1"/>
    </xf>
    <xf numFmtId="0" fontId="9" fillId="0" borderId="5" xfId="0" applyFont="1" applyFill="1" applyBorder="1" applyAlignment="1">
      <alignment vertical="center" wrapText="1"/>
    </xf>
    <xf numFmtId="0" fontId="9" fillId="3" borderId="6" xfId="4" applyFont="1" applyFill="1" applyBorder="1" applyAlignment="1">
      <alignment vertical="center" wrapText="1"/>
    </xf>
    <xf numFmtId="166" fontId="9" fillId="0" borderId="2" xfId="10" applyNumberFormat="1" applyFont="1" applyFill="1" applyBorder="1" applyAlignment="1">
      <alignment vertical="center" wrapText="1"/>
    </xf>
    <xf numFmtId="0" fontId="16" fillId="0" borderId="0" xfId="15" applyFont="1" applyBorder="1" applyAlignment="1"/>
    <xf numFmtId="0" fontId="9" fillId="0" borderId="0" xfId="15" applyFont="1" applyBorder="1"/>
    <xf numFmtId="0" fontId="3" fillId="0" borderId="0" xfId="15" applyBorder="1"/>
    <xf numFmtId="0" fontId="34" fillId="0" borderId="0" xfId="13" applyFont="1" applyBorder="1" applyAlignment="1"/>
    <xf numFmtId="0" fontId="16" fillId="0" borderId="0" xfId="0" applyFont="1" applyFill="1" applyAlignment="1"/>
    <xf numFmtId="0" fontId="9" fillId="0" borderId="2" xfId="4" applyNumberFormat="1" applyFont="1" applyFill="1" applyBorder="1" applyAlignment="1">
      <alignment vertical="center" wrapText="1"/>
    </xf>
    <xf numFmtId="0" fontId="53" fillId="0" borderId="0" xfId="17" applyFont="1" applyFill="1" applyAlignment="1">
      <alignment horizontal="right" vertical="center" readingOrder="2"/>
    </xf>
    <xf numFmtId="166" fontId="36" fillId="0" borderId="2" xfId="18" applyNumberFormat="1" applyFont="1" applyFill="1" applyBorder="1" applyAlignment="1">
      <alignment horizontal="right" vertical="center" readingOrder="2"/>
    </xf>
    <xf numFmtId="0" fontId="53" fillId="0" borderId="0" xfId="17" applyFont="1" applyAlignment="1">
      <alignment horizontal="right" vertical="center" readingOrder="2"/>
    </xf>
    <xf numFmtId="0" fontId="14" fillId="0" borderId="0" xfId="16"/>
    <xf numFmtId="0" fontId="37" fillId="0" borderId="0" xfId="16" applyFont="1" applyAlignment="1">
      <alignment horizontal="right" vertical="center" readingOrder="2"/>
    </xf>
    <xf numFmtId="0" fontId="36" fillId="0" borderId="0" xfId="16" applyFont="1" applyAlignment="1">
      <alignment horizontal="right" vertical="center" readingOrder="2"/>
    </xf>
    <xf numFmtId="0" fontId="36" fillId="0" borderId="0" xfId="16" quotePrefix="1" applyFont="1" applyAlignment="1">
      <alignment horizontal="right" vertical="center" readingOrder="2"/>
    </xf>
    <xf numFmtId="0" fontId="53" fillId="0" borderId="0" xfId="17" quotePrefix="1" applyFont="1" applyAlignment="1">
      <alignment horizontal="right" vertical="center" readingOrder="2"/>
    </xf>
    <xf numFmtId="0" fontId="38" fillId="0" borderId="33" xfId="17" applyFont="1" applyBorder="1" applyAlignment="1">
      <alignment horizontal="right" vertical="center" readingOrder="2"/>
    </xf>
    <xf numFmtId="3" fontId="12" fillId="0" borderId="6" xfId="16" applyNumberFormat="1" applyFont="1" applyBorder="1" applyAlignment="1">
      <alignment horizontal="center" vertical="center" wrapText="1"/>
    </xf>
    <xf numFmtId="0" fontId="8" fillId="0" borderId="0" xfId="13" applyFont="1"/>
    <xf numFmtId="0" fontId="57" fillId="0" borderId="0" xfId="13" applyFont="1"/>
    <xf numFmtId="0" fontId="12" fillId="0" borderId="2" xfId="0" applyFont="1" applyFill="1" applyBorder="1" applyAlignment="1"/>
    <xf numFmtId="0" fontId="12" fillId="0" borderId="0" xfId="0" applyFont="1" applyFill="1"/>
    <xf numFmtId="3" fontId="12" fillId="0" borderId="5" xfId="4" applyNumberFormat="1" applyFont="1" applyFill="1" applyBorder="1" applyAlignment="1">
      <alignment vertical="center" wrapText="1"/>
    </xf>
    <xf numFmtId="0" fontId="11" fillId="0" borderId="0" xfId="4" applyNumberFormat="1" applyFont="1" applyFill="1" applyBorder="1" applyAlignment="1">
      <alignment vertical="center" wrapText="1"/>
    </xf>
    <xf numFmtId="3" fontId="12" fillId="0" borderId="0" xfId="4" applyNumberFormat="1" applyFont="1" applyFill="1" applyAlignment="1">
      <alignment vertical="center" wrapText="1"/>
    </xf>
    <xf numFmtId="0" fontId="11" fillId="0" borderId="2" xfId="4" applyFont="1" applyFill="1" applyBorder="1" applyAlignment="1">
      <alignment vertical="center" wrapText="1"/>
    </xf>
    <xf numFmtId="0" fontId="26" fillId="0" borderId="0" xfId="4" applyFont="1" applyFill="1" applyAlignment="1">
      <alignment vertical="center" wrapText="1"/>
    </xf>
    <xf numFmtId="0" fontId="26" fillId="0" borderId="6" xfId="4" applyFont="1" applyFill="1" applyBorder="1" applyAlignment="1">
      <alignment vertical="center" wrapText="1"/>
    </xf>
    <xf numFmtId="0" fontId="27" fillId="0" borderId="0" xfId="4" applyFont="1" applyFill="1" applyAlignment="1">
      <alignment vertical="center" wrapText="1"/>
    </xf>
    <xf numFmtId="0" fontId="11" fillId="0" borderId="0" xfId="4" applyFont="1" applyFill="1" applyBorder="1" applyAlignment="1">
      <alignment vertical="center" wrapText="1"/>
    </xf>
    <xf numFmtId="0" fontId="58" fillId="0" borderId="0" xfId="15" applyFont="1"/>
    <xf numFmtId="166" fontId="9" fillId="0" borderId="0" xfId="12" applyNumberFormat="1" applyFont="1" applyFill="1" applyAlignment="1">
      <alignment vertical="center" wrapText="1"/>
    </xf>
    <xf numFmtId="43" fontId="9" fillId="0" borderId="0" xfId="0" applyNumberFormat="1" applyFont="1" applyFill="1" applyAlignment="1">
      <alignment wrapText="1"/>
    </xf>
    <xf numFmtId="0" fontId="2" fillId="0" borderId="0" xfId="20" applyBorder="1"/>
    <xf numFmtId="0" fontId="35" fillId="0" borderId="0" xfId="20" applyFont="1" applyBorder="1" applyAlignment="1">
      <alignment horizontal="right" vertical="center" readingOrder="2"/>
    </xf>
    <xf numFmtId="0" fontId="36" fillId="0" borderId="0" xfId="20" applyFont="1" applyBorder="1" applyAlignment="1">
      <alignment horizontal="right" vertical="center" readingOrder="2"/>
    </xf>
    <xf numFmtId="0" fontId="38" fillId="0" borderId="0" xfId="20" applyFont="1" applyBorder="1" applyAlignment="1">
      <alignment horizontal="right" vertical="center" readingOrder="2"/>
    </xf>
    <xf numFmtId="0" fontId="46" fillId="0" borderId="0" xfId="20" applyFont="1" applyBorder="1"/>
    <xf numFmtId="166" fontId="38" fillId="0" borderId="0" xfId="21" applyNumberFormat="1" applyFont="1" applyBorder="1" applyAlignment="1">
      <alignment horizontal="right" vertical="center" readingOrder="2"/>
    </xf>
    <xf numFmtId="3" fontId="36" fillId="0" borderId="0" xfId="20" applyNumberFormat="1" applyFont="1" applyBorder="1" applyAlignment="1">
      <alignment horizontal="right" vertical="center" readingOrder="2"/>
    </xf>
    <xf numFmtId="0" fontId="21" fillId="0" borderId="0" xfId="20" applyFont="1" applyBorder="1"/>
    <xf numFmtId="166" fontId="38" fillId="0" borderId="0" xfId="21" applyNumberFormat="1" applyFont="1" applyBorder="1" applyAlignment="1">
      <alignment vertical="center" readingOrder="2"/>
    </xf>
    <xf numFmtId="0" fontId="36" fillId="0" borderId="0" xfId="20" quotePrefix="1" applyFont="1" applyBorder="1" applyAlignment="1">
      <alignment horizontal="right" vertical="center" readingOrder="2"/>
    </xf>
    <xf numFmtId="0" fontId="37" fillId="0" borderId="0" xfId="20" applyFont="1" applyBorder="1" applyAlignment="1">
      <alignment horizontal="right" vertical="center" readingOrder="2"/>
    </xf>
    <xf numFmtId="0" fontId="47" fillId="0" borderId="0" xfId="20" applyFont="1" applyBorder="1" applyAlignment="1">
      <alignment horizontal="right" vertical="center" readingOrder="2"/>
    </xf>
    <xf numFmtId="0" fontId="36" fillId="0" borderId="0" xfId="22" applyFont="1" applyAlignment="1">
      <alignment horizontal="right" vertical="center" readingOrder="2"/>
    </xf>
    <xf numFmtId="0" fontId="1" fillId="0" borderId="0" xfId="22"/>
    <xf numFmtId="0" fontId="35" fillId="0" borderId="0" xfId="22" applyFont="1" applyAlignment="1">
      <alignment horizontal="right" vertical="center" readingOrder="2"/>
    </xf>
    <xf numFmtId="0" fontId="59" fillId="0" borderId="0" xfId="22" applyFont="1"/>
    <xf numFmtId="3" fontId="38" fillId="0" borderId="35" xfId="22" applyNumberFormat="1" applyFont="1" applyBorder="1" applyAlignment="1">
      <alignment horizontal="right" vertical="center" readingOrder="2"/>
    </xf>
    <xf numFmtId="0" fontId="38" fillId="0" borderId="20" xfId="22" applyFont="1" applyBorder="1" applyAlignment="1">
      <alignment horizontal="center" vertical="center" readingOrder="2"/>
    </xf>
    <xf numFmtId="0" fontId="38" fillId="0" borderId="0" xfId="22" applyFont="1" applyBorder="1" applyAlignment="1">
      <alignment horizontal="right" vertical="center" readingOrder="2"/>
    </xf>
    <xf numFmtId="0" fontId="36" fillId="0" borderId="22" xfId="22" applyFont="1" applyBorder="1" applyAlignment="1">
      <alignment horizontal="right" vertical="center" readingOrder="2"/>
    </xf>
    <xf numFmtId="3" fontId="36" fillId="0" borderId="23" xfId="22" applyNumberFormat="1" applyFont="1" applyBorder="1" applyAlignment="1">
      <alignment horizontal="center" vertical="center" readingOrder="2"/>
    </xf>
    <xf numFmtId="0" fontId="36" fillId="0" borderId="0" xfId="22" applyFont="1" applyBorder="1" applyAlignment="1">
      <alignment horizontal="right" vertical="center" readingOrder="2"/>
    </xf>
    <xf numFmtId="0" fontId="38" fillId="0" borderId="24" xfId="22" applyFont="1" applyBorder="1" applyAlignment="1">
      <alignment horizontal="right" vertical="center" readingOrder="2"/>
    </xf>
    <xf numFmtId="0" fontId="38" fillId="0" borderId="36" xfId="22" applyFont="1" applyBorder="1" applyAlignment="1">
      <alignment horizontal="right" vertical="center" readingOrder="2"/>
    </xf>
    <xf numFmtId="0" fontId="46" fillId="0" borderId="37" xfId="22" applyFont="1" applyBorder="1"/>
    <xf numFmtId="166" fontId="38" fillId="0" borderId="28" xfId="23" applyNumberFormat="1" applyFont="1" applyBorder="1" applyAlignment="1">
      <alignment horizontal="right" vertical="center" readingOrder="2"/>
    </xf>
    <xf numFmtId="0" fontId="36" fillId="0" borderId="33" xfId="22" applyFont="1" applyBorder="1" applyAlignment="1">
      <alignment horizontal="right" vertical="center" readingOrder="2"/>
    </xf>
    <xf numFmtId="0" fontId="36" fillId="0" borderId="5" xfId="22" applyFont="1" applyBorder="1" applyAlignment="1">
      <alignment horizontal="right" vertical="center" readingOrder="2"/>
    </xf>
    <xf numFmtId="3" fontId="36" fillId="0" borderId="29" xfId="22" applyNumberFormat="1" applyFont="1" applyBorder="1" applyAlignment="1">
      <alignment horizontal="right" vertical="center" readingOrder="2"/>
    </xf>
    <xf numFmtId="0" fontId="36" fillId="0" borderId="4" xfId="22" applyFont="1" applyBorder="1" applyAlignment="1">
      <alignment horizontal="right" vertical="center" readingOrder="2"/>
    </xf>
    <xf numFmtId="0" fontId="38" fillId="0" borderId="5" xfId="22" applyFont="1" applyBorder="1" applyAlignment="1">
      <alignment horizontal="right" vertical="center" readingOrder="2"/>
    </xf>
    <xf numFmtId="3" fontId="36" fillId="0" borderId="0" xfId="22" applyNumberFormat="1" applyFont="1" applyAlignment="1">
      <alignment horizontal="right" vertical="center" readingOrder="2"/>
    </xf>
    <xf numFmtId="0" fontId="38" fillId="0" borderId="40" xfId="22" applyFont="1" applyBorder="1" applyAlignment="1">
      <alignment horizontal="right" vertical="center" readingOrder="2"/>
    </xf>
    <xf numFmtId="0" fontId="36" fillId="0" borderId="41" xfId="22" applyFont="1" applyBorder="1" applyAlignment="1">
      <alignment horizontal="right" vertical="center" readingOrder="2"/>
    </xf>
    <xf numFmtId="0" fontId="36" fillId="0" borderId="47" xfId="22" applyFont="1" applyBorder="1"/>
    <xf numFmtId="166" fontId="38" fillId="0" borderId="43" xfId="23" applyNumberFormat="1" applyFont="1" applyBorder="1" applyAlignment="1">
      <alignment horizontal="right" vertical="center" readingOrder="2"/>
    </xf>
    <xf numFmtId="0" fontId="1" fillId="0" borderId="30" xfId="22" applyBorder="1"/>
    <xf numFmtId="166" fontId="38" fillId="0" borderId="31" xfId="23" applyNumberFormat="1" applyFont="1" applyBorder="1" applyAlignment="1">
      <alignment horizontal="right" vertical="center" readingOrder="2"/>
    </xf>
    <xf numFmtId="0" fontId="36" fillId="0" borderId="0" xfId="22" quotePrefix="1" applyFont="1" applyAlignment="1">
      <alignment horizontal="right" vertical="center" readingOrder="2"/>
    </xf>
    <xf numFmtId="0" fontId="36" fillId="0" borderId="2" xfId="22" applyFont="1" applyBorder="1" applyAlignment="1">
      <alignment horizontal="right" vertical="center" readingOrder="2"/>
    </xf>
    <xf numFmtId="0" fontId="38" fillId="0" borderId="35" xfId="22" applyFont="1" applyBorder="1" applyAlignment="1">
      <alignment horizontal="right" vertical="center" readingOrder="2"/>
    </xf>
    <xf numFmtId="0" fontId="38" fillId="0" borderId="18" xfId="22" applyFont="1" applyBorder="1" applyAlignment="1">
      <alignment horizontal="right" vertical="center" readingOrder="2"/>
    </xf>
    <xf numFmtId="0" fontId="38" fillId="0" borderId="19" xfId="22" applyFont="1" applyBorder="1" applyAlignment="1">
      <alignment horizontal="center" vertical="center" readingOrder="2"/>
    </xf>
    <xf numFmtId="0" fontId="38" fillId="0" borderId="20" xfId="22" applyFont="1" applyBorder="1" applyAlignment="1">
      <alignment horizontal="right" vertical="center" readingOrder="2"/>
    </xf>
    <xf numFmtId="3" fontId="36" fillId="0" borderId="2" xfId="22" applyNumberFormat="1" applyFont="1" applyBorder="1" applyAlignment="1">
      <alignment horizontal="center" vertical="center" readingOrder="2"/>
    </xf>
    <xf numFmtId="9" fontId="36" fillId="0" borderId="23" xfId="9" applyFont="1" applyBorder="1" applyAlignment="1">
      <alignment horizontal="right" vertical="center" readingOrder="2"/>
    </xf>
    <xf numFmtId="3" fontId="38" fillId="0" borderId="25" xfId="22" applyNumberFormat="1" applyFont="1" applyBorder="1" applyAlignment="1">
      <alignment horizontal="center" vertical="center" readingOrder="2"/>
    </xf>
    <xf numFmtId="9" fontId="36" fillId="0" borderId="26" xfId="9" applyFont="1" applyBorder="1" applyAlignment="1">
      <alignment horizontal="right" vertical="center" readingOrder="2"/>
    </xf>
    <xf numFmtId="3" fontId="38" fillId="0" borderId="23" xfId="22" applyNumberFormat="1" applyFont="1" applyBorder="1" applyAlignment="1">
      <alignment horizontal="center" vertical="center" readingOrder="2"/>
    </xf>
    <xf numFmtId="0" fontId="36" fillId="0" borderId="48" xfId="22" applyFont="1" applyBorder="1" applyAlignment="1">
      <alignment horizontal="right" vertical="center" readingOrder="2"/>
    </xf>
    <xf numFmtId="3" fontId="36" fillId="0" borderId="49" xfId="22" applyNumberFormat="1" applyFont="1" applyBorder="1" applyAlignment="1">
      <alignment horizontal="center" vertical="center" readingOrder="2"/>
    </xf>
    <xf numFmtId="0" fontId="36" fillId="0" borderId="24" xfId="22" applyFont="1" applyBorder="1" applyAlignment="1">
      <alignment horizontal="right" vertical="center" readingOrder="2"/>
    </xf>
    <xf numFmtId="3" fontId="36" fillId="0" borderId="26" xfId="22" applyNumberFormat="1" applyFont="1" applyBorder="1" applyAlignment="1">
      <alignment horizontal="center" vertical="center" readingOrder="2"/>
    </xf>
    <xf numFmtId="165" fontId="36" fillId="0" borderId="23" xfId="9" applyNumberFormat="1" applyFont="1" applyBorder="1" applyAlignment="1">
      <alignment horizontal="right" vertical="center" readingOrder="2"/>
    </xf>
    <xf numFmtId="0" fontId="36" fillId="0" borderId="48" xfId="22" applyFont="1" applyBorder="1" applyAlignment="1">
      <alignment horizontal="right" vertical="center" wrapText="1" readingOrder="2"/>
    </xf>
    <xf numFmtId="0" fontId="37" fillId="0" borderId="0" xfId="22" applyFont="1" applyAlignment="1">
      <alignment horizontal="right" vertical="center" readingOrder="2"/>
    </xf>
    <xf numFmtId="3" fontId="38" fillId="0" borderId="0" xfId="22" applyNumberFormat="1" applyFont="1" applyBorder="1" applyAlignment="1">
      <alignment horizontal="center" vertical="center" readingOrder="2"/>
    </xf>
    <xf numFmtId="3" fontId="36" fillId="0" borderId="2" xfId="22" applyNumberFormat="1" applyFont="1" applyBorder="1" applyAlignment="1">
      <alignment horizontal="right" vertical="center" readingOrder="2"/>
    </xf>
    <xf numFmtId="3" fontId="38" fillId="0" borderId="25" xfId="22" applyNumberFormat="1" applyFont="1" applyBorder="1" applyAlignment="1">
      <alignment horizontal="right" vertical="center" readingOrder="2"/>
    </xf>
    <xf numFmtId="3" fontId="36" fillId="0" borderId="25" xfId="22" applyNumberFormat="1" applyFont="1" applyBorder="1" applyAlignment="1">
      <alignment horizontal="center" vertical="center" readingOrder="2"/>
    </xf>
    <xf numFmtId="9" fontId="38" fillId="0" borderId="0" xfId="9" applyFont="1" applyBorder="1" applyAlignment="1">
      <alignment horizontal="right" vertical="center" readingOrder="2"/>
    </xf>
    <xf numFmtId="3" fontId="9" fillId="0" borderId="0" xfId="9" applyNumberFormat="1" applyFont="1" applyFill="1" applyAlignment="1"/>
    <xf numFmtId="3" fontId="9" fillId="0" borderId="0" xfId="4" applyNumberFormat="1" applyFont="1" applyFill="1" applyAlignment="1"/>
    <xf numFmtId="0" fontId="26" fillId="0" borderId="0" xfId="4" applyFont="1" applyFill="1" applyBorder="1" applyAlignment="1">
      <alignment horizontal="right" vertical="center"/>
    </xf>
    <xf numFmtId="0" fontId="26" fillId="0" borderId="0" xfId="4" applyFont="1" applyFill="1" applyBorder="1" applyAlignment="1">
      <alignment vertical="center"/>
    </xf>
    <xf numFmtId="0" fontId="12" fillId="0" borderId="2" xfId="4" applyFont="1" applyFill="1" applyBorder="1" applyAlignment="1">
      <alignment horizontal="center" vertical="center"/>
    </xf>
    <xf numFmtId="0" fontId="9" fillId="0" borderId="5" xfId="0" applyFont="1" applyFill="1" applyBorder="1"/>
    <xf numFmtId="0" fontId="25" fillId="0" borderId="6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0" xfId="4" applyNumberFormat="1" applyFont="1" applyFill="1" applyBorder="1" applyAlignment="1">
      <alignment vertical="center" wrapText="1"/>
    </xf>
    <xf numFmtId="3" fontId="25" fillId="0" borderId="0" xfId="4" applyNumberFormat="1" applyFont="1" applyFill="1" applyBorder="1" applyAlignment="1">
      <alignment vertical="center" wrapText="1"/>
    </xf>
    <xf numFmtId="0" fontId="25" fillId="0" borderId="0" xfId="4" applyFont="1" applyFill="1" applyBorder="1" applyAlignment="1">
      <alignment vertical="center" wrapText="1"/>
    </xf>
    <xf numFmtId="3" fontId="8" fillId="0" borderId="2" xfId="4" applyNumberFormat="1" applyFont="1" applyFill="1" applyBorder="1" applyAlignment="1">
      <alignment horizontal="right" vertical="center"/>
    </xf>
    <xf numFmtId="3" fontId="8" fillId="0" borderId="2" xfId="4" applyNumberFormat="1" applyFont="1" applyFill="1" applyBorder="1" applyAlignment="1">
      <alignment vertical="center"/>
    </xf>
    <xf numFmtId="3" fontId="36" fillId="0" borderId="0" xfId="22" applyNumberFormat="1" applyFont="1" applyBorder="1" applyAlignment="1">
      <alignment horizontal="center" vertical="center" readingOrder="2"/>
    </xf>
    <xf numFmtId="9" fontId="36" fillId="0" borderId="0" xfId="9" applyFont="1" applyBorder="1" applyAlignment="1">
      <alignment horizontal="right" vertical="center" readingOrder="2"/>
    </xf>
    <xf numFmtId="3" fontId="8" fillId="0" borderId="2" xfId="4" applyNumberFormat="1" applyFont="1" applyBorder="1" applyAlignment="1">
      <alignment horizontal="right" vertical="center"/>
    </xf>
    <xf numFmtId="3" fontId="12" fillId="0" borderId="2" xfId="4" applyNumberFormat="1" applyFont="1" applyBorder="1" applyAlignment="1">
      <alignment vertical="center"/>
    </xf>
    <xf numFmtId="0" fontId="34" fillId="0" borderId="0" xfId="16" applyFont="1" applyAlignment="1"/>
    <xf numFmtId="0" fontId="16" fillId="0" borderId="0" xfId="4" applyFont="1" applyFill="1" applyBorder="1" applyAlignment="1">
      <alignment vertical="center"/>
    </xf>
    <xf numFmtId="0" fontId="34" fillId="0" borderId="0" xfId="4" applyFont="1" applyBorder="1" applyAlignment="1">
      <alignment vertical="center"/>
    </xf>
    <xf numFmtId="0" fontId="16" fillId="0" borderId="0" xfId="4" applyFont="1" applyBorder="1" applyAlignment="1">
      <alignment horizontal="right" vertical="center"/>
    </xf>
    <xf numFmtId="165" fontId="3" fillId="0" borderId="0" xfId="9" applyNumberFormat="1" applyFont="1"/>
    <xf numFmtId="165" fontId="38" fillId="0" borderId="26" xfId="9" applyNumberFormat="1" applyFont="1" applyBorder="1" applyAlignment="1">
      <alignment horizontal="right" vertical="center" readingOrder="2"/>
    </xf>
    <xf numFmtId="0" fontId="9" fillId="0" borderId="2" xfId="0" applyFont="1" applyFill="1" applyBorder="1" applyAlignment="1">
      <alignment vertical="center"/>
    </xf>
    <xf numFmtId="0" fontId="38" fillId="0" borderId="20" xfId="22" applyFont="1" applyBorder="1" applyAlignment="1">
      <alignment vertical="center" readingOrder="2"/>
    </xf>
    <xf numFmtId="165" fontId="36" fillId="0" borderId="23" xfId="9" applyNumberFormat="1" applyFont="1" applyBorder="1" applyAlignment="1">
      <alignment vertical="center" readingOrder="2"/>
    </xf>
    <xf numFmtId="0" fontId="36" fillId="0" borderId="26" xfId="22" applyFont="1" applyBorder="1" applyAlignment="1">
      <alignment vertical="center" readingOrder="2"/>
    </xf>
    <xf numFmtId="0" fontId="11" fillId="0" borderId="2" xfId="16" applyFont="1" applyFill="1" applyBorder="1" applyAlignment="1">
      <alignment vertical="center"/>
    </xf>
    <xf numFmtId="0" fontId="48" fillId="0" borderId="0" xfId="17" applyFont="1" applyAlignment="1">
      <alignment horizontal="center" vertical="center" readingOrder="2"/>
    </xf>
    <xf numFmtId="0" fontId="34" fillId="0" borderId="0" xfId="16" applyFont="1" applyAlignment="1">
      <alignment horizontal="center"/>
    </xf>
    <xf numFmtId="3" fontId="11" fillId="0" borderId="32" xfId="16" applyNumberFormat="1" applyFont="1" applyBorder="1" applyAlignment="1">
      <alignment horizontal="center"/>
    </xf>
    <xf numFmtId="3" fontId="11" fillId="0" borderId="34" xfId="16" applyNumberFormat="1" applyFont="1" applyBorder="1" applyAlignment="1">
      <alignment horizontal="center"/>
    </xf>
    <xf numFmtId="3" fontId="11" fillId="0" borderId="28" xfId="16" applyNumberFormat="1" applyFont="1" applyBorder="1" applyAlignment="1">
      <alignment horizontal="center"/>
    </xf>
    <xf numFmtId="0" fontId="12" fillId="0" borderId="2" xfId="4" applyFont="1" applyFill="1" applyBorder="1" applyAlignment="1">
      <alignment horizontal="center" vertical="center"/>
    </xf>
    <xf numFmtId="0" fontId="12" fillId="0" borderId="11" xfId="4" applyFont="1" applyFill="1" applyBorder="1" applyAlignment="1">
      <alignment horizontal="center" vertical="center"/>
    </xf>
    <xf numFmtId="3" fontId="12" fillId="0" borderId="4" xfId="16" applyNumberFormat="1" applyFont="1" applyBorder="1" applyAlignment="1">
      <alignment horizontal="center" vertical="center" wrapText="1"/>
    </xf>
    <xf numFmtId="3" fontId="12" fillId="0" borderId="6" xfId="16" applyNumberFormat="1" applyFont="1" applyBorder="1" applyAlignment="1">
      <alignment horizontal="center" vertical="center" wrapText="1"/>
    </xf>
    <xf numFmtId="0" fontId="38" fillId="0" borderId="32" xfId="22" applyFont="1" applyBorder="1" applyAlignment="1">
      <alignment vertical="center" readingOrder="2"/>
    </xf>
    <xf numFmtId="0" fontId="38" fillId="0" borderId="46" xfId="22" applyFont="1" applyBorder="1" applyAlignment="1">
      <alignment vertical="center" readingOrder="2"/>
    </xf>
    <xf numFmtId="0" fontId="60" fillId="0" borderId="33" xfId="22" applyFont="1" applyBorder="1" applyAlignment="1">
      <alignment vertical="center" readingOrder="2"/>
    </xf>
    <xf numFmtId="0" fontId="60" fillId="0" borderId="6" xfId="22" applyFont="1" applyBorder="1" applyAlignment="1">
      <alignment vertical="center" readingOrder="2"/>
    </xf>
    <xf numFmtId="0" fontId="60" fillId="0" borderId="50" xfId="22" applyFont="1" applyBorder="1" applyAlignment="1">
      <alignment vertical="center" readingOrder="2"/>
    </xf>
    <xf numFmtId="0" fontId="60" fillId="0" borderId="30" xfId="22" applyFont="1" applyBorder="1" applyAlignment="1">
      <alignment vertical="center" readingOrder="2"/>
    </xf>
    <xf numFmtId="166" fontId="38" fillId="0" borderId="45" xfId="23" applyNumberFormat="1" applyFont="1" applyBorder="1" applyAlignment="1">
      <alignment horizontal="center" vertical="center" readingOrder="2"/>
    </xf>
    <xf numFmtId="166" fontId="38" fillId="0" borderId="34" xfId="23" applyNumberFormat="1" applyFont="1" applyBorder="1" applyAlignment="1">
      <alignment horizontal="center" vertical="center" readingOrder="2"/>
    </xf>
    <xf numFmtId="166" fontId="38" fillId="0" borderId="46" xfId="23" applyNumberFormat="1" applyFont="1" applyBorder="1" applyAlignment="1">
      <alignment horizontal="center" vertical="center" readingOrder="2"/>
    </xf>
    <xf numFmtId="0" fontId="38" fillId="0" borderId="45" xfId="22" applyFont="1" applyBorder="1" applyAlignment="1">
      <alignment horizontal="center" vertical="center" readingOrder="2"/>
    </xf>
    <xf numFmtId="0" fontId="38" fillId="0" borderId="34" xfId="22" applyFont="1" applyBorder="1" applyAlignment="1">
      <alignment horizontal="center" vertical="center" readingOrder="2"/>
    </xf>
    <xf numFmtId="0" fontId="38" fillId="0" borderId="46" xfId="22" applyFont="1" applyBorder="1" applyAlignment="1">
      <alignment horizontal="center" vertical="center" readingOrder="2"/>
    </xf>
    <xf numFmtId="0" fontId="36" fillId="0" borderId="4" xfId="22" applyFont="1" applyBorder="1" applyAlignment="1">
      <alignment horizontal="center" vertical="center" wrapText="1" readingOrder="2"/>
    </xf>
    <xf numFmtId="0" fontId="36" fillId="0" borderId="5" xfId="22" applyFont="1" applyBorder="1" applyAlignment="1">
      <alignment horizontal="center" vertical="center" wrapText="1" readingOrder="2"/>
    </xf>
    <xf numFmtId="0" fontId="36" fillId="0" borderId="6" xfId="22" applyFont="1" applyBorder="1" applyAlignment="1">
      <alignment horizontal="center" vertical="center" wrapText="1" readingOrder="2"/>
    </xf>
    <xf numFmtId="3" fontId="36" fillId="0" borderId="4" xfId="22" applyNumberFormat="1" applyFont="1" applyBorder="1" applyAlignment="1">
      <alignment horizontal="center" vertical="center" readingOrder="2"/>
    </xf>
    <xf numFmtId="3" fontId="36" fillId="0" borderId="5" xfId="22" applyNumberFormat="1" applyFont="1" applyBorder="1" applyAlignment="1">
      <alignment horizontal="center" vertical="center" readingOrder="2"/>
    </xf>
    <xf numFmtId="3" fontId="36" fillId="0" borderId="6" xfId="22" applyNumberFormat="1" applyFont="1" applyBorder="1" applyAlignment="1">
      <alignment horizontal="center" vertical="center" readingOrder="2"/>
    </xf>
    <xf numFmtId="3" fontId="38" fillId="0" borderId="47" xfId="22" applyNumberFormat="1" applyFont="1" applyBorder="1" applyAlignment="1">
      <alignment horizontal="center" vertical="center" readingOrder="2"/>
    </xf>
    <xf numFmtId="3" fontId="38" fillId="0" borderId="43" xfId="22" applyNumberFormat="1" applyFont="1" applyBorder="1" applyAlignment="1">
      <alignment horizontal="center" vertical="center" readingOrder="2"/>
    </xf>
    <xf numFmtId="3" fontId="38" fillId="0" borderId="30" xfId="22" applyNumberFormat="1" applyFont="1" applyBorder="1" applyAlignment="1">
      <alignment horizontal="center" vertical="center" readingOrder="2"/>
    </xf>
    <xf numFmtId="0" fontId="12" fillId="0" borderId="2" xfId="4" applyFont="1" applyBorder="1" applyAlignment="1">
      <alignment horizontal="center" vertical="center"/>
    </xf>
    <xf numFmtId="0" fontId="12" fillId="0" borderId="11" xfId="4" applyFont="1" applyBorder="1" applyAlignment="1">
      <alignment horizontal="center" vertical="center"/>
    </xf>
    <xf numFmtId="0" fontId="25" fillId="0" borderId="4" xfId="4" applyFont="1" applyBorder="1" applyAlignment="1">
      <alignment horizontal="center" vertical="center"/>
    </xf>
    <xf numFmtId="0" fontId="25" fillId="0" borderId="5" xfId="4" applyFont="1" applyBorder="1" applyAlignment="1">
      <alignment horizontal="center" vertical="center"/>
    </xf>
    <xf numFmtId="0" fontId="25" fillId="0" borderId="6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/>
    </xf>
    <xf numFmtId="0" fontId="12" fillId="0" borderId="5" xfId="4" applyFont="1" applyBorder="1" applyAlignment="1">
      <alignment horizontal="center"/>
    </xf>
    <xf numFmtId="0" fontId="12" fillId="0" borderId="6" xfId="4" applyFont="1" applyBorder="1" applyAlignment="1">
      <alignment horizontal="center"/>
    </xf>
    <xf numFmtId="3" fontId="8" fillId="0" borderId="4" xfId="4" applyNumberFormat="1" applyFont="1" applyBorder="1" applyAlignment="1">
      <alignment horizontal="center" vertical="center" wrapText="1"/>
    </xf>
    <xf numFmtId="3" fontId="8" fillId="0" borderId="5" xfId="4" applyNumberFormat="1" applyFont="1" applyBorder="1" applyAlignment="1">
      <alignment horizontal="center" vertical="center" wrapText="1"/>
    </xf>
    <xf numFmtId="3" fontId="8" fillId="0" borderId="6" xfId="4" applyNumberFormat="1" applyFont="1" applyBorder="1" applyAlignment="1">
      <alignment horizontal="center" vertical="center" wrapText="1"/>
    </xf>
    <xf numFmtId="3" fontId="25" fillId="0" borderId="4" xfId="4" applyNumberFormat="1" applyFont="1" applyFill="1" applyBorder="1" applyAlignment="1">
      <alignment horizontal="center" vertical="center"/>
    </xf>
    <xf numFmtId="3" fontId="25" fillId="0" borderId="5" xfId="4" applyNumberFormat="1" applyFont="1" applyFill="1" applyBorder="1" applyAlignment="1">
      <alignment horizontal="center" vertical="center"/>
    </xf>
    <xf numFmtId="3" fontId="25" fillId="0" borderId="6" xfId="4" applyNumberFormat="1" applyFont="1" applyFill="1" applyBorder="1" applyAlignment="1">
      <alignment horizontal="center" vertical="center"/>
    </xf>
    <xf numFmtId="3" fontId="8" fillId="0" borderId="2" xfId="4" applyNumberFormat="1" applyFont="1" applyBorder="1" applyAlignment="1">
      <alignment horizontal="center" vertical="center" wrapText="1"/>
    </xf>
    <xf numFmtId="0" fontId="25" fillId="0" borderId="2" xfId="4" applyFont="1" applyBorder="1" applyAlignment="1">
      <alignment horizontal="center" vertical="center"/>
    </xf>
    <xf numFmtId="3" fontId="25" fillId="0" borderId="2" xfId="4" applyNumberFormat="1" applyFont="1" applyFill="1" applyBorder="1" applyAlignment="1">
      <alignment horizontal="center" vertical="center"/>
    </xf>
    <xf numFmtId="0" fontId="25" fillId="0" borderId="4" xfId="16" applyFont="1" applyBorder="1" applyAlignment="1">
      <alignment horizontal="center"/>
    </xf>
    <xf numFmtId="0" fontId="25" fillId="0" borderId="5" xfId="16" applyFont="1" applyBorder="1" applyAlignment="1">
      <alignment horizontal="center"/>
    </xf>
    <xf numFmtId="0" fontId="25" fillId="0" borderId="6" xfId="16" applyFont="1" applyBorder="1" applyAlignment="1">
      <alignment horizontal="center"/>
    </xf>
    <xf numFmtId="0" fontId="25" fillId="0" borderId="4" xfId="4" applyFont="1" applyBorder="1" applyAlignment="1">
      <alignment horizontal="center"/>
    </xf>
    <xf numFmtId="0" fontId="25" fillId="0" borderId="5" xfId="4" applyFont="1" applyBorder="1" applyAlignment="1">
      <alignment horizontal="center"/>
    </xf>
    <xf numFmtId="0" fontId="25" fillId="0" borderId="6" xfId="4" applyFont="1" applyBorder="1" applyAlignment="1">
      <alignment horizontal="center"/>
    </xf>
    <xf numFmtId="3" fontId="25" fillId="0" borderId="4" xfId="4" applyNumberFormat="1" applyFont="1" applyBorder="1" applyAlignment="1">
      <alignment horizontal="center"/>
    </xf>
    <xf numFmtId="3" fontId="25" fillId="0" borderId="5" xfId="4" applyNumberFormat="1" applyFont="1" applyBorder="1" applyAlignment="1">
      <alignment horizontal="center"/>
    </xf>
    <xf numFmtId="3" fontId="25" fillId="0" borderId="6" xfId="4" applyNumberFormat="1" applyFont="1" applyBorder="1" applyAlignment="1">
      <alignment horizontal="center"/>
    </xf>
    <xf numFmtId="0" fontId="25" fillId="0" borderId="4" xfId="16" applyFont="1" applyFill="1" applyBorder="1" applyAlignment="1">
      <alignment horizontal="center"/>
    </xf>
    <xf numFmtId="0" fontId="25" fillId="0" borderId="5" xfId="16" applyFont="1" applyFill="1" applyBorder="1" applyAlignment="1">
      <alignment horizontal="center"/>
    </xf>
    <xf numFmtId="0" fontId="25" fillId="0" borderId="6" xfId="16" applyFont="1" applyFill="1" applyBorder="1" applyAlignment="1">
      <alignment horizontal="center"/>
    </xf>
    <xf numFmtId="0" fontId="12" fillId="0" borderId="2" xfId="16" applyFont="1" applyBorder="1" applyAlignment="1">
      <alignment horizontal="center"/>
    </xf>
  </cellXfs>
  <cellStyles count="24">
    <cellStyle name="Comma" xfId="12" builtinId="3"/>
    <cellStyle name="Comma 2" xfId="10"/>
    <cellStyle name="Comma 3" xfId="14"/>
    <cellStyle name="Comma 3 2" xfId="18"/>
    <cellStyle name="Comma 3 3" xfId="21"/>
    <cellStyle name="Comma 3 4" xfId="23"/>
    <cellStyle name="Normal" xfId="0" builtinId="0"/>
    <cellStyle name="Normal 2" xfId="1"/>
    <cellStyle name="Normal 2 2" xfId="5"/>
    <cellStyle name="Normal 2 2 2" xfId="19"/>
    <cellStyle name="Normal 2 3" xfId="16"/>
    <cellStyle name="Normal 2_ריכוז אגפים" xfId="6"/>
    <cellStyle name="Normal 3" xfId="2"/>
    <cellStyle name="Normal 4" xfId="4"/>
    <cellStyle name="Normal 5" xfId="11"/>
    <cellStyle name="Normal 5 2" xfId="15"/>
    <cellStyle name="Normal 6" xfId="13"/>
    <cellStyle name="Normal 6 2" xfId="17"/>
    <cellStyle name="Normal 6 3" xfId="20"/>
    <cellStyle name="Normal 6 4" xfId="22"/>
    <cellStyle name="Percent 2" xfId="9"/>
    <cellStyle name="הערה 2" xfId="3"/>
    <cellStyle name="הערה 2 2" xfId="7"/>
    <cellStyle name="הערה 2_ריכוז אגפים" xfId="8"/>
  </cellStyles>
  <dxfs count="3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he-IL" sz="1400" b="1" i="0" baseline="0">
              <a:effectLst/>
            </a:endParaRPr>
          </a:p>
          <a:p>
            <a:pPr>
              <a:defRPr/>
            </a:pPr>
            <a:r>
              <a:rPr lang="he-IL" sz="1800" b="1" i="0" u="sng" baseline="0">
                <a:effectLst/>
              </a:rPr>
              <a:t>תרשים לפי אגפים</a:t>
            </a:r>
            <a:endParaRPr lang="he-IL" u="sng">
              <a:effectLst/>
            </a:endParaRPr>
          </a:p>
          <a:p>
            <a:pPr>
              <a:defRPr/>
            </a:pPr>
            <a:r>
              <a:rPr lang="he-IL" sz="1800" b="1" i="0" u="sng" strike="noStrike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באלפי ש"ח </a:t>
            </a:r>
          </a:p>
        </c:rich>
      </c:tx>
      <c:overlay val="0"/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8469493278179"/>
          <c:y val="0.51186440677966105"/>
          <c:w val="0.43123061013443642"/>
          <c:h val="0.2813559322033898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FC9-428D-8ACD-8C8983B618A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FC9-428D-8ACD-8C8983B61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FC9-428D-8ACD-8C8983B61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FC9-428D-8ACD-8C8983B618A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FC9-428D-8ACD-8C8983B618A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FC9-428D-8ACD-8C8983B618A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FC9-428D-8ACD-8C8983B618A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FC9-428D-8ACD-8C8983B618A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FC9-428D-8ACD-8C8983B618A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0FC9-428D-8ACD-8C8983B618AE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0FC9-428D-8ACD-8C8983B618AE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0FC9-428D-8ACD-8C8983B618AE}"/>
              </c:ext>
            </c:extLst>
          </c:dPt>
          <c:dLbls>
            <c:dLbl>
              <c:idx val="0"/>
              <c:layout>
                <c:manualLayout>
                  <c:x val="9.4943964476002035E-2"/>
                  <c:y val="-6.136589705947773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9-428D-8ACD-8C8983B618AE}"/>
                </c:ext>
              </c:extLst>
            </c:dLbl>
            <c:dLbl>
              <c:idx val="1"/>
              <c:layout>
                <c:manualLayout>
                  <c:x val="8.8061081299687594E-2"/>
                  <c:y val="2.380657502557943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9-428D-8ACD-8C8983B618AE}"/>
                </c:ext>
              </c:extLst>
            </c:dLbl>
            <c:dLbl>
              <c:idx val="2"/>
              <c:layout>
                <c:manualLayout>
                  <c:x val="-5.1406291604853757E-2"/>
                  <c:y val="0.256485608790426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9-428D-8ACD-8C8983B618AE}"/>
                </c:ext>
              </c:extLst>
            </c:dLbl>
            <c:dLbl>
              <c:idx val="3"/>
              <c:layout>
                <c:manualLayout>
                  <c:x val="-9.8229351765811879E-2"/>
                  <c:y val="0.15674967747675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9-428D-8ACD-8C8983B618AE}"/>
                </c:ext>
              </c:extLst>
            </c:dLbl>
            <c:dLbl>
              <c:idx val="4"/>
              <c:layout>
                <c:manualLayout>
                  <c:x val="-0.10974950261517208"/>
                  <c:y val="7.271266515414380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9-428D-8ACD-8C8983B618AE}"/>
                </c:ext>
              </c:extLst>
            </c:dLbl>
            <c:dLbl>
              <c:idx val="5"/>
              <c:layout>
                <c:manualLayout>
                  <c:x val="-8.3776487608128614E-2"/>
                  <c:y val="-9.1224698607589392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9-428D-8ACD-8C8983B618AE}"/>
                </c:ext>
              </c:extLst>
            </c:dLbl>
            <c:dLbl>
              <c:idx val="6"/>
              <c:layout>
                <c:manualLayout>
                  <c:x val="-8.0788975835104374E-2"/>
                  <c:y val="-7.641033853819116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9-428D-8ACD-8C8983B618AE}"/>
                </c:ext>
              </c:extLst>
            </c:dLbl>
            <c:dLbl>
              <c:idx val="7"/>
              <c:layout>
                <c:manualLayout>
                  <c:x val="-9.8847152895960411E-2"/>
                  <c:y val="-0.1449302904933493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9-428D-8ACD-8C8983B618AE}"/>
                </c:ext>
              </c:extLst>
            </c:dLbl>
            <c:dLbl>
              <c:idx val="8"/>
              <c:layout>
                <c:manualLayout>
                  <c:x val="-0.15092053513993273"/>
                  <c:y val="-0.2175803194092263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9-428D-8ACD-8C8983B618AE}"/>
                </c:ext>
              </c:extLst>
            </c:dLbl>
            <c:dLbl>
              <c:idx val="9"/>
              <c:layout>
                <c:manualLayout>
                  <c:x val="2.5958900949170392E-2"/>
                  <c:y val="-0.2116658214333377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C9-428D-8ACD-8C8983B618AE}"/>
                </c:ext>
              </c:extLst>
            </c:dLbl>
            <c:dLbl>
              <c:idx val="10"/>
              <c:layout>
                <c:manualLayout>
                  <c:x val="0.20222622120528624"/>
                  <c:y val="-0.190864896125272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9-428D-8ACD-8C8983B618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endParaRPr lang="he-IL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'תקציב 2018  אגפים '!$C$8:$C$21</c:f>
              <c:strCache>
                <c:ptCount val="14"/>
                <c:pt idx="0">
                  <c:v>אגף הנדסה</c:v>
                </c:pt>
                <c:pt idx="1">
                  <c:v>החברה לפיתוח הרצליה</c:v>
                </c:pt>
                <c:pt idx="2">
                  <c:v>אגף ת.ב.ל </c:v>
                </c:pt>
                <c:pt idx="3">
                  <c:v>אגף בטחון,פיקוח וסדר ציבורי</c:v>
                </c:pt>
                <c:pt idx="4">
                  <c:v>אגף חינוך ורווחה </c:v>
                </c:pt>
                <c:pt idx="5">
                  <c:v>אגף תנו"ס</c:v>
                </c:pt>
                <c:pt idx="6">
                  <c:v>אגף ש.א.י.פ.ה</c:v>
                </c:pt>
                <c:pt idx="7">
                  <c:v>רשות החופים</c:v>
                </c:pt>
                <c:pt idx="8">
                  <c:v>איכות הסביבה</c:v>
                </c:pt>
                <c:pt idx="9">
                  <c:v>החברה לפיתוח התיירות</c:v>
                </c:pt>
                <c:pt idx="10">
                  <c:v>אגף מיחשוב ומידע</c:v>
                </c:pt>
                <c:pt idx="11">
                  <c:v>מחלקת נכסים וביטוח</c:v>
                </c:pt>
                <c:pt idx="12">
                  <c:v>שיפוץ חזיתות/עמידר</c:v>
                </c:pt>
                <c:pt idx="13">
                  <c:v>כללי</c:v>
                </c:pt>
              </c:strCache>
            </c:strRef>
          </c:cat>
          <c:val>
            <c:numRef>
              <c:f>'תקציב 2018  אגפים '!$F$8:$F$21</c:f>
              <c:numCache>
                <c:formatCode>#,##0</c:formatCode>
                <c:ptCount val="14"/>
                <c:pt idx="0">
                  <c:v>17142</c:v>
                </c:pt>
                <c:pt idx="1">
                  <c:v>396380.56800000003</c:v>
                </c:pt>
                <c:pt idx="2">
                  <c:v>49542.6</c:v>
                </c:pt>
                <c:pt idx="3">
                  <c:v>900</c:v>
                </c:pt>
                <c:pt idx="4">
                  <c:v>2580.1370000000002</c:v>
                </c:pt>
                <c:pt idx="5">
                  <c:v>1480</c:v>
                </c:pt>
                <c:pt idx="6">
                  <c:v>20498</c:v>
                </c:pt>
                <c:pt idx="7">
                  <c:v>2734</c:v>
                </c:pt>
                <c:pt idx="8">
                  <c:v>3211.058</c:v>
                </c:pt>
                <c:pt idx="9">
                  <c:v>9180</c:v>
                </c:pt>
                <c:pt idx="10">
                  <c:v>9860</c:v>
                </c:pt>
                <c:pt idx="11">
                  <c:v>3070</c:v>
                </c:pt>
                <c:pt idx="12">
                  <c:v>13750</c:v>
                </c:pt>
                <c:pt idx="13">
                  <c:v>6767.5860000000002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0FC9-428D-8ACD-8C8983B61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 sz="1400" b="1" i="0" u="none" strike="noStrike" baseline="0">
              <a:solidFill>
                <a:srgbClr val="000000"/>
              </a:solidFill>
              <a:cs typeface="David"/>
            </a:endParaRPr>
          </a:p>
          <a:p>
            <a:pPr>
              <a:defRPr sz="11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1800" b="1" i="0" u="sng" strike="noStrike" baseline="0">
                <a:solidFill>
                  <a:srgbClr val="000000"/>
                </a:solidFill>
                <a:cs typeface="David"/>
              </a:rPr>
              <a:t>תרשים לפי פרקים</a:t>
            </a:r>
            <a:r>
              <a:rPr lang="en-US" sz="1800" b="1" i="0" u="sng" strike="noStrike" baseline="0">
                <a:solidFill>
                  <a:srgbClr val="000000"/>
                </a:solidFill>
                <a:cs typeface="David"/>
              </a:rPr>
              <a:t/>
            </a:r>
            <a:br>
              <a:rPr lang="en-US" sz="1800" b="1" i="0" u="sng" strike="noStrike" baseline="0">
                <a:solidFill>
                  <a:srgbClr val="000000"/>
                </a:solidFill>
                <a:cs typeface="David"/>
              </a:rPr>
            </a:br>
            <a:r>
              <a:rPr lang="he-IL" sz="1800" b="1" i="0" u="sng" strike="noStrike" baseline="0">
                <a:solidFill>
                  <a:srgbClr val="000000"/>
                </a:solidFill>
                <a:cs typeface="David"/>
              </a:rPr>
              <a:t>באלפי ש"ח  </a:t>
            </a:r>
          </a:p>
        </c:rich>
      </c:tx>
      <c:layout>
        <c:manualLayout>
          <c:xMode val="edge"/>
          <c:yMode val="edge"/>
          <c:x val="0.37130271759508326"/>
          <c:y val="2.93785310734463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8469493278179"/>
          <c:y val="0.51186440677966105"/>
          <c:w val="0.43123061013443642"/>
          <c:h val="0.2813559322033898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BF8-4E2E-B767-4D583B83E45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BF8-4E2E-B767-4D583B83E45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BF8-4E2E-B767-4D583B83E45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BF8-4E2E-B767-4D583B83E45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BF8-4E2E-B767-4D583B83E45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BF8-4E2E-B767-4D583B83E45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BF8-4E2E-B767-4D583B83E45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BF8-4E2E-B767-4D583B83E45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BF8-4E2E-B767-4D583B83E45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BF8-4E2E-B767-4D583B83E45D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7BF8-4E2E-B767-4D583B83E45D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7BF8-4E2E-B767-4D583B83E45D}"/>
              </c:ext>
            </c:extLst>
          </c:dPt>
          <c:dLbls>
            <c:dLbl>
              <c:idx val="0"/>
              <c:layout>
                <c:manualLayout>
                  <c:x val="9.3338658754612197E-2"/>
                  <c:y val="2.38596022954758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8-4E2E-B767-4D583B83E45D}"/>
                </c:ext>
              </c:extLst>
            </c:dLbl>
            <c:dLbl>
              <c:idx val="1"/>
              <c:layout>
                <c:manualLayout>
                  <c:x val="-6.4685392586796217E-3"/>
                  <c:y val="0.1512764802704746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8-4E2E-B767-4D583B83E45D}"/>
                </c:ext>
              </c:extLst>
            </c:dLbl>
            <c:dLbl>
              <c:idx val="2"/>
              <c:layout>
                <c:manualLayout>
                  <c:x val="-0.12445335637393153"/>
                  <c:y val="4.615543396058543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8-4E2E-B767-4D583B83E45D}"/>
                </c:ext>
              </c:extLst>
            </c:dLbl>
            <c:dLbl>
              <c:idx val="3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4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6839199447895101"/>
                  <c:y val="-0.205898660972463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860593512767426"/>
                      <c:h val="7.45876595933982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BF8-4E2E-B767-4D583B83E45D}"/>
                </c:ext>
              </c:extLst>
            </c:dLbl>
            <c:dLbl>
              <c:idx val="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7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8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0.27422794976714865"/>
                  <c:y val="-0.196527959428800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8-4E2E-B767-4D583B83E45D}"/>
                </c:ext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12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David"/>
                      <a:ea typeface="David"/>
                      <a:cs typeface="David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endParaRPr lang="he-IL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'תקציב 2018 פרקים'!$C$8:$D$18</c:f>
              <c:strCache>
                <c:ptCount val="11"/>
                <c:pt idx="0">
                  <c:v>נכסים ציבוריים</c:v>
                </c:pt>
                <c:pt idx="1">
                  <c:v>חינוך רווחה וספורט</c:v>
                </c:pt>
                <c:pt idx="2">
                  <c:v>נכסים</c:v>
                </c:pt>
                <c:pt idx="3">
                  <c:v>תרבות הדיור</c:v>
                </c:pt>
                <c:pt idx="4">
                  <c:v>חופים</c:v>
                </c:pt>
                <c:pt idx="5">
                  <c:v>תכנון בנין עיר</c:v>
                </c:pt>
                <c:pt idx="6">
                  <c:v>מינהל כללי</c:v>
                </c:pt>
                <c:pt idx="7">
                  <c:v>שרותים עירוניים שונים</c:v>
                </c:pt>
                <c:pt idx="8">
                  <c:v>מבני דת ציבוריים</c:v>
                </c:pt>
                <c:pt idx="9">
                  <c:v>שיקום שכונות ומרחב ציבורי</c:v>
                </c:pt>
                <c:pt idx="10">
                  <c:v>איכות הסביבה</c:v>
                </c:pt>
              </c:strCache>
            </c:strRef>
          </c:cat>
          <c:val>
            <c:numRef>
              <c:f>'תקציב 2018 פרקים'!$F$8:$F$18</c:f>
              <c:numCache>
                <c:formatCode>_ * #,##0_ ;_ * \-#,##0_ ;_ * "-"??_ ;_ @_ </c:formatCode>
                <c:ptCount val="11"/>
                <c:pt idx="0">
                  <c:v>283583.14199999999</c:v>
                </c:pt>
                <c:pt idx="1">
                  <c:v>178723.56700000001</c:v>
                </c:pt>
                <c:pt idx="2">
                  <c:v>4770</c:v>
                </c:pt>
                <c:pt idx="3">
                  <c:v>13700</c:v>
                </c:pt>
                <c:pt idx="4">
                  <c:v>2734</c:v>
                </c:pt>
                <c:pt idx="5">
                  <c:v>19749.182000000001</c:v>
                </c:pt>
                <c:pt idx="6">
                  <c:v>200</c:v>
                </c:pt>
                <c:pt idx="7">
                  <c:v>21485</c:v>
                </c:pt>
                <c:pt idx="8">
                  <c:v>2500</c:v>
                </c:pt>
                <c:pt idx="9">
                  <c:v>4100</c:v>
                </c:pt>
                <c:pt idx="10">
                  <c:v>5551.058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BF8-4E2E-B767-4D583B83E45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1800" b="1" i="0" u="sng" strike="noStrike" baseline="0">
                <a:solidFill>
                  <a:srgbClr val="000000"/>
                </a:solidFill>
                <a:cs typeface="David"/>
              </a:rPr>
              <a:t>תרשים לפי מקורות מימון</a:t>
            </a:r>
            <a:r>
              <a:rPr lang="en-US" sz="1800" b="1" i="0" u="sng" strike="noStrike" baseline="0">
                <a:solidFill>
                  <a:srgbClr val="000000"/>
                </a:solidFill>
                <a:cs typeface="David"/>
              </a:rPr>
              <a:t/>
            </a:r>
            <a:br>
              <a:rPr lang="en-US" sz="1800" b="1" i="0" u="sng" strike="noStrike" baseline="0">
                <a:solidFill>
                  <a:srgbClr val="000000"/>
                </a:solidFill>
                <a:cs typeface="David"/>
              </a:rPr>
            </a:br>
            <a:r>
              <a:rPr lang="he-IL" sz="1800" b="1" i="0" u="sng" strike="noStrike" baseline="0">
                <a:solidFill>
                  <a:srgbClr val="000000"/>
                </a:solidFill>
                <a:cs typeface="David"/>
              </a:rPr>
              <a:t>באלפי ש"ח </a:t>
            </a:r>
          </a:p>
        </c:rich>
      </c:tx>
      <c:layout>
        <c:manualLayout>
          <c:xMode val="edge"/>
          <c:yMode val="edge"/>
          <c:x val="0.35059878384767124"/>
          <c:y val="5.197740112994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8469493278179"/>
          <c:y val="0.51186440677966105"/>
          <c:w val="0.43123061013443642"/>
          <c:h val="0.2813559322033898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031-45EB-AB1E-17B6FDB299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031-45EB-AB1E-17B6FDB2999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031-45EB-AB1E-17B6FDB2999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031-45EB-AB1E-17B6FDB29991}"/>
              </c:ext>
            </c:extLst>
          </c:dPt>
          <c:dLbls>
            <c:dLbl>
              <c:idx val="0"/>
              <c:layout>
                <c:manualLayout>
                  <c:x val="-2.7870755286024132E-2"/>
                  <c:y val="-0.3107374883224343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1-45EB-AB1E-17B6FDB29991}"/>
                </c:ext>
              </c:extLst>
            </c:dLbl>
            <c:dLbl>
              <c:idx val="1"/>
              <c:layout>
                <c:manualLayout>
                  <c:x val="8.6677993051698418E-2"/>
                  <c:y val="0.1349175995857660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1-45EB-AB1E-17B6FDB29991}"/>
                </c:ext>
              </c:extLst>
            </c:dLbl>
            <c:dLbl>
              <c:idx val="2"/>
              <c:layout>
                <c:manualLayout>
                  <c:x val="-0.13834564157741158"/>
                  <c:y val="9.072218515058498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1-45EB-AB1E-17B6FDB29991}"/>
                </c:ext>
              </c:extLst>
            </c:dLbl>
            <c:dLbl>
              <c:idx val="3"/>
              <c:layout>
                <c:manualLayout>
                  <c:x val="-0.24300234209854202"/>
                  <c:y val="-2.7107967436273855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1-45EB-AB1E-17B6FDB29991}"/>
                </c:ext>
              </c:extLst>
            </c:dLbl>
            <c:dLbl>
              <c:idx val="4"/>
              <c:layout>
                <c:manualLayout>
                  <c:x val="-1.2225537025263146E-2"/>
                  <c:y val="-0.284349481738511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1-45EB-AB1E-17B6FDB29991}"/>
                </c:ext>
              </c:extLst>
            </c:dLbl>
            <c:dLbl>
              <c:idx val="5"/>
              <c:layout>
                <c:manualLayout>
                  <c:x val="-8.3776487608128614E-2"/>
                  <c:y val="-9.1224698607589392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1-45EB-AB1E-17B6FDB29991}"/>
                </c:ext>
              </c:extLst>
            </c:dLbl>
            <c:dLbl>
              <c:idx val="6"/>
              <c:layout>
                <c:manualLayout>
                  <c:x val="-8.0788975835104374E-2"/>
                  <c:y val="-7.641033853819116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1-45EB-AB1E-17B6FDB29991}"/>
                </c:ext>
              </c:extLst>
            </c:dLbl>
            <c:dLbl>
              <c:idx val="7"/>
              <c:layout>
                <c:manualLayout>
                  <c:x val="-9.8847152895960411E-2"/>
                  <c:y val="-0.1449302904933493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1-45EB-AB1E-17B6FDB29991}"/>
                </c:ext>
              </c:extLst>
            </c:dLbl>
            <c:dLbl>
              <c:idx val="8"/>
              <c:layout>
                <c:manualLayout>
                  <c:x val="-0.15092053513993273"/>
                  <c:y val="-0.2175803194092263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1-45EB-AB1E-17B6FDB29991}"/>
                </c:ext>
              </c:extLst>
            </c:dLbl>
            <c:dLbl>
              <c:idx val="9"/>
              <c:layout>
                <c:manualLayout>
                  <c:x val="2.5958900949170392E-2"/>
                  <c:y val="-0.2116658214333377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1-45EB-AB1E-17B6FDB29991}"/>
                </c:ext>
              </c:extLst>
            </c:dLbl>
            <c:dLbl>
              <c:idx val="10"/>
              <c:layout>
                <c:manualLayout>
                  <c:x val="0.20222622120528624"/>
                  <c:y val="-0.190864896125272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David"/>
                      <a:cs typeface="Arial" panose="020B0604020202020204" pitchFamily="34" charset="0"/>
                    </a:defRPr>
                  </a:pPr>
                  <a:endParaRPr lang="he-I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1-45EB-AB1E-17B6FDB299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David"/>
                    <a:cs typeface="Arial" panose="020B0604020202020204" pitchFamily="34" charset="0"/>
                  </a:defRPr>
                </a:pPr>
                <a:endParaRPr lang="he-IL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'תקציב 2018  מקורות '!$C$8:$C$12</c:f>
              <c:strCache>
                <c:ptCount val="5"/>
                <c:pt idx="0">
                  <c:v>קרן לעבודות פיתוח</c:v>
                </c:pt>
                <c:pt idx="1">
                  <c:v>קרן עודפי תקציב רגיל</c:v>
                </c:pt>
                <c:pt idx="2">
                  <c:v>קרן רכוש</c:v>
                </c:pt>
                <c:pt idx="3">
                  <c:v>קרן יעודית  מתחם גליל ים</c:v>
                </c:pt>
                <c:pt idx="4">
                  <c:v>סה"כ משרדי ממשלה ואחרים</c:v>
                </c:pt>
              </c:strCache>
            </c:strRef>
          </c:cat>
          <c:val>
            <c:numRef>
              <c:f>'תקציב 2018  מקורות '!$F$8:$F$12</c:f>
              <c:numCache>
                <c:formatCode>#,##0</c:formatCode>
                <c:ptCount val="5"/>
                <c:pt idx="0">
                  <c:v>237740</c:v>
                </c:pt>
                <c:pt idx="1">
                  <c:v>27000</c:v>
                </c:pt>
                <c:pt idx="2">
                  <c:v>1250</c:v>
                </c:pt>
                <c:pt idx="3">
                  <c:v>48962.5</c:v>
                </c:pt>
                <c:pt idx="4">
                  <c:v>222143.44906976743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031-45EB-AB1E-17B6FDB2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http://localhost:80/ibmcognos/common/images/filte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12</xdr:row>
      <xdr:rowOff>171450</xdr:rowOff>
    </xdr:from>
    <xdr:to>
      <xdr:col>5</xdr:col>
      <xdr:colOff>342900</xdr:colOff>
      <xdr:row>20</xdr:row>
      <xdr:rowOff>152400</xdr:rowOff>
    </xdr:to>
    <xdr:pic>
      <xdr:nvPicPr>
        <xdr:cNvPr id="2" name="תמונה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295500" y="3257550"/>
          <a:ext cx="235267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13</xdr:row>
      <xdr:rowOff>38100</xdr:rowOff>
    </xdr:from>
    <xdr:to>
      <xdr:col>9</xdr:col>
      <xdr:colOff>590550</xdr:colOff>
      <xdr:row>21</xdr:row>
      <xdr:rowOff>0</xdr:rowOff>
    </xdr:to>
    <xdr:pic>
      <xdr:nvPicPr>
        <xdr:cNvPr id="3" name="תמונה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609450" y="3305175"/>
          <a:ext cx="237172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88</xdr:row>
      <xdr:rowOff>0</xdr:rowOff>
    </xdr:from>
    <xdr:to>
      <xdr:col>28</xdr:col>
      <xdr:colOff>152400</xdr:colOff>
      <xdr:row>88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541400" y="17668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28925" y="22812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115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28925" y="22812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115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28925" y="22812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93</xdr:row>
      <xdr:rowOff>0</xdr:rowOff>
    </xdr:from>
    <xdr:to>
      <xdr:col>27</xdr:col>
      <xdr:colOff>152400</xdr:colOff>
      <xdr:row>93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0161050" y="2205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152400</xdr:colOff>
      <xdr:row>120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172440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120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172440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120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172440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208635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208635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2086350" y="2720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93</xdr:row>
      <xdr:rowOff>0</xdr:rowOff>
    </xdr:from>
    <xdr:to>
      <xdr:col>27</xdr:col>
      <xdr:colOff>152400</xdr:colOff>
      <xdr:row>93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2675650" y="1871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152400</xdr:colOff>
      <xdr:row>120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15315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120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15315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120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15315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51510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51510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515100" y="2386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85</xdr:row>
      <xdr:rowOff>0</xdr:rowOff>
    </xdr:from>
    <xdr:to>
      <xdr:col>28</xdr:col>
      <xdr:colOff>152400</xdr:colOff>
      <xdr:row>85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8026800" y="19973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152400</xdr:colOff>
      <xdr:row>112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23250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112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23250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112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23250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112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75675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112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75675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112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75675" y="25117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91</xdr:row>
      <xdr:rowOff>0</xdr:rowOff>
    </xdr:from>
    <xdr:to>
      <xdr:col>28</xdr:col>
      <xdr:colOff>152400</xdr:colOff>
      <xdr:row>91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465200" y="1717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152400</xdr:colOff>
      <xdr:row>118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37925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118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37925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118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37925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118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190350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118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190350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118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190350" y="2231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116</xdr:row>
      <xdr:rowOff>0</xdr:rowOff>
    </xdr:from>
    <xdr:to>
      <xdr:col>28</xdr:col>
      <xdr:colOff>152400</xdr:colOff>
      <xdr:row>116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712725" y="2712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152400</xdr:colOff>
      <xdr:row>143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61800" y="32270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142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61800" y="32080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143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61800" y="32270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116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027300" y="2712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143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14225" y="32270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142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14225" y="32080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143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14225" y="32270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130</xdr:row>
      <xdr:rowOff>0</xdr:rowOff>
    </xdr:from>
    <xdr:to>
      <xdr:col>28</xdr:col>
      <xdr:colOff>152400</xdr:colOff>
      <xdr:row>130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79650" y="23460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152400</xdr:colOff>
      <xdr:row>157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266800" y="2860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156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266800" y="28413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157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266800" y="2860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130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560700" y="23460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157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619225" y="2860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156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619225" y="28413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157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619225" y="2860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113</xdr:row>
      <xdr:rowOff>0</xdr:rowOff>
    </xdr:from>
    <xdr:to>
      <xdr:col>29</xdr:col>
      <xdr:colOff>152400</xdr:colOff>
      <xdr:row>113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912375" y="24298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152400</xdr:colOff>
      <xdr:row>140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13725" y="29441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139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13725" y="29251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140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13725" y="29441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0</xdr:colOff>
      <xdr:row>113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7417200" y="24298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66150" y="29441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139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66150" y="29251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066150" y="29441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113</xdr:row>
      <xdr:rowOff>0</xdr:rowOff>
    </xdr:from>
    <xdr:to>
      <xdr:col>29</xdr:col>
      <xdr:colOff>152400</xdr:colOff>
      <xdr:row>113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350775" y="22507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152400</xdr:colOff>
      <xdr:row>140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285475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139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285475" y="2746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140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285475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0</xdr:colOff>
      <xdr:row>113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855600" y="22507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637900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139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637900" y="2746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637900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99</xdr:row>
      <xdr:rowOff>0</xdr:rowOff>
    </xdr:from>
    <xdr:to>
      <xdr:col>28</xdr:col>
      <xdr:colOff>152400</xdr:colOff>
      <xdr:row>99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302775" y="22507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152400</xdr:colOff>
      <xdr:row>126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513825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125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513825" y="2746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126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513825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99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902850" y="22507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126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866250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125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866250" y="2746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126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866250" y="27651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90500" y="190500"/>
    <xdr:ext cx="9201150" cy="56197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103</xdr:row>
      <xdr:rowOff>0</xdr:rowOff>
    </xdr:from>
    <xdr:to>
      <xdr:col>28</xdr:col>
      <xdr:colOff>152400</xdr:colOff>
      <xdr:row>103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960375" y="19907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152400</xdr:colOff>
      <xdr:row>130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96175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129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961750" y="24860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130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96175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103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560450" y="19907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130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14175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129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14175" y="24860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130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14175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86</xdr:row>
      <xdr:rowOff>0</xdr:rowOff>
    </xdr:from>
    <xdr:to>
      <xdr:col>27</xdr:col>
      <xdr:colOff>152400</xdr:colOff>
      <xdr:row>86</xdr:row>
      <xdr:rowOff>152400</xdr:rowOff>
    </xdr:to>
    <xdr:pic>
      <xdr:nvPicPr>
        <xdr:cNvPr id="2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8636400" y="20716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3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294750" y="26431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116</xdr:row>
      <xdr:rowOff>0</xdr:rowOff>
    </xdr:from>
    <xdr:ext cx="152400" cy="152400"/>
    <xdr:pic>
      <xdr:nvPicPr>
        <xdr:cNvPr id="4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294750" y="26431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116</xdr:row>
      <xdr:rowOff>0</xdr:rowOff>
    </xdr:from>
    <xdr:ext cx="152400" cy="152400"/>
    <xdr:pic>
      <xdr:nvPicPr>
        <xdr:cNvPr id="5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294750" y="26431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90</xdr:row>
      <xdr:rowOff>0</xdr:rowOff>
    </xdr:from>
    <xdr:to>
      <xdr:col>27</xdr:col>
      <xdr:colOff>152400</xdr:colOff>
      <xdr:row>90</xdr:row>
      <xdr:rowOff>152400</xdr:rowOff>
    </xdr:to>
    <xdr:pic>
      <xdr:nvPicPr>
        <xdr:cNvPr id="2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074800" y="17678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152400</xdr:colOff>
      <xdr:row>120</xdr:row>
      <xdr:rowOff>152400</xdr:rowOff>
    </xdr:to>
    <xdr:pic>
      <xdr:nvPicPr>
        <xdr:cNvPr id="3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23800" y="2339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4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23800" y="2339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152400" cy="152400"/>
    <xdr:pic>
      <xdr:nvPicPr>
        <xdr:cNvPr id="5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23800" y="23393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50</xdr:row>
      <xdr:rowOff>0</xdr:rowOff>
    </xdr:from>
    <xdr:to>
      <xdr:col>28</xdr:col>
      <xdr:colOff>152400</xdr:colOff>
      <xdr:row>50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7417200" y="2268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151875" y="27832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60</xdr:row>
      <xdr:rowOff>0</xdr:rowOff>
    </xdr:from>
    <xdr:to>
      <xdr:col>28</xdr:col>
      <xdr:colOff>152400</xdr:colOff>
      <xdr:row>60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465200" y="10715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80850" y="15859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82</xdr:row>
      <xdr:rowOff>0</xdr:rowOff>
    </xdr:from>
    <xdr:to>
      <xdr:col>27</xdr:col>
      <xdr:colOff>152400</xdr:colOff>
      <xdr:row>82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246000" y="18154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23450" y="2329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111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23450" y="2367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82</xdr:row>
      <xdr:rowOff>0</xdr:rowOff>
    </xdr:from>
    <xdr:to>
      <xdr:col>27</xdr:col>
      <xdr:colOff>152400</xdr:colOff>
      <xdr:row>82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074800" y="1677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933425" y="21917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111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933425" y="2229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73</xdr:row>
      <xdr:rowOff>0</xdr:rowOff>
    </xdr:from>
    <xdr:to>
      <xdr:col>29</xdr:col>
      <xdr:colOff>152400</xdr:colOff>
      <xdr:row>73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8636400" y="157067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123425" y="20850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77</xdr:row>
      <xdr:rowOff>0</xdr:rowOff>
    </xdr:from>
    <xdr:to>
      <xdr:col>29</xdr:col>
      <xdr:colOff>152400</xdr:colOff>
      <xdr:row>77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855600" y="13744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914625" y="18888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67</xdr:row>
      <xdr:rowOff>0</xdr:rowOff>
    </xdr:from>
    <xdr:to>
      <xdr:col>28</xdr:col>
      <xdr:colOff>152400</xdr:colOff>
      <xdr:row>67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8636400" y="1567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525475" y="20821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94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525475" y="20821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142875"/>
    <xdr:ext cx="9201150" cy="56197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75</xdr:row>
      <xdr:rowOff>0</xdr:rowOff>
    </xdr:from>
    <xdr:to>
      <xdr:col>28</xdr:col>
      <xdr:colOff>152400</xdr:colOff>
      <xdr:row>75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465200" y="1372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305025" y="1886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102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305025" y="1886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179</xdr:row>
      <xdr:rowOff>0</xdr:rowOff>
    </xdr:from>
    <xdr:to>
      <xdr:col>72</xdr:col>
      <xdr:colOff>152400</xdr:colOff>
      <xdr:row>179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957750" y="32689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152400</xdr:colOff>
      <xdr:row>206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33275" y="37833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207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33275" y="38023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207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33275" y="38023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178</xdr:row>
      <xdr:rowOff>0</xdr:rowOff>
    </xdr:from>
    <xdr:to>
      <xdr:col>72</xdr:col>
      <xdr:colOff>152400</xdr:colOff>
      <xdr:row>178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6890825" y="33166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152400</xdr:colOff>
      <xdr:row>198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456675" y="36976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197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456675" y="36785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198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8456675" y="36976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141</xdr:row>
      <xdr:rowOff>0</xdr:rowOff>
    </xdr:from>
    <xdr:to>
      <xdr:col>72</xdr:col>
      <xdr:colOff>152400</xdr:colOff>
      <xdr:row>141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86275" y="24384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152400</xdr:colOff>
      <xdr:row>168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514075" y="29527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168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514075" y="29527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168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514075" y="29527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0</xdr:colOff>
      <xdr:row>141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86275" y="24384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89</xdr:row>
      <xdr:rowOff>0</xdr:rowOff>
    </xdr:from>
    <xdr:to>
      <xdr:col>72</xdr:col>
      <xdr:colOff>152400</xdr:colOff>
      <xdr:row>89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6354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618725" y="2149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116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618725" y="2149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116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618725" y="2149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114</xdr:row>
      <xdr:rowOff>0</xdr:rowOff>
    </xdr:from>
    <xdr:to>
      <xdr:col>72</xdr:col>
      <xdr:colOff>152400</xdr:colOff>
      <xdr:row>114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20193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152400</xdr:colOff>
      <xdr:row>141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52025" y="25365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141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52025" y="25365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141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52025" y="25365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148</xdr:row>
      <xdr:rowOff>0</xdr:rowOff>
    </xdr:from>
    <xdr:to>
      <xdr:col>72</xdr:col>
      <xdr:colOff>152400</xdr:colOff>
      <xdr:row>148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2530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152400</xdr:colOff>
      <xdr:row>175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12355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174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123550" y="3026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175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12355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0</xdr:colOff>
      <xdr:row>148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2530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87</xdr:row>
      <xdr:rowOff>0</xdr:rowOff>
    </xdr:from>
    <xdr:to>
      <xdr:col>72</xdr:col>
      <xdr:colOff>152400</xdr:colOff>
      <xdr:row>87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4420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809225" y="2013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117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809225" y="2013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117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809225" y="2013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73</xdr:row>
      <xdr:rowOff>0</xdr:rowOff>
    </xdr:from>
    <xdr:to>
      <xdr:col>72</xdr:col>
      <xdr:colOff>152400</xdr:colOff>
      <xdr:row>73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3487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23450" y="18630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83</xdr:row>
      <xdr:rowOff>0</xdr:rowOff>
    </xdr:from>
    <xdr:to>
      <xdr:col>72</xdr:col>
      <xdr:colOff>152400</xdr:colOff>
      <xdr:row>83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7202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80600" y="22345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112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80600" y="22726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38100"/>
    <xdr:ext cx="9201150" cy="5619750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74</xdr:row>
      <xdr:rowOff>0</xdr:rowOff>
    </xdr:from>
    <xdr:to>
      <xdr:col>72</xdr:col>
      <xdr:colOff>152400</xdr:colOff>
      <xdr:row>74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3982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923525" y="19126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0</xdr:colOff>
      <xdr:row>73</xdr:row>
      <xdr:rowOff>0</xdr:rowOff>
    </xdr:from>
    <xdr:to>
      <xdr:col>72</xdr:col>
      <xdr:colOff>152400</xdr:colOff>
      <xdr:row>73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519600" y="14916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675875" y="20059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100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675875" y="20059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201</xdr:row>
      <xdr:rowOff>0</xdr:rowOff>
    </xdr:from>
    <xdr:to>
      <xdr:col>6</xdr:col>
      <xdr:colOff>152400</xdr:colOff>
      <xdr:row>201</xdr:row>
      <xdr:rowOff>152400</xdr:rowOff>
    </xdr:to>
    <xdr:pic>
      <xdr:nvPicPr>
        <xdr:cNvPr id="5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857600" y="42157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200</xdr:row>
      <xdr:rowOff>0</xdr:rowOff>
    </xdr:from>
    <xdr:ext cx="152400" cy="152400"/>
    <xdr:pic>
      <xdr:nvPicPr>
        <xdr:cNvPr id="6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857600" y="4196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201</xdr:row>
      <xdr:rowOff>0</xdr:rowOff>
    </xdr:from>
    <xdr:ext cx="152400" cy="152400"/>
    <xdr:pic>
      <xdr:nvPicPr>
        <xdr:cNvPr id="7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857600" y="42157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201</xdr:row>
      <xdr:rowOff>0</xdr:rowOff>
    </xdr:from>
    <xdr:ext cx="152400" cy="152400"/>
    <xdr:pic>
      <xdr:nvPicPr>
        <xdr:cNvPr id="8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0850" y="420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200</xdr:row>
      <xdr:rowOff>0</xdr:rowOff>
    </xdr:from>
    <xdr:ext cx="152400" cy="152400"/>
    <xdr:pic>
      <xdr:nvPicPr>
        <xdr:cNvPr id="9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0850" y="4188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201</xdr:row>
      <xdr:rowOff>0</xdr:rowOff>
    </xdr:from>
    <xdr:ext cx="152400" cy="152400"/>
    <xdr:pic>
      <xdr:nvPicPr>
        <xdr:cNvPr id="10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0850" y="420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187</xdr:row>
      <xdr:rowOff>0</xdr:rowOff>
    </xdr:from>
    <xdr:to>
      <xdr:col>27</xdr:col>
      <xdr:colOff>152400</xdr:colOff>
      <xdr:row>187</xdr:row>
      <xdr:rowOff>152400</xdr:rowOff>
    </xdr:to>
    <xdr:pic>
      <xdr:nvPicPr>
        <xdr:cNvPr id="2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465200" y="11792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152400</xdr:colOff>
      <xdr:row>207</xdr:row>
      <xdr:rowOff>152400</xdr:rowOff>
    </xdr:to>
    <xdr:pic>
      <xdr:nvPicPr>
        <xdr:cNvPr id="3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230200" y="123072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206</xdr:row>
      <xdr:rowOff>0</xdr:rowOff>
    </xdr:from>
    <xdr:ext cx="152400" cy="152400"/>
    <xdr:pic>
      <xdr:nvPicPr>
        <xdr:cNvPr id="4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3982425" y="29022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207</xdr:row>
      <xdr:rowOff>0</xdr:rowOff>
    </xdr:from>
    <xdr:ext cx="152400" cy="152400"/>
    <xdr:pic>
      <xdr:nvPicPr>
        <xdr:cNvPr id="5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3725250" y="29022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207</xdr:row>
      <xdr:rowOff>0</xdr:rowOff>
    </xdr:from>
    <xdr:ext cx="152400" cy="152400"/>
    <xdr:pic>
      <xdr:nvPicPr>
        <xdr:cNvPr id="9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095225" y="43805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206</xdr:row>
      <xdr:rowOff>0</xdr:rowOff>
    </xdr:from>
    <xdr:ext cx="152400" cy="152400"/>
    <xdr:pic>
      <xdr:nvPicPr>
        <xdr:cNvPr id="10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095225" y="43614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207</xdr:row>
      <xdr:rowOff>0</xdr:rowOff>
    </xdr:from>
    <xdr:ext cx="152400" cy="152400"/>
    <xdr:pic>
      <xdr:nvPicPr>
        <xdr:cNvPr id="11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095225" y="43805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199</xdr:row>
      <xdr:rowOff>0</xdr:rowOff>
    </xdr:from>
    <xdr:to>
      <xdr:col>27</xdr:col>
      <xdr:colOff>152400</xdr:colOff>
      <xdr:row>199</xdr:row>
      <xdr:rowOff>152400</xdr:rowOff>
    </xdr:to>
    <xdr:pic>
      <xdr:nvPicPr>
        <xdr:cNvPr id="2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4075175" y="3798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152400</xdr:colOff>
      <xdr:row>219</xdr:row>
      <xdr:rowOff>152400</xdr:rowOff>
    </xdr:to>
    <xdr:pic>
      <xdr:nvPicPr>
        <xdr:cNvPr id="3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010000" y="4179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218</xdr:row>
      <xdr:rowOff>0</xdr:rowOff>
    </xdr:from>
    <xdr:ext cx="152400" cy="152400"/>
    <xdr:pic>
      <xdr:nvPicPr>
        <xdr:cNvPr id="4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010000" y="41605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219</xdr:row>
      <xdr:rowOff>0</xdr:rowOff>
    </xdr:from>
    <xdr:ext cx="152400" cy="152400"/>
    <xdr:pic>
      <xdr:nvPicPr>
        <xdr:cNvPr id="5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010000" y="4179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219</xdr:row>
      <xdr:rowOff>0</xdr:rowOff>
    </xdr:from>
    <xdr:ext cx="152400" cy="152400"/>
    <xdr:pic>
      <xdr:nvPicPr>
        <xdr:cNvPr id="6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362425" y="4179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218</xdr:row>
      <xdr:rowOff>0</xdr:rowOff>
    </xdr:from>
    <xdr:ext cx="152400" cy="152400"/>
    <xdr:pic>
      <xdr:nvPicPr>
        <xdr:cNvPr id="7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362425" y="41605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219</xdr:row>
      <xdr:rowOff>0</xdr:rowOff>
    </xdr:from>
    <xdr:ext cx="152400" cy="152400"/>
    <xdr:pic>
      <xdr:nvPicPr>
        <xdr:cNvPr id="8" name="Picture 1" descr="http://localhost:80/ibmcognos/common/images/filter.gif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362425" y="4179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136</xdr:row>
      <xdr:rowOff>0</xdr:rowOff>
    </xdr:from>
    <xdr:to>
      <xdr:col>28</xdr:col>
      <xdr:colOff>152400</xdr:colOff>
      <xdr:row>136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7283850" y="35232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152400</xdr:colOff>
      <xdr:row>163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3813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163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3813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163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3813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0</xdr:colOff>
      <xdr:row>136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540900" y="35232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163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6099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163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6099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163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609950" y="40376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156</xdr:row>
      <xdr:rowOff>0</xdr:rowOff>
    </xdr:from>
    <xdr:to>
      <xdr:col>28</xdr:col>
      <xdr:colOff>152400</xdr:colOff>
      <xdr:row>156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398525" y="2717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152400</xdr:colOff>
      <xdr:row>183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098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183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098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183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098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0</xdr:colOff>
      <xdr:row>156</xdr:row>
      <xdr:rowOff>0</xdr:rowOff>
    </xdr:from>
    <xdr:ext cx="152400" cy="152400"/>
    <xdr:pic>
      <xdr:nvPicPr>
        <xdr:cNvPr id="6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655575" y="2717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183</xdr:row>
      <xdr:rowOff>0</xdr:rowOff>
    </xdr:from>
    <xdr:ext cx="152400" cy="152400"/>
    <xdr:pic>
      <xdr:nvPicPr>
        <xdr:cNvPr id="7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2384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183</xdr:row>
      <xdr:rowOff>0</xdr:rowOff>
    </xdr:from>
    <xdr:ext cx="152400" cy="152400"/>
    <xdr:pic>
      <xdr:nvPicPr>
        <xdr:cNvPr id="8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2384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183</xdr:row>
      <xdr:rowOff>0</xdr:rowOff>
    </xdr:from>
    <xdr:ext cx="152400" cy="152400"/>
    <xdr:pic>
      <xdr:nvPicPr>
        <xdr:cNvPr id="9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238475" y="3231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88</xdr:row>
      <xdr:rowOff>0</xdr:rowOff>
    </xdr:from>
    <xdr:to>
      <xdr:col>28</xdr:col>
      <xdr:colOff>152400</xdr:colOff>
      <xdr:row>88</xdr:row>
      <xdr:rowOff>152400</xdr:rowOff>
    </xdr:to>
    <xdr:pic>
      <xdr:nvPicPr>
        <xdr:cNvPr id="2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883800" y="19450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3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037950" y="2459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115</xdr:row>
      <xdr:rowOff>0</xdr:rowOff>
    </xdr:from>
    <xdr:ext cx="152400" cy="152400"/>
    <xdr:pic>
      <xdr:nvPicPr>
        <xdr:cNvPr id="4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037950" y="2459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115</xdr:row>
      <xdr:rowOff>0</xdr:rowOff>
    </xdr:from>
    <xdr:ext cx="152400" cy="152400"/>
    <xdr:pic>
      <xdr:nvPicPr>
        <xdr:cNvPr id="5" name="Picture 1" descr="http://localhost:80/ibmcognos/common/images/filt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037950" y="2459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493;&#1499;&#1504;&#1497;&#1514;%20&#1506;&#1489;&#1493;&#1491;&#1492;%202018\&#1492;&#1499;&#1504;&#1514;%20&#1514;&#1511;&#1510;&#1497;&#1489;\&#1495;&#1497;&#1504;&#1493;&#1498;\&#1514;&#1511;&#1510;&#1497;&#1489;%20&#1495;&#1497;&#1504;&#1493;&#1498;%20&#1506;&#1491;&#1499;&#1493;&#1503;%2025.9.17%20&#1488;&#1512;&#1504;&#1492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493;&#1499;&#1504;&#1497;&#1514;%20&#1506;&#1489;&#1493;&#1491;&#1492;%202017\&#1492;&#1510;&#1506;&#1514;%20&#1514;&#1511;&#1510;&#1497;&#1489;%202017\&#1492;&#1510;&#1506;&#1514;%20&#1492;&#1514;&#1511;&#1510;&#1497;&#1489;%202017%20&#1504;&#1505;&#1508;&#1495;%20&#148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511;&#1510;&#1497;&#1489;%202017\&#1502;&#1497;&#1502;&#1493;&#1513;%20&#1514;&#1511;&#1510;&#1497;&#1489;%20&#1502;&#1505;&#1490;&#1512;&#1514;%202017\&#1505;&#1508;&#1496;&#1502;&#1489;&#1512;%202017\&#1514;&#1511;&#1510;&#1497;&#1489;%20&#1508;&#1497;&#1514;&#1493;&#1495;%202017%20&#1502;&#1497;&#1502;&#1493;&#1513;%209.2017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511;&#1510;&#1497;&#1489;%202017\&#1502;&#1497;&#1502;&#1493;&#1513;%20&#1514;&#1511;&#1510;&#1497;&#1489;%20&#1502;&#1505;&#1490;&#1512;&#1514;%202017\&#1491;&#1510;&#1502;&#1489;&#1512;%202017\&#1514;&#1511;&#1510;&#1497;&#1489;%20&#1508;&#1497;&#1514;&#1493;&#1495;%202017%20&#1502;&#1497;&#1502;&#1493;&#1513;%2012.2017%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511;&#1510;&#1497;&#1489;%202016\&#1502;&#1497;&#1502;&#1493;&#1513;%20&#1514;&#1511;&#1510;&#1497;&#1489;%20&#1502;&#1505;&#1490;&#1512;&#1514;%202016\&#1505;&#1508;&#1496;&#1502;&#1489;&#1512;%202016\&#1514;&#1511;&#1510;&#1497;&#1489;%20&#1508;&#1497;&#1514;&#1493;&#1495;%202016%20&#1502;&#1497;&#1502;&#1493;&#1513;%209.2016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493;&#1499;&#1504;&#1497;&#1514;%20&#1506;&#1489;&#1493;&#1491;&#1492;%202017\&#1502;&#1497;&#1502;&#1493;&#1513;%20&#1514;&#1511;&#1510;&#1497;&#1489;%202016\&#1502;&#1497;&#1502;&#1493;&#1513;%20&#1514;&#1511;&#1510;&#1497;&#1489;%202016%20&#1500;&#1514;&#1506;%202017%20(&#1502;&#1513;&#1493;&#1495;&#1494;&#1512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514;&#1511;&#1510;&#1497;&#1489;%202016\&#1502;&#1497;&#1502;&#1493;&#1513;%20&#1514;&#1511;&#1510;&#1497;&#1489;%20&#1502;&#1505;&#1490;&#1512;&#1514;%202016\&#1491;&#1510;&#1502;&#1489;&#1512;%202016\&#1514;&#1511;&#1510;&#1497;&#1489;%20&#1508;&#1497;&#1514;&#1493;&#1495;%202016%20&#1502;&#1497;&#1502;&#1493;&#1513;%2012.2016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חשוב עדכון"/>
      <sheetName val="מעבדה הנדסאים"/>
      <sheetName val="אומדן - סיכום מעודכן"/>
      <sheetName val="סגירת תברים"/>
      <sheetName val="תקציב פיתוח 2018"/>
      <sheetName val="אומדן - סיכום"/>
      <sheetName val="רשימת חדרים - להשתמש בחדרים אלו"/>
      <sheetName val="ציוד - אופק"/>
      <sheetName val="מחשוב אופק"/>
      <sheetName val="מחשוב"/>
    </sheetNames>
    <sheetDataSet>
      <sheetData sheetId="0"/>
      <sheetData sheetId="1"/>
      <sheetData sheetId="2"/>
      <sheetData sheetId="3"/>
      <sheetData sheetId="4"/>
      <sheetData sheetId="5">
        <row r="57">
          <cell r="E57">
            <v>480000</v>
          </cell>
        </row>
        <row r="61">
          <cell r="E61">
            <v>70000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נספח א"/>
      <sheetName val="ריכוז אגפים"/>
      <sheetName val="הנדסה "/>
      <sheetName val="החברה לפיתוח "/>
      <sheetName val="תבל "/>
      <sheetName val="בטחון"/>
      <sheetName val="חינוך תנוס "/>
      <sheetName val="שאיפה "/>
      <sheetName val="החברה לתיירות "/>
      <sheetName val="מיחשוב "/>
      <sheetName val="נכסים"/>
      <sheetName val="שיפוצי בתים עמידר"/>
      <sheetName val="כללי"/>
      <sheetName val="ריכוז תקציבים מעבר לתוכנית 31.8"/>
    </sheetNames>
    <sheetDataSet>
      <sheetData sheetId="0"/>
      <sheetData sheetId="1"/>
      <sheetData sheetId="2">
        <row r="208">
          <cell r="AZ208">
            <v>54907556</v>
          </cell>
        </row>
        <row r="209">
          <cell r="AZ209">
            <v>7715000</v>
          </cell>
        </row>
      </sheetData>
      <sheetData sheetId="3">
        <row r="58">
          <cell r="AY58">
            <v>54712469</v>
          </cell>
        </row>
      </sheetData>
      <sheetData sheetId="4">
        <row r="86">
          <cell r="AY86">
            <v>3701120</v>
          </cell>
        </row>
        <row r="87">
          <cell r="AY87">
            <v>2550000</v>
          </cell>
        </row>
      </sheetData>
      <sheetData sheetId="5">
        <row r="12">
          <cell r="AY12">
            <v>550000</v>
          </cell>
        </row>
      </sheetData>
      <sheetData sheetId="6">
        <row r="44">
          <cell r="AY44">
            <v>460000</v>
          </cell>
        </row>
      </sheetData>
      <sheetData sheetId="7">
        <row r="28">
          <cell r="AY28">
            <v>1550000</v>
          </cell>
        </row>
        <row r="62">
          <cell r="AY62">
            <v>25000</v>
          </cell>
        </row>
      </sheetData>
      <sheetData sheetId="8">
        <row r="25">
          <cell r="AY25">
            <v>200000</v>
          </cell>
        </row>
      </sheetData>
      <sheetData sheetId="9">
        <row r="20">
          <cell r="AY20">
            <v>2650000</v>
          </cell>
        </row>
      </sheetData>
      <sheetData sheetId="10"/>
      <sheetData sheetId="11">
        <row r="12">
          <cell r="AY12">
            <v>3400000</v>
          </cell>
        </row>
      </sheetData>
      <sheetData sheetId="12">
        <row r="18">
          <cell r="AY18">
            <v>350000</v>
          </cell>
        </row>
      </sheetData>
      <sheetData sheetId="13">
        <row r="24">
          <cell r="AD24">
            <v>12650000</v>
          </cell>
        </row>
        <row r="53">
          <cell r="AD53">
            <v>300000</v>
          </cell>
        </row>
        <row r="59">
          <cell r="AD59">
            <v>41652000</v>
          </cell>
        </row>
        <row r="100">
          <cell r="AD100">
            <v>14652000</v>
          </cell>
        </row>
        <row r="106">
          <cell r="AD106">
            <v>348500</v>
          </cell>
        </row>
        <row r="115">
          <cell r="AD115">
            <v>670000</v>
          </cell>
        </row>
        <row r="126">
          <cell r="AD126">
            <v>980000</v>
          </cell>
        </row>
        <row r="147">
          <cell r="AD147">
            <v>170000</v>
          </cell>
        </row>
        <row r="155">
          <cell r="AD155">
            <v>2750000</v>
          </cell>
        </row>
        <row r="159">
          <cell r="AD159">
            <v>1250000</v>
          </cell>
        </row>
        <row r="164">
          <cell r="AD164">
            <v>7155000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חינוך תנוס "/>
      <sheetName val="שיפוצי בתים עמידר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חינוך תנוס "/>
      <sheetName val="שיפוצי בתים עמידר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ריכוז אגפים"/>
      <sheetName val="כללי"/>
      <sheetName val="שיפוצי בתים עמידר"/>
      <sheetName val="נכסים"/>
      <sheetName val="מיחשוב "/>
      <sheetName val="החברה לתיירות "/>
      <sheetName val="שאיפה "/>
      <sheetName val="חינוך תנוס "/>
      <sheetName val="בטחון"/>
      <sheetName val="תבל "/>
      <sheetName val="החברה לפיתוח "/>
      <sheetName val="הנדסה "/>
    </sheetNames>
    <sheetDataSet>
      <sheetData sheetId="0"/>
      <sheetData sheetId="1">
        <row r="17">
          <cell r="AZ17">
            <v>350000</v>
          </cell>
        </row>
      </sheetData>
      <sheetData sheetId="2">
        <row r="11">
          <cell r="AZ11">
            <v>900000</v>
          </cell>
        </row>
      </sheetData>
      <sheetData sheetId="3"/>
      <sheetData sheetId="4"/>
      <sheetData sheetId="5">
        <row r="24">
          <cell r="AZ24">
            <v>200000</v>
          </cell>
        </row>
      </sheetData>
      <sheetData sheetId="6">
        <row r="27">
          <cell r="AZ27">
            <v>450000</v>
          </cell>
        </row>
        <row r="61">
          <cell r="AZ61">
            <v>25000</v>
          </cell>
        </row>
      </sheetData>
      <sheetData sheetId="7">
        <row r="43">
          <cell r="AZ43">
            <v>310000</v>
          </cell>
        </row>
      </sheetData>
      <sheetData sheetId="8">
        <row r="12">
          <cell r="AZ12">
            <v>100000</v>
          </cell>
        </row>
      </sheetData>
      <sheetData sheetId="9">
        <row r="84">
          <cell r="AZ84">
            <v>100000</v>
          </cell>
        </row>
        <row r="85">
          <cell r="AZ85">
            <v>1000000</v>
          </cell>
        </row>
      </sheetData>
      <sheetData sheetId="10">
        <row r="57">
          <cell r="AZ57">
            <v>2700000</v>
          </cell>
        </row>
      </sheetData>
      <sheetData sheetId="11">
        <row r="178">
          <cell r="BA178">
            <v>6915000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ריכוז אגפים"/>
      <sheetName val="כללי"/>
      <sheetName val="שיפוצי בתים עמידר"/>
      <sheetName val="נכסים"/>
      <sheetName val="מיחשוב "/>
      <sheetName val="החברה לתיירות "/>
      <sheetName val="שאיפה "/>
      <sheetName val="חינוך תנוס "/>
      <sheetName val="בטחון"/>
      <sheetName val="תבל "/>
      <sheetName val="החברה לפיתוח "/>
      <sheetName val="הנדסה "/>
    </sheetNames>
    <sheetDataSet>
      <sheetData sheetId="0">
        <row r="33">
          <cell r="AG33">
            <v>133271145</v>
          </cell>
        </row>
      </sheetData>
      <sheetData sheetId="1"/>
      <sheetData sheetId="2">
        <row r="11">
          <cell r="AY11">
            <v>3400000</v>
          </cell>
        </row>
      </sheetData>
      <sheetData sheetId="3"/>
      <sheetData sheetId="4"/>
      <sheetData sheetId="5"/>
      <sheetData sheetId="6">
        <row r="27">
          <cell r="AY27">
            <v>1550000</v>
          </cell>
        </row>
      </sheetData>
      <sheetData sheetId="7">
        <row r="43">
          <cell r="AY43">
            <v>460000</v>
          </cell>
        </row>
      </sheetData>
      <sheetData sheetId="8">
        <row r="13">
          <cell r="AY13">
            <v>550000</v>
          </cell>
        </row>
      </sheetData>
      <sheetData sheetId="9">
        <row r="87">
          <cell r="AY87">
            <v>2650000</v>
          </cell>
        </row>
      </sheetData>
      <sheetData sheetId="10">
        <row r="57">
          <cell r="AY57">
            <v>54712469</v>
          </cell>
        </row>
      </sheetData>
      <sheetData sheetId="11">
        <row r="208">
          <cell r="AZ208">
            <v>8115000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ריכוז אגפים"/>
      <sheetName val="כללי"/>
      <sheetName val="שיפוצי בתים עמידר"/>
      <sheetName val="נכסים"/>
      <sheetName val="מיחשוב "/>
      <sheetName val="החברה לתיירות "/>
      <sheetName val="שאיפה "/>
      <sheetName val="חינוך תנוס "/>
      <sheetName val="בטחון"/>
      <sheetName val="תבל "/>
      <sheetName val="החברה לפיתוח "/>
      <sheetName val="הנדסה "/>
    </sheetNames>
    <sheetDataSet>
      <sheetData sheetId="0"/>
      <sheetData sheetId="1"/>
      <sheetData sheetId="2">
        <row r="11">
          <cell r="BC11">
            <v>2500000</v>
          </cell>
        </row>
      </sheetData>
      <sheetData sheetId="3"/>
      <sheetData sheetId="4">
        <row r="19">
          <cell r="BC19">
            <v>2080006</v>
          </cell>
        </row>
      </sheetData>
      <sheetData sheetId="5"/>
      <sheetData sheetId="6">
        <row r="27">
          <cell r="BC27">
            <v>1100000</v>
          </cell>
        </row>
      </sheetData>
      <sheetData sheetId="7">
        <row r="43">
          <cell r="BC43">
            <v>150000</v>
          </cell>
        </row>
      </sheetData>
      <sheetData sheetId="8">
        <row r="12">
          <cell r="BC12">
            <v>450000</v>
          </cell>
        </row>
      </sheetData>
      <sheetData sheetId="9">
        <row r="85">
          <cell r="BC85">
            <v>3601120</v>
          </cell>
        </row>
        <row r="86">
          <cell r="BC86">
            <v>1550000</v>
          </cell>
        </row>
      </sheetData>
      <sheetData sheetId="10">
        <row r="57">
          <cell r="BF57">
            <v>0</v>
          </cell>
        </row>
      </sheetData>
      <sheetData sheetId="11">
        <row r="209">
          <cell r="BG209">
            <v>1362478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9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3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1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17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1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1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1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22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24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2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26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27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28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29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30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3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0"/>
  <sheetViews>
    <sheetView rightToLeft="1" topLeftCell="A10" zoomScaleNormal="100" workbookViewId="0">
      <selection activeCell="T10" sqref="T10"/>
    </sheetView>
  </sheetViews>
  <sheetFormatPr defaultRowHeight="14.25"/>
  <cols>
    <col min="1" max="16384" width="9.140625" style="274"/>
  </cols>
  <sheetData>
    <row r="3" spans="1:10" ht="18.75">
      <c r="A3" s="285" t="s">
        <v>617</v>
      </c>
    </row>
    <row r="4" spans="1:10" ht="18.75">
      <c r="A4" s="285" t="s">
        <v>618</v>
      </c>
    </row>
    <row r="7" spans="1:10" ht="45.75">
      <c r="A7" s="785" t="s">
        <v>619</v>
      </c>
      <c r="B7" s="785"/>
      <c r="C7" s="785"/>
      <c r="D7" s="785"/>
      <c r="E7" s="785"/>
      <c r="F7" s="785"/>
      <c r="G7" s="785"/>
      <c r="H7" s="785"/>
      <c r="I7" s="785"/>
      <c r="J7" s="785"/>
    </row>
    <row r="8" spans="1:10" ht="45.75">
      <c r="A8" s="785" t="s">
        <v>621</v>
      </c>
      <c r="B8" s="785"/>
      <c r="C8" s="785"/>
      <c r="D8" s="785"/>
      <c r="E8" s="785"/>
      <c r="F8" s="785"/>
      <c r="G8" s="785"/>
      <c r="H8" s="785"/>
      <c r="I8" s="785"/>
      <c r="J8" s="785"/>
    </row>
    <row r="29" spans="8:9" ht="18.75">
      <c r="H29" s="285" t="s">
        <v>620</v>
      </c>
      <c r="I29" s="285" t="s">
        <v>1138</v>
      </c>
    </row>
    <row r="30" spans="8:9" ht="18.75">
      <c r="H30" s="285"/>
      <c r="I30" s="285" t="s">
        <v>1139</v>
      </c>
    </row>
  </sheetData>
  <mergeCells count="2">
    <mergeCell ref="A7:J7"/>
    <mergeCell ref="A8:J8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4"/>
  <sheetViews>
    <sheetView rightToLeft="1" topLeftCell="A10" workbookViewId="0">
      <selection activeCell="T10" sqref="T10"/>
    </sheetView>
  </sheetViews>
  <sheetFormatPr defaultRowHeight="14.25"/>
  <cols>
    <col min="1" max="3" width="4.140625" style="274" customWidth="1"/>
    <col min="4" max="4" width="33" style="274" customWidth="1"/>
    <col min="5" max="9" width="12.140625" style="274" customWidth="1"/>
    <col min="10" max="10" width="7.85546875" style="274" customWidth="1"/>
    <col min="11" max="16384" width="9.140625" style="274"/>
  </cols>
  <sheetData>
    <row r="3" spans="1:17" ht="20.25">
      <c r="E3" s="275"/>
    </row>
    <row r="4" spans="1:17" ht="15.75">
      <c r="A4" s="276">
        <v>3.7</v>
      </c>
      <c r="C4" s="276" t="s">
        <v>580</v>
      </c>
      <c r="D4" s="276"/>
      <c r="E4" s="276"/>
      <c r="F4" s="276"/>
      <c r="G4" s="276"/>
      <c r="H4" s="276"/>
      <c r="I4" s="276"/>
      <c r="J4" s="276"/>
      <c r="K4" s="276"/>
      <c r="L4" s="276"/>
    </row>
    <row r="5" spans="1:17" ht="16.5" thickBot="1">
      <c r="C5" s="276"/>
      <c r="D5" s="276"/>
      <c r="E5" s="276"/>
      <c r="F5" s="276"/>
      <c r="G5" s="276"/>
      <c r="H5" s="276"/>
      <c r="I5" s="276"/>
      <c r="J5" s="276"/>
      <c r="K5" s="276"/>
      <c r="L5" s="276"/>
    </row>
    <row r="6" spans="1:17" ht="20.100000000000001" customHeight="1">
      <c r="A6" s="276"/>
      <c r="C6" s="297" t="s">
        <v>514</v>
      </c>
      <c r="D6" s="298"/>
      <c r="E6" s="299"/>
      <c r="F6" s="300" t="s">
        <v>804</v>
      </c>
      <c r="G6" s="322" t="s">
        <v>571</v>
      </c>
      <c r="M6" s="276"/>
      <c r="N6" s="276"/>
      <c r="O6" s="276"/>
    </row>
    <row r="7" spans="1:17" ht="20.100000000000001" customHeight="1">
      <c r="A7" s="276"/>
      <c r="C7" s="302" t="s">
        <v>581</v>
      </c>
      <c r="D7" s="303"/>
      <c r="E7" s="304"/>
      <c r="F7" s="305">
        <f>'פרוט מקורות אחרים'!P16/1000</f>
        <v>8745.3870000000006</v>
      </c>
      <c r="G7" s="306">
        <v>9500</v>
      </c>
      <c r="M7" s="276"/>
      <c r="N7" s="276"/>
      <c r="O7" s="276"/>
    </row>
    <row r="8" spans="1:17" ht="20.100000000000001" customHeight="1">
      <c r="A8" s="276"/>
      <c r="C8" s="302" t="s">
        <v>582</v>
      </c>
      <c r="D8" s="308"/>
      <c r="E8" s="304"/>
      <c r="F8" s="305">
        <f>'פרוט מקורות אחרים'!G16/1000</f>
        <v>29983.46</v>
      </c>
      <c r="G8" s="306">
        <v>28064</v>
      </c>
      <c r="M8" s="276"/>
      <c r="N8" s="276"/>
      <c r="O8" s="276"/>
    </row>
    <row r="9" spans="1:17" ht="20.100000000000001" hidden="1" customHeight="1">
      <c r="A9" s="276"/>
      <c r="C9" s="302" t="s">
        <v>583</v>
      </c>
      <c r="D9" s="303"/>
      <c r="E9" s="304"/>
      <c r="F9" s="305"/>
      <c r="G9" s="306"/>
      <c r="M9" s="276"/>
      <c r="N9" s="276"/>
      <c r="O9" s="276"/>
    </row>
    <row r="10" spans="1:17" ht="20.100000000000001" customHeight="1">
      <c r="A10" s="276"/>
      <c r="C10" s="302" t="s">
        <v>584</v>
      </c>
      <c r="D10" s="303"/>
      <c r="E10" s="304"/>
      <c r="F10" s="305">
        <f>'פרוט מקורות אחרים'!D16/1000</f>
        <v>124915.74606976744</v>
      </c>
      <c r="G10" s="306">
        <v>129091</v>
      </c>
      <c r="M10" s="276"/>
      <c r="N10" s="276"/>
      <c r="O10" s="276"/>
    </row>
    <row r="11" spans="1:17" ht="20.100000000000001" customHeight="1">
      <c r="A11" s="276"/>
      <c r="C11" s="302" t="s">
        <v>553</v>
      </c>
      <c r="D11" s="323"/>
      <c r="E11" s="324"/>
      <c r="F11" s="305">
        <f>('פרוט מקורות אחרים'!F16+'פרוט מקורות אחרים'!H16+'פרוט מקורות אחרים'!I16+'פרוט מקורות אחרים'!K16+'פרוט מקורות אחרים'!M16+'פרוט מקורות אחרים'!N16)/1000+'פרוט מקורות אחרים'!O16/1000</f>
        <v>32498.856</v>
      </c>
      <c r="G11" s="306">
        <v>26977</v>
      </c>
      <c r="L11" s="313"/>
      <c r="M11" s="276"/>
      <c r="N11" s="276"/>
      <c r="O11" s="276"/>
    </row>
    <row r="12" spans="1:17" ht="20.100000000000001" customHeight="1">
      <c r="A12" s="276"/>
      <c r="C12" s="302" t="s">
        <v>585</v>
      </c>
      <c r="D12" s="303"/>
      <c r="E12" s="304"/>
      <c r="F12" s="305">
        <f>'פרוט מקורות אחרים'!J16/1000</f>
        <v>12300</v>
      </c>
      <c r="G12" s="306">
        <v>3500</v>
      </c>
      <c r="M12" s="276"/>
      <c r="N12" s="276"/>
      <c r="O12" s="276"/>
    </row>
    <row r="13" spans="1:17" ht="20.100000000000001" customHeight="1">
      <c r="A13" s="276"/>
      <c r="C13" s="302" t="s">
        <v>586</v>
      </c>
      <c r="D13" s="308"/>
      <c r="E13" s="304"/>
      <c r="F13" s="305">
        <f>'פרוט מקורות אחרים'!Q16/1000</f>
        <v>13700</v>
      </c>
      <c r="G13" s="306">
        <v>39234</v>
      </c>
      <c r="M13" s="276"/>
      <c r="N13" s="276"/>
      <c r="O13" s="276"/>
    </row>
    <row r="14" spans="1:17" ht="20.100000000000001" customHeight="1" thickBot="1">
      <c r="A14" s="276"/>
      <c r="C14" s="314" t="s">
        <v>208</v>
      </c>
      <c r="D14" s="315"/>
      <c r="E14" s="316"/>
      <c r="F14" s="317">
        <f>SUM(F7:F13)</f>
        <v>222143.44906976743</v>
      </c>
      <c r="G14" s="325">
        <f>SUM(G7:G13)</f>
        <v>236366</v>
      </c>
      <c r="M14" s="276"/>
      <c r="N14" s="276"/>
      <c r="O14" s="276"/>
    </row>
    <row r="15" spans="1:17" ht="15.75">
      <c r="C15" s="276"/>
      <c r="D15" s="276"/>
      <c r="E15" s="276"/>
      <c r="F15" s="276"/>
      <c r="G15" s="276"/>
      <c r="H15" s="276"/>
      <c r="I15" s="276"/>
      <c r="J15" s="276"/>
      <c r="K15" s="276"/>
      <c r="L15" s="276"/>
    </row>
    <row r="16" spans="1:17" ht="15.75">
      <c r="B16" s="274" t="s">
        <v>587</v>
      </c>
      <c r="C16" s="276" t="s">
        <v>588</v>
      </c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</row>
    <row r="17" spans="1:17" ht="15.75">
      <c r="C17" s="276" t="s">
        <v>589</v>
      </c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</row>
    <row r="18" spans="1:17" ht="15.75"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15.75" hidden="1">
      <c r="A19" s="283" t="s">
        <v>590</v>
      </c>
      <c r="B19" s="277" t="s">
        <v>591</v>
      </c>
    </row>
    <row r="20" spans="1:17" ht="15.75" hidden="1"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</row>
    <row r="21" spans="1:17" ht="23.25" hidden="1">
      <c r="A21" s="276">
        <v>4.0999999999999996</v>
      </c>
      <c r="B21" s="276" t="s">
        <v>592</v>
      </c>
      <c r="C21" s="276"/>
      <c r="D21" s="276"/>
      <c r="E21" s="276"/>
      <c r="F21" s="276"/>
      <c r="G21" s="276"/>
      <c r="H21" s="276"/>
      <c r="I21" s="327"/>
      <c r="J21" s="276"/>
      <c r="K21" s="276"/>
      <c r="L21" s="276"/>
      <c r="M21" s="276"/>
      <c r="N21" s="276"/>
      <c r="O21" s="276"/>
      <c r="P21" s="276"/>
      <c r="Q21" s="276"/>
    </row>
    <row r="22" spans="1:17" ht="15.75" hidden="1">
      <c r="B22" s="276" t="s">
        <v>593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</row>
    <row r="23" spans="1:17" ht="15.75" hidden="1">
      <c r="B23" s="276" t="s">
        <v>594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</row>
    <row r="24" spans="1:17" ht="15.75" hidden="1">
      <c r="B24" s="276" t="s">
        <v>595</v>
      </c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</row>
    <row r="25" spans="1:17" ht="15.75" hidden="1">
      <c r="B25" s="276" t="s">
        <v>596</v>
      </c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</row>
    <row r="26" spans="1:17" ht="15.75" hidden="1"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</row>
    <row r="27" spans="1:17" ht="15.75" hidden="1">
      <c r="A27" s="276">
        <v>4.2</v>
      </c>
      <c r="B27" s="276" t="s">
        <v>597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</row>
    <row r="28" spans="1:17" ht="15.75" hidden="1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</row>
    <row r="29" spans="1:17" ht="15.75" hidden="1">
      <c r="A29" s="276"/>
      <c r="B29" s="276" t="s">
        <v>598</v>
      </c>
      <c r="C29" s="276"/>
      <c r="D29" s="276"/>
      <c r="E29" s="276"/>
      <c r="F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</row>
    <row r="30" spans="1:17" ht="15.75">
      <c r="A30" s="276"/>
      <c r="B30" s="276"/>
      <c r="C30" s="673" t="s">
        <v>1136</v>
      </c>
      <c r="D30" s="673"/>
      <c r="E30" s="276"/>
      <c r="F30" s="276"/>
      <c r="G30" s="281"/>
      <c r="H30" s="276"/>
      <c r="I30" s="276"/>
      <c r="J30" s="276"/>
      <c r="K30" s="276"/>
      <c r="L30" s="276"/>
      <c r="M30" s="276"/>
      <c r="N30" s="276"/>
      <c r="O30" s="276"/>
      <c r="P30" s="276"/>
      <c r="Q30" s="276"/>
    </row>
    <row r="31" spans="1:17" ht="20.100000000000001" customHeight="1"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</row>
    <row r="32" spans="1:17" ht="15.75">
      <c r="A32" s="283" t="s">
        <v>590</v>
      </c>
      <c r="B32" s="277" t="s">
        <v>599</v>
      </c>
    </row>
    <row r="33" spans="1:17" ht="20.100000000000001" customHeight="1"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</row>
    <row r="34" spans="1:17" ht="20.100000000000001" customHeight="1">
      <c r="B34" s="276" t="s">
        <v>600</v>
      </c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</row>
    <row r="35" spans="1:17" ht="20.100000000000001" customHeight="1">
      <c r="B35" s="276" t="s">
        <v>601</v>
      </c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</row>
    <row r="36" spans="1:17" ht="20.100000000000001" customHeight="1">
      <c r="B36" s="276" t="s">
        <v>602</v>
      </c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</row>
    <row r="37" spans="1:17" ht="20.100000000000001" customHeight="1"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</row>
    <row r="38" spans="1:17" ht="20.100000000000001" customHeight="1">
      <c r="B38" s="671" t="s">
        <v>1137</v>
      </c>
      <c r="C38" s="671"/>
      <c r="D38" s="671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</row>
    <row r="39" spans="1:17" ht="15.75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</row>
    <row r="40" spans="1:17" ht="15.75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</row>
    <row r="41" spans="1:17" ht="15.75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</row>
    <row r="42" spans="1:17" ht="15.75">
      <c r="A42" s="283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</row>
    <row r="43" spans="1:17" ht="15.75"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</row>
    <row r="44" spans="1:17" ht="15.75"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4"/>
  <sheetViews>
    <sheetView rightToLeft="1" workbookViewId="0">
      <selection activeCell="T10" sqref="T10"/>
    </sheetView>
  </sheetViews>
  <sheetFormatPr defaultRowHeight="14.25"/>
  <cols>
    <col min="1" max="3" width="4.140625" style="696" customWidth="1"/>
    <col min="4" max="4" width="33" style="696" customWidth="1"/>
    <col min="5" max="9" width="12.140625" style="696" customWidth="1"/>
    <col min="10" max="10" width="7.85546875" style="696" customWidth="1"/>
    <col min="11" max="16384" width="9.140625" style="696"/>
  </cols>
  <sheetData>
    <row r="3" spans="1:17" ht="20.25">
      <c r="E3" s="697"/>
    </row>
    <row r="4" spans="1:17" ht="15.75">
      <c r="A4" s="698"/>
      <c r="C4" s="698"/>
      <c r="D4" s="698"/>
      <c r="E4" s="698"/>
      <c r="F4" s="698"/>
      <c r="G4" s="698"/>
      <c r="H4" s="698"/>
      <c r="I4" s="698"/>
      <c r="J4" s="698"/>
      <c r="K4" s="698"/>
      <c r="L4" s="698"/>
    </row>
    <row r="5" spans="1:17" ht="15.75">
      <c r="C5" s="698"/>
      <c r="D5" s="698"/>
      <c r="E5" s="698"/>
      <c r="F5" s="698"/>
      <c r="G5" s="698"/>
      <c r="H5" s="698"/>
      <c r="I5" s="698"/>
      <c r="J5" s="698"/>
      <c r="K5" s="698"/>
      <c r="L5" s="698"/>
    </row>
    <row r="6" spans="1:17" ht="20.100000000000001" customHeight="1">
      <c r="A6" s="698"/>
      <c r="C6" s="699"/>
      <c r="D6" s="700"/>
      <c r="F6" s="701"/>
      <c r="G6" s="701"/>
      <c r="M6" s="698"/>
      <c r="N6" s="698"/>
      <c r="O6" s="698"/>
    </row>
    <row r="7" spans="1:17" ht="20.100000000000001" customHeight="1">
      <c r="A7" s="698"/>
      <c r="C7" s="698"/>
      <c r="D7" s="698"/>
      <c r="F7" s="702"/>
      <c r="G7" s="702"/>
      <c r="M7" s="698"/>
      <c r="N7" s="698"/>
      <c r="O7" s="698"/>
    </row>
    <row r="8" spans="1:17" ht="20.100000000000001" customHeight="1">
      <c r="A8" s="698"/>
      <c r="C8" s="698"/>
      <c r="D8" s="698"/>
      <c r="F8" s="702"/>
      <c r="G8" s="702"/>
      <c r="M8" s="698"/>
      <c r="N8" s="698"/>
      <c r="O8" s="698"/>
    </row>
    <row r="9" spans="1:17" ht="20.100000000000001" customHeight="1">
      <c r="A9" s="698"/>
      <c r="C9" s="698"/>
      <c r="D9" s="698"/>
      <c r="F9" s="702"/>
      <c r="G9" s="702"/>
      <c r="M9" s="698"/>
      <c r="N9" s="698"/>
      <c r="O9" s="698"/>
    </row>
    <row r="10" spans="1:17" ht="20.100000000000001" customHeight="1">
      <c r="A10" s="698"/>
      <c r="C10" s="698"/>
      <c r="D10" s="698"/>
      <c r="F10" s="702"/>
      <c r="G10" s="702"/>
      <c r="M10" s="698"/>
      <c r="N10" s="698"/>
      <c r="O10" s="698"/>
    </row>
    <row r="11" spans="1:17" ht="20.100000000000001" customHeight="1">
      <c r="A11" s="698"/>
      <c r="C11" s="698"/>
      <c r="D11" s="699"/>
      <c r="E11" s="703"/>
      <c r="F11" s="702"/>
      <c r="G11" s="702"/>
      <c r="L11" s="702"/>
      <c r="M11" s="698"/>
      <c r="N11" s="698"/>
      <c r="O11" s="698"/>
    </row>
    <row r="12" spans="1:17" ht="20.100000000000001" customHeight="1">
      <c r="A12" s="698"/>
      <c r="C12" s="698"/>
      <c r="D12" s="698"/>
      <c r="F12" s="702"/>
      <c r="G12" s="702"/>
      <c r="M12" s="698"/>
      <c r="N12" s="698"/>
      <c r="O12" s="698"/>
    </row>
    <row r="13" spans="1:17" ht="20.100000000000001" customHeight="1">
      <c r="A13" s="698"/>
      <c r="C13" s="698"/>
      <c r="D13" s="698"/>
      <c r="F13" s="702"/>
      <c r="G13" s="702"/>
      <c r="M13" s="698"/>
      <c r="N13" s="698"/>
      <c r="O13" s="698"/>
    </row>
    <row r="14" spans="1:17" ht="20.100000000000001" customHeight="1">
      <c r="A14" s="698"/>
      <c r="C14" s="699"/>
      <c r="D14" s="698"/>
      <c r="F14" s="704"/>
      <c r="G14" s="701"/>
      <c r="M14" s="698"/>
      <c r="N14" s="698"/>
      <c r="O14" s="698"/>
    </row>
    <row r="15" spans="1:17" ht="15.75">
      <c r="C15" s="698"/>
      <c r="D15" s="698"/>
      <c r="E15" s="698"/>
      <c r="F15" s="698"/>
      <c r="G15" s="698"/>
      <c r="H15" s="698"/>
      <c r="I15" s="698"/>
      <c r="J15" s="698"/>
      <c r="K15" s="698"/>
      <c r="L15" s="698"/>
    </row>
    <row r="16" spans="1:17" ht="15.75">
      <c r="C16" s="698"/>
      <c r="D16" s="698"/>
      <c r="E16" s="698"/>
      <c r="F16" s="698"/>
      <c r="G16" s="698"/>
      <c r="H16" s="698"/>
      <c r="I16" s="698"/>
      <c r="J16" s="698"/>
      <c r="K16" s="698"/>
      <c r="L16" s="698"/>
      <c r="M16" s="698"/>
      <c r="N16" s="698"/>
      <c r="O16" s="698"/>
      <c r="P16" s="698"/>
      <c r="Q16" s="698"/>
    </row>
    <row r="17" spans="1:17" ht="15.75">
      <c r="C17" s="698"/>
      <c r="D17" s="698"/>
      <c r="E17" s="698"/>
      <c r="F17" s="698"/>
      <c r="G17" s="698"/>
      <c r="H17" s="698"/>
      <c r="I17" s="698"/>
      <c r="J17" s="698"/>
      <c r="K17" s="698"/>
      <c r="L17" s="698"/>
      <c r="M17" s="698"/>
      <c r="N17" s="698"/>
      <c r="O17" s="698"/>
      <c r="P17" s="698"/>
      <c r="Q17" s="698"/>
    </row>
    <row r="18" spans="1:17" ht="15.75">
      <c r="C18" s="698"/>
      <c r="D18" s="698"/>
      <c r="E18" s="698"/>
      <c r="F18" s="698"/>
      <c r="G18" s="698"/>
      <c r="H18" s="698"/>
      <c r="I18" s="698"/>
      <c r="J18" s="698"/>
      <c r="K18" s="698"/>
      <c r="L18" s="698"/>
      <c r="M18" s="698"/>
      <c r="N18" s="698"/>
      <c r="O18" s="698"/>
      <c r="P18" s="698"/>
      <c r="Q18" s="698"/>
    </row>
    <row r="19" spans="1:17" ht="15.75" hidden="1">
      <c r="A19" s="705"/>
      <c r="B19" s="706"/>
    </row>
    <row r="20" spans="1:17" ht="15.75" hidden="1">
      <c r="B20" s="698"/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698"/>
      <c r="Q20" s="698"/>
    </row>
    <row r="21" spans="1:17" ht="23.25" hidden="1">
      <c r="A21" s="698"/>
      <c r="B21" s="698"/>
      <c r="C21" s="698"/>
      <c r="D21" s="698"/>
      <c r="E21" s="698"/>
      <c r="F21" s="698"/>
      <c r="G21" s="698"/>
      <c r="H21" s="698"/>
      <c r="I21" s="707"/>
      <c r="J21" s="698"/>
      <c r="K21" s="698"/>
      <c r="L21" s="698"/>
      <c r="M21" s="698"/>
      <c r="N21" s="698"/>
      <c r="O21" s="698"/>
      <c r="P21" s="698"/>
      <c r="Q21" s="698"/>
    </row>
    <row r="22" spans="1:17" ht="15.75" hidden="1">
      <c r="B22" s="698"/>
      <c r="C22" s="698"/>
      <c r="D22" s="698"/>
      <c r="E22" s="698"/>
      <c r="F22" s="698"/>
      <c r="G22" s="698"/>
      <c r="H22" s="698"/>
      <c r="I22" s="698"/>
      <c r="J22" s="698"/>
      <c r="K22" s="698"/>
      <c r="L22" s="698"/>
      <c r="M22" s="698"/>
      <c r="N22" s="698"/>
      <c r="O22" s="698"/>
      <c r="P22" s="698"/>
      <c r="Q22" s="698"/>
    </row>
    <row r="23" spans="1:17" ht="15.75" hidden="1">
      <c r="B23" s="698"/>
      <c r="C23" s="698"/>
      <c r="D23" s="698"/>
      <c r="E23" s="698"/>
      <c r="F23" s="698"/>
      <c r="G23" s="698"/>
      <c r="H23" s="698"/>
      <c r="I23" s="698"/>
      <c r="J23" s="698"/>
      <c r="K23" s="698"/>
      <c r="L23" s="698"/>
      <c r="M23" s="698"/>
      <c r="N23" s="698"/>
      <c r="O23" s="698"/>
      <c r="P23" s="698"/>
      <c r="Q23" s="698"/>
    </row>
    <row r="24" spans="1:17" ht="15.75" hidden="1">
      <c r="B24" s="698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8"/>
      <c r="N24" s="698"/>
      <c r="O24" s="698"/>
      <c r="P24" s="698"/>
      <c r="Q24" s="698"/>
    </row>
    <row r="25" spans="1:17" ht="15.75" hidden="1">
      <c r="B25" s="698"/>
      <c r="C25" s="698"/>
      <c r="D25" s="698"/>
      <c r="E25" s="698"/>
      <c r="F25" s="698"/>
      <c r="G25" s="698"/>
      <c r="H25" s="698"/>
      <c r="I25" s="698"/>
      <c r="J25" s="698"/>
      <c r="K25" s="698"/>
      <c r="L25" s="698"/>
      <c r="M25" s="698"/>
      <c r="N25" s="698"/>
      <c r="O25" s="698"/>
      <c r="P25" s="698"/>
      <c r="Q25" s="698"/>
    </row>
    <row r="26" spans="1:17" ht="15.75" hidden="1"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8"/>
      <c r="O26" s="698"/>
      <c r="P26" s="698"/>
      <c r="Q26" s="698"/>
    </row>
    <row r="27" spans="1:17" ht="15.75" hidden="1">
      <c r="A27" s="698"/>
      <c r="B27" s="698"/>
      <c r="C27" s="698"/>
      <c r="D27" s="698"/>
      <c r="E27" s="698"/>
      <c r="F27" s="698"/>
      <c r="G27" s="698"/>
      <c r="H27" s="698"/>
      <c r="I27" s="698"/>
      <c r="J27" s="698"/>
      <c r="K27" s="698"/>
      <c r="L27" s="698"/>
      <c r="M27" s="698"/>
      <c r="N27" s="698"/>
      <c r="O27" s="698"/>
      <c r="P27" s="698"/>
      <c r="Q27" s="698"/>
    </row>
    <row r="28" spans="1:17" ht="15.75" hidden="1">
      <c r="A28" s="698"/>
      <c r="B28" s="698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8"/>
      <c r="N28" s="698"/>
      <c r="O28" s="698"/>
      <c r="P28" s="698"/>
      <c r="Q28" s="698"/>
    </row>
    <row r="29" spans="1:17" ht="15.75" hidden="1">
      <c r="A29" s="698"/>
      <c r="B29" s="698"/>
      <c r="C29" s="698"/>
      <c r="D29" s="698"/>
      <c r="E29" s="698"/>
      <c r="F29" s="698"/>
      <c r="H29" s="698"/>
      <c r="I29" s="698"/>
      <c r="J29" s="698"/>
      <c r="K29" s="698"/>
      <c r="L29" s="698"/>
      <c r="M29" s="698"/>
      <c r="N29" s="698"/>
      <c r="O29" s="698"/>
      <c r="P29" s="698"/>
      <c r="Q29" s="698"/>
    </row>
    <row r="30" spans="1:17" ht="15.75">
      <c r="A30" s="698"/>
      <c r="B30" s="698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698"/>
      <c r="O30" s="698"/>
      <c r="P30" s="698"/>
      <c r="Q30" s="698"/>
    </row>
    <row r="31" spans="1:17" ht="20.100000000000001" customHeight="1"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</row>
    <row r="32" spans="1:17" ht="15.75">
      <c r="A32" s="705"/>
      <c r="B32" s="706"/>
    </row>
    <row r="33" spans="1:17" ht="20.100000000000001" customHeight="1">
      <c r="B33" s="698"/>
      <c r="C33" s="698"/>
      <c r="D33" s="698"/>
      <c r="E33" s="698"/>
      <c r="F33" s="698"/>
      <c r="G33" s="698"/>
      <c r="H33" s="698"/>
      <c r="I33" s="698"/>
      <c r="J33" s="698"/>
      <c r="K33" s="698"/>
      <c r="L33" s="698"/>
      <c r="M33" s="698"/>
      <c r="N33" s="698"/>
      <c r="O33" s="698"/>
      <c r="P33" s="698"/>
      <c r="Q33" s="698"/>
    </row>
    <row r="34" spans="1:17" ht="20.100000000000001" customHeight="1">
      <c r="B34" s="698"/>
      <c r="C34" s="698"/>
      <c r="D34" s="698"/>
      <c r="E34" s="698"/>
      <c r="F34" s="698"/>
      <c r="G34" s="698"/>
      <c r="H34" s="698"/>
      <c r="I34" s="698"/>
      <c r="J34" s="698"/>
      <c r="K34" s="698"/>
      <c r="L34" s="698"/>
      <c r="M34" s="698"/>
      <c r="N34" s="698"/>
      <c r="O34" s="698"/>
      <c r="P34" s="698"/>
      <c r="Q34" s="698"/>
    </row>
    <row r="35" spans="1:17" ht="20.100000000000001" customHeight="1"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</row>
    <row r="36" spans="1:17" ht="20.100000000000001" customHeight="1">
      <c r="B36" s="698"/>
      <c r="C36" s="698"/>
      <c r="D36" s="698"/>
      <c r="E36" s="698"/>
      <c r="F36" s="698"/>
      <c r="G36" s="698"/>
      <c r="H36" s="698"/>
      <c r="I36" s="698"/>
      <c r="J36" s="698"/>
      <c r="K36" s="698"/>
      <c r="L36" s="698"/>
      <c r="M36" s="698"/>
      <c r="N36" s="698"/>
      <c r="O36" s="698"/>
      <c r="P36" s="698"/>
      <c r="Q36" s="698"/>
    </row>
    <row r="37" spans="1:17" ht="20.100000000000001" customHeight="1">
      <c r="B37" s="698"/>
      <c r="C37" s="698"/>
      <c r="D37" s="698"/>
      <c r="E37" s="698"/>
      <c r="F37" s="698"/>
      <c r="G37" s="698"/>
      <c r="H37" s="698"/>
      <c r="I37" s="698"/>
      <c r="J37" s="698"/>
      <c r="K37" s="698"/>
      <c r="L37" s="698"/>
      <c r="M37" s="698"/>
      <c r="N37" s="698"/>
      <c r="O37" s="698"/>
      <c r="P37" s="698"/>
      <c r="Q37" s="698"/>
    </row>
    <row r="38" spans="1:17" ht="20.100000000000001" customHeight="1">
      <c r="B38" s="698"/>
      <c r="C38" s="698"/>
      <c r="D38" s="698"/>
      <c r="E38" s="698"/>
      <c r="F38" s="698"/>
      <c r="G38" s="698"/>
      <c r="H38" s="698"/>
      <c r="I38" s="698"/>
      <c r="J38" s="698"/>
      <c r="K38" s="698"/>
      <c r="L38" s="698"/>
      <c r="M38" s="698"/>
      <c r="N38" s="698"/>
      <c r="O38" s="698"/>
      <c r="P38" s="698"/>
      <c r="Q38" s="698"/>
    </row>
    <row r="39" spans="1:17" ht="15.75">
      <c r="A39" s="698"/>
      <c r="B39" s="698"/>
      <c r="C39" s="698"/>
      <c r="D39" s="698"/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</row>
    <row r="40" spans="1:17" ht="15.75">
      <c r="A40" s="698"/>
      <c r="B40" s="698"/>
      <c r="C40" s="698"/>
      <c r="D40" s="698"/>
      <c r="E40" s="698"/>
      <c r="F40" s="698"/>
      <c r="G40" s="698"/>
      <c r="H40" s="698"/>
      <c r="I40" s="698"/>
      <c r="J40" s="698"/>
      <c r="K40" s="698"/>
      <c r="L40" s="698"/>
      <c r="M40" s="698"/>
      <c r="N40" s="698"/>
      <c r="O40" s="698"/>
      <c r="P40" s="698"/>
      <c r="Q40" s="698"/>
    </row>
    <row r="41" spans="1:17" ht="15.75">
      <c r="A41" s="698"/>
      <c r="B41" s="698"/>
      <c r="C41" s="698"/>
      <c r="D41" s="698"/>
      <c r="E41" s="698"/>
      <c r="F41" s="698"/>
      <c r="G41" s="698"/>
      <c r="H41" s="698"/>
      <c r="I41" s="698"/>
      <c r="J41" s="698"/>
      <c r="K41" s="698"/>
      <c r="L41" s="698"/>
      <c r="M41" s="698"/>
      <c r="N41" s="698"/>
      <c r="O41" s="698"/>
      <c r="P41" s="698"/>
      <c r="Q41" s="698"/>
    </row>
    <row r="42" spans="1:17" ht="15.75">
      <c r="A42" s="705"/>
      <c r="B42" s="698"/>
      <c r="C42" s="698"/>
      <c r="D42" s="698"/>
      <c r="E42" s="698"/>
      <c r="F42" s="698"/>
      <c r="G42" s="698"/>
      <c r="H42" s="698"/>
      <c r="I42" s="698"/>
      <c r="J42" s="698"/>
      <c r="K42" s="698"/>
      <c r="L42" s="698"/>
      <c r="M42" s="698"/>
      <c r="N42" s="698"/>
      <c r="O42" s="698"/>
      <c r="P42" s="698"/>
      <c r="Q42" s="698"/>
    </row>
    <row r="43" spans="1:17" ht="15.75">
      <c r="E43" s="698"/>
      <c r="F43" s="698"/>
      <c r="G43" s="698"/>
      <c r="H43" s="698"/>
      <c r="I43" s="698"/>
      <c r="J43" s="698"/>
      <c r="K43" s="698"/>
      <c r="L43" s="698"/>
      <c r="M43" s="698"/>
      <c r="N43" s="698"/>
      <c r="O43" s="698"/>
      <c r="P43" s="698"/>
      <c r="Q43" s="698"/>
    </row>
    <row r="44" spans="1:17" ht="15.75">
      <c r="E44" s="698"/>
      <c r="F44" s="698"/>
      <c r="G44" s="698"/>
      <c r="H44" s="698"/>
      <c r="I44" s="698"/>
      <c r="J44" s="698"/>
      <c r="K44" s="698"/>
      <c r="L44" s="698"/>
      <c r="M44" s="698"/>
      <c r="N44" s="698"/>
      <c r="O44" s="698"/>
      <c r="P44" s="698"/>
      <c r="Q44" s="69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showZeros="0" rightToLeft="1" zoomScaleNormal="100" workbookViewId="0">
      <pane xSplit="1" ySplit="4" topLeftCell="B14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.75"/>
  <cols>
    <col min="1" max="1" width="15.85546875" style="134" customWidth="1"/>
    <col min="2" max="3" width="12.7109375" style="135" customWidth="1"/>
    <col min="4" max="4" width="11.140625" style="135" customWidth="1"/>
    <col min="5" max="8" width="12.7109375" style="135" hidden="1" customWidth="1"/>
    <col min="9" max="9" width="11.140625" style="135" hidden="1" customWidth="1"/>
    <col min="10" max="10" width="12.7109375" style="129" customWidth="1"/>
    <col min="11" max="11" width="10.85546875" style="135" customWidth="1"/>
    <col min="12" max="12" width="11.140625" style="135" customWidth="1"/>
    <col min="13" max="13" width="12.5703125" style="135" customWidth="1"/>
    <col min="14" max="14" width="12.7109375" style="129" hidden="1" customWidth="1"/>
    <col min="15" max="17" width="12.140625" style="135" hidden="1" customWidth="1"/>
    <col min="18" max="18" width="10.28515625" style="135" customWidth="1"/>
    <col min="19" max="19" width="10.85546875" style="135" customWidth="1"/>
    <col min="20" max="20" width="11.28515625" style="135" customWidth="1"/>
    <col min="21" max="21" width="10" style="135" customWidth="1"/>
    <col min="22" max="22" width="9.140625" style="135" customWidth="1"/>
    <col min="23" max="23" width="10" style="135" customWidth="1"/>
    <col min="24" max="24" width="11.140625" style="135" customWidth="1"/>
    <col min="25" max="25" width="13.42578125" style="132" customWidth="1"/>
    <col min="26" max="26" width="11.85546875" style="132" customWidth="1"/>
    <col min="27" max="27" width="10" style="132" customWidth="1"/>
    <col min="28" max="28" width="9.140625" style="132"/>
    <col min="29" max="29" width="10.140625" style="132" customWidth="1"/>
    <col min="30" max="16384" width="9.140625" style="132"/>
  </cols>
  <sheetData>
    <row r="1" spans="1:25" s="117" customFormat="1" ht="23.25">
      <c r="A1" s="775" t="s">
        <v>189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s="117" customFormat="1" ht="23.25">
      <c r="A2" s="118"/>
      <c r="B2" s="119"/>
      <c r="C2" s="119"/>
      <c r="D2" s="119"/>
      <c r="E2" s="119"/>
      <c r="F2" s="119"/>
      <c r="G2" s="119"/>
      <c r="H2" s="119"/>
      <c r="I2" s="119"/>
      <c r="J2" s="120"/>
      <c r="K2" s="119"/>
      <c r="L2" s="119"/>
      <c r="M2" s="119"/>
      <c r="N2" s="120"/>
      <c r="O2" s="119"/>
      <c r="P2" s="119"/>
      <c r="Q2" s="119"/>
      <c r="R2" s="119"/>
      <c r="S2" s="119"/>
      <c r="T2" s="119"/>
      <c r="U2" s="119"/>
      <c r="V2" s="119"/>
      <c r="W2" s="119"/>
      <c r="X2" s="119"/>
    </row>
    <row r="3" spans="1:25" s="124" customFormat="1">
      <c r="A3" s="121"/>
      <c r="B3" s="790" t="s">
        <v>190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122"/>
      <c r="Q3" s="122"/>
      <c r="R3" s="790" t="s">
        <v>191</v>
      </c>
      <c r="S3" s="790"/>
      <c r="T3" s="790"/>
      <c r="U3" s="791"/>
      <c r="V3" s="791"/>
      <c r="W3" s="790"/>
      <c r="X3" s="790"/>
    </row>
    <row r="4" spans="1:25" s="106" customFormat="1" ht="75">
      <c r="A4" s="121" t="s">
        <v>192</v>
      </c>
      <c r="B4" s="121" t="s">
        <v>193</v>
      </c>
      <c r="C4" s="121" t="s">
        <v>4</v>
      </c>
      <c r="D4" s="121" t="s">
        <v>194</v>
      </c>
      <c r="E4" s="121" t="s">
        <v>212</v>
      </c>
      <c r="F4" s="51" t="s">
        <v>7</v>
      </c>
      <c r="G4" s="51" t="s">
        <v>8</v>
      </c>
      <c r="H4" s="51" t="s">
        <v>9</v>
      </c>
      <c r="I4" s="51" t="s">
        <v>10</v>
      </c>
      <c r="J4" s="85" t="s">
        <v>11</v>
      </c>
      <c r="K4" s="21" t="s">
        <v>414</v>
      </c>
      <c r="L4" s="121" t="s">
        <v>415</v>
      </c>
      <c r="M4" s="121" t="s">
        <v>416</v>
      </c>
      <c r="N4" s="85" t="s">
        <v>195</v>
      </c>
      <c r="O4" s="51" t="s">
        <v>417</v>
      </c>
      <c r="P4" s="51" t="s">
        <v>418</v>
      </c>
      <c r="Q4" s="51" t="s">
        <v>419</v>
      </c>
      <c r="R4" s="51" t="s">
        <v>420</v>
      </c>
      <c r="S4" s="121" t="s">
        <v>421</v>
      </c>
      <c r="T4" s="125" t="s">
        <v>13</v>
      </c>
      <c r="U4" s="121" t="s">
        <v>14</v>
      </c>
      <c r="V4" s="92" t="s">
        <v>15</v>
      </c>
      <c r="W4" s="92" t="s">
        <v>914</v>
      </c>
      <c r="X4" s="121" t="s">
        <v>184</v>
      </c>
      <c r="Y4" s="60"/>
    </row>
    <row r="5" spans="1:25" s="106" customFormat="1" ht="27" customHeight="1">
      <c r="A5" s="768" t="s">
        <v>196</v>
      </c>
      <c r="B5" s="28">
        <f>'הנדסה '!D$103</f>
        <v>726771115</v>
      </c>
      <c r="C5" s="28">
        <f>'הנדסה '!E$103</f>
        <v>597414769</v>
      </c>
      <c r="D5" s="28">
        <f>'הנדסה '!F$103</f>
        <v>129356346</v>
      </c>
      <c r="E5" s="28">
        <f>'הנדסה '!G$103</f>
        <v>347647694</v>
      </c>
      <c r="F5" s="28">
        <f>'הנדסה '!H$103</f>
        <v>257406622.65000007</v>
      </c>
      <c r="G5" s="28">
        <f>'הנדסה '!I$103</f>
        <v>36404399.939999998</v>
      </c>
      <c r="H5" s="28">
        <f>'הנדסה '!J$103</f>
        <v>16005031.029999999</v>
      </c>
      <c r="I5" s="28">
        <f>'הנדסה '!K$103</f>
        <v>52409430.969999999</v>
      </c>
      <c r="J5" s="28">
        <f>'הנדסה '!L$103</f>
        <v>309816053.62000012</v>
      </c>
      <c r="K5" s="28">
        <f>'הנדסה '!M$103</f>
        <v>22043640.379999999</v>
      </c>
      <c r="L5" s="28">
        <f>'הנדסה '!N$103</f>
        <v>32930000</v>
      </c>
      <c r="M5" s="28">
        <f>'הנדסה '!O$103</f>
        <v>361981421</v>
      </c>
      <c r="N5" s="28">
        <f>'הנדסה '!P$103</f>
        <v>37831640.380000003</v>
      </c>
      <c r="O5" s="28">
        <f>'הנדסה '!Q$103</f>
        <v>0</v>
      </c>
      <c r="P5" s="28">
        <f>'הנדסה '!R$103</f>
        <v>0</v>
      </c>
      <c r="Q5" s="28">
        <f>'הנדסה '!S$103</f>
        <v>0</v>
      </c>
      <c r="R5" s="28">
        <f>'הנדסה '!T$103</f>
        <v>15788000</v>
      </c>
      <c r="S5" s="28">
        <f>'הנדסה '!U$103</f>
        <v>17142000</v>
      </c>
      <c r="T5" s="28">
        <f>'הנדסה '!V$103</f>
        <v>16653173</v>
      </c>
      <c r="U5" s="28">
        <f>'הנדסה '!W$103</f>
        <v>0</v>
      </c>
      <c r="V5" s="28">
        <f>'הנדסה '!X$103</f>
        <v>0</v>
      </c>
      <c r="W5" s="28">
        <f>'הנדסה '!Y$103</f>
        <v>0</v>
      </c>
      <c r="X5" s="28">
        <f>'הנדסה '!Z$103</f>
        <v>488827</v>
      </c>
      <c r="Y5" s="63"/>
    </row>
    <row r="6" spans="1:25" s="129" customFormat="1" ht="27" customHeight="1">
      <c r="A6" s="768" t="s">
        <v>197</v>
      </c>
      <c r="B6" s="127">
        <f>'החברה לפיתוח'!D$119</f>
        <v>2140043405</v>
      </c>
      <c r="C6" s="127">
        <f>'החברה לפיתוח'!E$119</f>
        <v>1862963405</v>
      </c>
      <c r="D6" s="127">
        <f>'החברה לפיתוח'!F$119</f>
        <v>277080000</v>
      </c>
      <c r="E6" s="127">
        <f>'החברה לפיתוח'!G$119</f>
        <v>851682826</v>
      </c>
      <c r="F6" s="127">
        <f>'החברה לפיתוח'!H$119</f>
        <v>598935415.00999999</v>
      </c>
      <c r="G6" s="127">
        <f>'החברה לפיתוח'!I$119</f>
        <v>2323301.5700000003</v>
      </c>
      <c r="H6" s="127">
        <f>'החברה לפיתוח'!J$119</f>
        <v>85421661.919999972</v>
      </c>
      <c r="I6" s="127">
        <f>'החברה לפיתוח'!K$119</f>
        <v>87744963.489999965</v>
      </c>
      <c r="J6" s="127">
        <f>'החברה לפיתוח'!L$119</f>
        <v>686680378.50000024</v>
      </c>
      <c r="K6" s="127">
        <f>'החברה לפיתוח'!M$119</f>
        <v>194957060.49999997</v>
      </c>
      <c r="L6" s="127">
        <f>'החברה לפיתוח'!N$119</f>
        <v>397780568</v>
      </c>
      <c r="M6" s="127">
        <f>'החברה לפיתוח'!O$119</f>
        <v>860625398</v>
      </c>
      <c r="N6" s="127">
        <f>'החברה לפיתוח'!P$119</f>
        <v>165002447.49999997</v>
      </c>
      <c r="O6" s="127">
        <f>'החברה לפיתוח'!Q$119</f>
        <v>32554613</v>
      </c>
      <c r="P6" s="127">
        <f>'החברה לפיתוח'!R$119</f>
        <v>-1200000</v>
      </c>
      <c r="Q6" s="127">
        <f>'החברה לפיתוח'!S$119</f>
        <v>31354613</v>
      </c>
      <c r="R6" s="127">
        <f>'החברה לפיתוח'!T$119</f>
        <v>1400000</v>
      </c>
      <c r="S6" s="127">
        <f>'החברה לפיתוח'!U$119</f>
        <v>396380568</v>
      </c>
      <c r="T6" s="127">
        <f>'החברה לפיתוח'!V$119</f>
        <v>158809940.93023255</v>
      </c>
      <c r="U6" s="127">
        <f>'החברה לפיתוח'!W$119</f>
        <v>0</v>
      </c>
      <c r="V6" s="127">
        <f>'החברה לפיתוח'!X$119</f>
        <v>1250000</v>
      </c>
      <c r="W6" s="127">
        <f>'החברה לפיתוח'!Y$119</f>
        <v>48962500</v>
      </c>
      <c r="X6" s="127">
        <f>'החברה לפיתוח'!Z$119</f>
        <v>187358127.06976745</v>
      </c>
      <c r="Y6" s="128"/>
    </row>
    <row r="7" spans="1:25" s="129" customFormat="1" ht="27" customHeight="1">
      <c r="A7" s="769" t="s">
        <v>198</v>
      </c>
      <c r="B7" s="127">
        <f>'תבל  '!D$77</f>
        <v>633904945</v>
      </c>
      <c r="C7" s="127">
        <f>'תבל  '!E$77</f>
        <v>603734945</v>
      </c>
      <c r="D7" s="127">
        <f>'תבל  '!F$77</f>
        <v>30170000</v>
      </c>
      <c r="E7" s="127">
        <f>'תבל  '!G$77</f>
        <v>462598645</v>
      </c>
      <c r="F7" s="127">
        <f>'תבל  '!H$77</f>
        <v>388788159.40999997</v>
      </c>
      <c r="G7" s="127">
        <f>'תבל  '!I$77</f>
        <v>26316156.420000006</v>
      </c>
      <c r="H7" s="127">
        <f>'תבל  '!J$77</f>
        <v>24144939.899999999</v>
      </c>
      <c r="I7" s="127">
        <f>'תבל  '!K$77</f>
        <v>50461096.32</v>
      </c>
      <c r="J7" s="127">
        <f>'תבל  '!L$77</f>
        <v>439249255.73000002</v>
      </c>
      <c r="K7" s="127">
        <f>'תבל  '!M$77</f>
        <v>17030689.269999973</v>
      </c>
      <c r="L7" s="127">
        <f>'תבל  '!N$77</f>
        <v>56791300</v>
      </c>
      <c r="M7" s="127">
        <f>'תבל  '!O$77</f>
        <v>120833700</v>
      </c>
      <c r="N7" s="127">
        <f>'תבל  '!P$77</f>
        <v>23349389.269999973</v>
      </c>
      <c r="O7" s="127">
        <f>'תבל  '!Q$77</f>
        <v>930000</v>
      </c>
      <c r="P7" s="127">
        <f>'תבל  '!R$77</f>
        <v>0</v>
      </c>
      <c r="Q7" s="127">
        <f>'תבל  '!S$77</f>
        <v>930000</v>
      </c>
      <c r="R7" s="127">
        <f>'תבל  '!T$77</f>
        <v>7248700</v>
      </c>
      <c r="S7" s="127">
        <f>'תבל  '!U$77</f>
        <v>49542600</v>
      </c>
      <c r="T7" s="127">
        <f>'תבל  '!V$77</f>
        <v>25611300</v>
      </c>
      <c r="U7" s="127">
        <f>'תבל  '!W$77</f>
        <v>12054000</v>
      </c>
      <c r="V7" s="127">
        <f>'תבל  '!X$77</f>
        <v>0</v>
      </c>
      <c r="W7" s="127">
        <f>'תבל  '!Y$77</f>
        <v>0</v>
      </c>
      <c r="X7" s="127">
        <f>'תבל  '!Z$77</f>
        <v>11877300</v>
      </c>
    </row>
    <row r="8" spans="1:25" s="129" customFormat="1" ht="27" customHeight="1">
      <c r="A8" s="21" t="s">
        <v>332</v>
      </c>
      <c r="B8" s="127">
        <f>'ביטחון פיקוח וסדר ציבורי'!D$11</f>
        <v>2975000</v>
      </c>
      <c r="C8" s="127">
        <f>'ביטחון פיקוח וסדר ציבורי'!E$11</f>
        <v>2275000</v>
      </c>
      <c r="D8" s="127">
        <f>'ביטחון פיקוח וסדר ציבורי'!F$11</f>
        <v>700000</v>
      </c>
      <c r="E8" s="127">
        <f>'ביטחון פיקוח וסדר ציבורי'!G$11</f>
        <v>1625000</v>
      </c>
      <c r="F8" s="127">
        <f>'ביטחון פיקוח וסדר ציבורי'!H$11</f>
        <v>425322.8</v>
      </c>
      <c r="G8" s="127">
        <f>'ביטחון פיקוח וסדר ציבורי'!I$11</f>
        <v>0</v>
      </c>
      <c r="H8" s="127">
        <f>'ביטחון פיקוח וסדר ציבורי'!J$11</f>
        <v>68211</v>
      </c>
      <c r="I8" s="127">
        <f>'ביטחון פיקוח וסדר ציבורי'!K$11</f>
        <v>68211</v>
      </c>
      <c r="J8" s="127">
        <f>'ביטחון פיקוח וסדר ציבורי'!L$11</f>
        <v>493533.8</v>
      </c>
      <c r="K8" s="127">
        <f>'ביטחון פיקוח וסדר ציבורי'!M$11</f>
        <v>1131466.2</v>
      </c>
      <c r="L8" s="127">
        <f>'ביטחון פיקוח וסדר ציבורי'!N$11</f>
        <v>900000</v>
      </c>
      <c r="M8" s="127">
        <f>'ביטחון פיקוח וסדר ציבורי'!O$11</f>
        <v>450000</v>
      </c>
      <c r="N8" s="127">
        <f>'ביטחון פיקוח וסדר ציבורי'!P$11</f>
        <v>1131466.2</v>
      </c>
      <c r="O8" s="127">
        <f>'ביטחון פיקוח וסדר ציבורי'!Q$11</f>
        <v>0</v>
      </c>
      <c r="P8" s="127">
        <f>'ביטחון פיקוח וסדר ציבורי'!R$11</f>
        <v>0</v>
      </c>
      <c r="Q8" s="127">
        <f>'ביטחון פיקוח וסדר ציבורי'!S$11</f>
        <v>0</v>
      </c>
      <c r="R8" s="127">
        <f>'ביטחון פיקוח וסדר ציבורי'!T$11</f>
        <v>0</v>
      </c>
      <c r="S8" s="127">
        <f>'ביטחון פיקוח וסדר ציבורי'!U$11</f>
        <v>900000</v>
      </c>
      <c r="T8" s="127">
        <f>'ביטחון פיקוח וסדר ציבורי'!V$11</f>
        <v>0</v>
      </c>
      <c r="U8" s="127">
        <f>'ביטחון פיקוח וסדר ציבורי'!W$11</f>
        <v>900000</v>
      </c>
      <c r="V8" s="127">
        <f>'ביטחון פיקוח וסדר ציבורי'!X$11</f>
        <v>0</v>
      </c>
      <c r="W8" s="127">
        <f>'ביטחון פיקוח וסדר ציבורי'!Y$11</f>
        <v>0</v>
      </c>
      <c r="X8" s="127">
        <f>'ביטחון פיקוח וסדר ציבורי'!Z$11</f>
        <v>0</v>
      </c>
    </row>
    <row r="9" spans="1:25" s="129" customFormat="1" ht="27" customHeight="1">
      <c r="A9" s="769" t="s">
        <v>508</v>
      </c>
      <c r="B9" s="127">
        <f>חינוך!D$25</f>
        <v>11125500</v>
      </c>
      <c r="C9" s="127">
        <f>חינוך!E$25</f>
        <v>7610500</v>
      </c>
      <c r="D9" s="127">
        <f>חינוך!F$25</f>
        <v>3515000</v>
      </c>
      <c r="E9" s="127">
        <f>חינוך!G$25</f>
        <v>6570363</v>
      </c>
      <c r="F9" s="127">
        <f>חינוך!H$25</f>
        <v>3919803.55</v>
      </c>
      <c r="G9" s="127">
        <f>חינוך!I$25</f>
        <v>0</v>
      </c>
      <c r="H9" s="127">
        <f>חינוך!J$25</f>
        <v>726080</v>
      </c>
      <c r="I9" s="127">
        <f>חינוך!K$25</f>
        <v>726080</v>
      </c>
      <c r="J9" s="127">
        <f>חינוך!L$25</f>
        <v>4645883.55</v>
      </c>
      <c r="K9" s="127">
        <f>חינוך!M$25</f>
        <v>1924479.4500000002</v>
      </c>
      <c r="L9" s="127">
        <f>חינוך!N$25</f>
        <v>2580137</v>
      </c>
      <c r="M9" s="127">
        <f>חינוך!O$25</f>
        <v>1975000</v>
      </c>
      <c r="N9" s="127">
        <f>חינוך!P$25</f>
        <v>1924479.4500000002</v>
      </c>
      <c r="O9" s="127">
        <f>חינוך!Q$25</f>
        <v>0</v>
      </c>
      <c r="P9" s="127">
        <f>חינוך!R$25</f>
        <v>0</v>
      </c>
      <c r="Q9" s="127">
        <f>חינוך!S$25</f>
        <v>0</v>
      </c>
      <c r="R9" s="127">
        <f>חינוך!T$25</f>
        <v>0</v>
      </c>
      <c r="S9" s="127">
        <f>חינוך!U$25</f>
        <v>2580137</v>
      </c>
      <c r="T9" s="127">
        <f>חינוך!V$25</f>
        <v>0</v>
      </c>
      <c r="U9" s="127">
        <f>חינוך!W$25</f>
        <v>2515000</v>
      </c>
      <c r="V9" s="127">
        <f>חינוך!X$25</f>
        <v>0</v>
      </c>
      <c r="W9" s="127">
        <f>חינוך!Y$25</f>
        <v>0</v>
      </c>
      <c r="X9" s="127">
        <f>חינוך!Z$25</f>
        <v>65137</v>
      </c>
    </row>
    <row r="10" spans="1:25" s="129" customFormat="1" ht="27" customHeight="1">
      <c r="A10" s="769" t="s">
        <v>509</v>
      </c>
      <c r="B10" s="127">
        <f>' תנוס '!D$18</f>
        <v>12098000</v>
      </c>
      <c r="C10" s="127">
        <f>' תנוס '!E$18</f>
        <v>10635000</v>
      </c>
      <c r="D10" s="127">
        <f>' תנוס '!F$18</f>
        <v>1463000</v>
      </c>
      <c r="E10" s="127">
        <f>' תנוס '!G$18</f>
        <v>8548000</v>
      </c>
      <c r="F10" s="127">
        <f>' תנוס '!H$18</f>
        <v>6584024.6899999995</v>
      </c>
      <c r="G10" s="127">
        <f>' תנוס '!I$18</f>
        <v>0</v>
      </c>
      <c r="H10" s="127">
        <f>' תנוס '!J$18</f>
        <v>898293.11</v>
      </c>
      <c r="I10" s="127">
        <f>' תנוס '!K$18</f>
        <v>898293.11</v>
      </c>
      <c r="J10" s="127">
        <f>' תנוס '!L$18</f>
        <v>7482317.799999998</v>
      </c>
      <c r="K10" s="127">
        <f>' תנוס '!M$18</f>
        <v>1065682.2</v>
      </c>
      <c r="L10" s="127">
        <f>' תנוס '!N$18</f>
        <v>1480000</v>
      </c>
      <c r="M10" s="127">
        <f>' תנוס '!O$18</f>
        <v>2070000</v>
      </c>
      <c r="N10" s="127">
        <f>' תנוס '!P$18</f>
        <v>1065682.2</v>
      </c>
      <c r="O10" s="127">
        <f>' תנוס '!Q$18</f>
        <v>0</v>
      </c>
      <c r="P10" s="127">
        <f>' תנוס '!R$18</f>
        <v>0</v>
      </c>
      <c r="Q10" s="127">
        <f>' תנוס '!S$18</f>
        <v>0</v>
      </c>
      <c r="R10" s="127">
        <f>' תנוס '!T$18</f>
        <v>0</v>
      </c>
      <c r="S10" s="127">
        <f>' תנוס '!U$18</f>
        <v>1480000</v>
      </c>
      <c r="T10" s="127">
        <f>' תנוס '!V$18</f>
        <v>0</v>
      </c>
      <c r="U10" s="127">
        <f>' תנוס '!W$18</f>
        <v>1480000</v>
      </c>
      <c r="V10" s="127">
        <f>' תנוס '!X$18</f>
        <v>0</v>
      </c>
      <c r="W10" s="127">
        <f>' תנוס '!Y$18</f>
        <v>0</v>
      </c>
      <c r="X10" s="127">
        <f>' תנוס '!Z$18</f>
        <v>0</v>
      </c>
    </row>
    <row r="11" spans="1:25" s="129" customFormat="1" ht="27" customHeight="1">
      <c r="A11" s="769" t="s">
        <v>200</v>
      </c>
      <c r="B11" s="127">
        <f>'שאיפה '!D$36</f>
        <v>146818000</v>
      </c>
      <c r="C11" s="127">
        <f>'שאיפה '!E$36</f>
        <v>123300000</v>
      </c>
      <c r="D11" s="127">
        <f>'שאיפה '!F$36</f>
        <v>23518000</v>
      </c>
      <c r="E11" s="127">
        <f>'שאיפה '!G$36</f>
        <v>88374320</v>
      </c>
      <c r="F11" s="127">
        <f>'שאיפה '!H$36</f>
        <v>76008641.620000005</v>
      </c>
      <c r="G11" s="127">
        <f>'שאיפה '!I$36</f>
        <v>0</v>
      </c>
      <c r="H11" s="127">
        <f>'שאיפה '!J$36</f>
        <v>9152954.5499999989</v>
      </c>
      <c r="I11" s="127">
        <f>'שאיפה '!K$36</f>
        <v>9152954.5499999989</v>
      </c>
      <c r="J11" s="127">
        <f>'שאיפה '!L$36</f>
        <v>85161596.170000002</v>
      </c>
      <c r="K11" s="127">
        <f>'שאיפה '!M$36</f>
        <v>4292723.83</v>
      </c>
      <c r="L11" s="127">
        <f>'שאיפה '!N$36</f>
        <v>20598000</v>
      </c>
      <c r="M11" s="127">
        <f>'שאיפה '!O$36</f>
        <v>36765680</v>
      </c>
      <c r="N11" s="127">
        <f>'שאיפה '!P$36</f>
        <v>3212723.8299999996</v>
      </c>
      <c r="O11" s="127">
        <f>'שאיפה '!Q$36</f>
        <v>200000</v>
      </c>
      <c r="P11" s="127">
        <f>'שאיפה '!R$36</f>
        <v>980000</v>
      </c>
      <c r="Q11" s="127">
        <f>'שאיפה '!S$36</f>
        <v>1180000</v>
      </c>
      <c r="R11" s="127">
        <f>'שאיפה '!T$36</f>
        <v>100000</v>
      </c>
      <c r="S11" s="127">
        <f>'שאיפה '!U$36</f>
        <v>20498000</v>
      </c>
      <c r="T11" s="127">
        <f>'שאיפה '!V$36</f>
        <v>15873000</v>
      </c>
      <c r="U11" s="127">
        <f>'שאיפה '!W$36</f>
        <v>4425000</v>
      </c>
      <c r="V11" s="127">
        <f>'שאיפה '!X$36</f>
        <v>0</v>
      </c>
      <c r="W11" s="127">
        <f>'שאיפה '!Y$36</f>
        <v>0</v>
      </c>
      <c r="X11" s="127">
        <f>'שאיפה '!Z$36</f>
        <v>200000</v>
      </c>
    </row>
    <row r="12" spans="1:25" s="129" customFormat="1" ht="27" customHeight="1">
      <c r="A12" s="769" t="s">
        <v>510</v>
      </c>
      <c r="B12" s="127">
        <f>'רשות החופים'!D$39</f>
        <v>13213000</v>
      </c>
      <c r="C12" s="127">
        <f>'רשות החופים'!E$39</f>
        <v>9209000</v>
      </c>
      <c r="D12" s="127">
        <f>'רשות החופים'!F$39</f>
        <v>4004000</v>
      </c>
      <c r="E12" s="127">
        <f>'רשות החופים'!G$39</f>
        <v>7179000</v>
      </c>
      <c r="F12" s="127">
        <f>'רשות החופים'!H$39</f>
        <v>6083098.8599999994</v>
      </c>
      <c r="G12" s="127">
        <f>'רשות החופים'!I$39</f>
        <v>0</v>
      </c>
      <c r="H12" s="127">
        <f>'רשות החופים'!J$39</f>
        <v>413078.86</v>
      </c>
      <c r="I12" s="127">
        <f>'רשות החופים'!K$39</f>
        <v>413078.86</v>
      </c>
      <c r="J12" s="127">
        <f>'רשות החופים'!L$39</f>
        <v>6496177.7199999997</v>
      </c>
      <c r="K12" s="127">
        <f>'רשות החופים'!M$39</f>
        <v>682822.2799999998</v>
      </c>
      <c r="L12" s="127">
        <f>'רשות החופים'!N$39</f>
        <v>2734000</v>
      </c>
      <c r="M12" s="127">
        <f>'רשות החופים'!O$39</f>
        <v>3300000</v>
      </c>
      <c r="N12" s="127">
        <f>'רשות החופים'!P$39</f>
        <v>682822.2799999998</v>
      </c>
      <c r="O12" s="127">
        <f>'רשות החופים'!Q$39</f>
        <v>0</v>
      </c>
      <c r="P12" s="127">
        <f>'רשות החופים'!R$39</f>
        <v>0</v>
      </c>
      <c r="Q12" s="127">
        <f>'רשות החופים'!S$39</f>
        <v>0</v>
      </c>
      <c r="R12" s="127">
        <f>'רשות החופים'!T$39</f>
        <v>0</v>
      </c>
      <c r="S12" s="127">
        <f>'רשות החופים'!U$39</f>
        <v>2734000</v>
      </c>
      <c r="T12" s="127">
        <f>'רשות החופים'!V$39</f>
        <v>0</v>
      </c>
      <c r="U12" s="127">
        <f>'רשות החופים'!W$39</f>
        <v>2130000</v>
      </c>
      <c r="V12" s="127">
        <f>'רשות החופים'!X$39</f>
        <v>0</v>
      </c>
      <c r="W12" s="127">
        <f>'רשות החופים'!Y$39</f>
        <v>0</v>
      </c>
      <c r="X12" s="127">
        <f>'רשות החופים'!Z$39</f>
        <v>604000</v>
      </c>
    </row>
    <row r="13" spans="1:25" s="129" customFormat="1" ht="27" customHeight="1">
      <c r="A13" s="769" t="s">
        <v>202</v>
      </c>
      <c r="B13" s="127">
        <f>'איכות הסביבה'!D$18</f>
        <v>18511559</v>
      </c>
      <c r="C13" s="127">
        <f>'איכות הסביבה'!E$18</f>
        <v>15596559</v>
      </c>
      <c r="D13" s="127">
        <f>'איכות הסביבה'!F$18</f>
        <v>2915000</v>
      </c>
      <c r="E13" s="127">
        <f>'איכות הסביבה'!G$18</f>
        <v>6127500</v>
      </c>
      <c r="F13" s="127">
        <f>'איכות הסביבה'!H$18</f>
        <v>5145429.09</v>
      </c>
      <c r="G13" s="127">
        <f>'איכות הסביבה'!I$18</f>
        <v>0</v>
      </c>
      <c r="H13" s="127">
        <f>'איכות הסביבה'!J$18</f>
        <v>197696.93</v>
      </c>
      <c r="I13" s="127">
        <f>'איכות הסביבה'!K$18</f>
        <v>197696.93</v>
      </c>
      <c r="J13" s="127">
        <f>'איכות הסביבה'!L$18</f>
        <v>5343126.0199999996</v>
      </c>
      <c r="K13" s="127">
        <f>'איכות הסביבה'!M$18</f>
        <v>819374.98</v>
      </c>
      <c r="L13" s="127">
        <f>'איכות הסביבה'!N$18</f>
        <v>3211058</v>
      </c>
      <c r="M13" s="127">
        <f>'איכות הסביבה'!O$18</f>
        <v>9138000</v>
      </c>
      <c r="N13" s="127">
        <f>'איכות הסביבה'!P$18</f>
        <v>784373.98</v>
      </c>
      <c r="O13" s="127">
        <f>'איכות הסביבה'!Q$18</f>
        <v>35001</v>
      </c>
      <c r="P13" s="127">
        <f>'איכות הסביבה'!R$18</f>
        <v>0</v>
      </c>
      <c r="Q13" s="127">
        <f>'איכות הסביבה'!S$18</f>
        <v>35001</v>
      </c>
      <c r="R13" s="127">
        <f>'איכות הסביבה'!T$18</f>
        <v>0</v>
      </c>
      <c r="S13" s="127">
        <f>'איכות הסביבה'!U$18</f>
        <v>3211058</v>
      </c>
      <c r="T13" s="127">
        <f>'איכות הסביבה'!V$18</f>
        <v>1300000</v>
      </c>
      <c r="U13" s="127">
        <f>'איכות הסביבה'!W$18</f>
        <v>850000</v>
      </c>
      <c r="V13" s="127">
        <f>'איכות הסביבה'!X$18</f>
        <v>0</v>
      </c>
      <c r="W13" s="127">
        <f>'איכות הסביבה'!Y$18</f>
        <v>0</v>
      </c>
      <c r="X13" s="127">
        <f>'איכות הסביבה'!Z$18</f>
        <v>1061058</v>
      </c>
    </row>
    <row r="14" spans="1:25" s="129" customFormat="1" ht="27" customHeight="1">
      <c r="A14" s="21" t="s">
        <v>203</v>
      </c>
      <c r="B14" s="127">
        <f>'החברה לתיירות '!D$19</f>
        <v>39058000</v>
      </c>
      <c r="C14" s="127">
        <f>'החברה לתיירות '!E$19</f>
        <v>21970000</v>
      </c>
      <c r="D14" s="127">
        <f>'החברה לתיירות '!F$19</f>
        <v>17088000</v>
      </c>
      <c r="E14" s="127">
        <f>'החברה לתיירות '!G$19</f>
        <v>10995000</v>
      </c>
      <c r="F14" s="127">
        <f>'החברה לתיירות '!H$19</f>
        <v>8090239.9199999999</v>
      </c>
      <c r="G14" s="127">
        <f>'החברה לתיירות '!I$19</f>
        <v>0</v>
      </c>
      <c r="H14" s="127">
        <f>'החברה לתיירות '!J$19</f>
        <v>0</v>
      </c>
      <c r="I14" s="127">
        <f>'החברה לתיירות '!K$19</f>
        <v>0</v>
      </c>
      <c r="J14" s="127">
        <f>'החברה לתיירות '!L$19</f>
        <v>8090239.9199999999</v>
      </c>
      <c r="K14" s="127">
        <f>'החברה לתיירות '!M$19</f>
        <v>4904760.08</v>
      </c>
      <c r="L14" s="127">
        <f>'החברה לתיירות '!N$19</f>
        <v>9180000</v>
      </c>
      <c r="M14" s="127">
        <f>'החברה לתיירות '!O$19</f>
        <v>16883000</v>
      </c>
      <c r="N14" s="127">
        <f>'החברה לתיירות '!P$19</f>
        <v>2904760.08</v>
      </c>
      <c r="O14" s="127">
        <f>'החברה לתיירות '!Q$19</f>
        <v>0</v>
      </c>
      <c r="P14" s="127">
        <f>'החברה לתיירות '!R$19</f>
        <v>2000000</v>
      </c>
      <c r="Q14" s="127">
        <f>'החברה לתיירות '!S$19</f>
        <v>2000000</v>
      </c>
      <c r="R14" s="127">
        <f>'החברה לתיירות '!T$19</f>
        <v>0</v>
      </c>
      <c r="S14" s="127">
        <f>'החברה לתיירות '!U$19</f>
        <v>9180000</v>
      </c>
      <c r="T14" s="127">
        <f>'החברה לתיירות '!V$19</f>
        <v>2391000</v>
      </c>
      <c r="U14" s="127">
        <f>'החברה לתיירות '!W$19</f>
        <v>0</v>
      </c>
      <c r="V14" s="127">
        <f>'החברה לתיירות '!X$19</f>
        <v>0</v>
      </c>
      <c r="W14" s="127">
        <f>'החברה לתיירות '!Y$19</f>
        <v>0</v>
      </c>
      <c r="X14" s="127">
        <f>'החברה לתיירות '!Z$19</f>
        <v>6789000</v>
      </c>
    </row>
    <row r="15" spans="1:25" s="129" customFormat="1" ht="27" customHeight="1">
      <c r="A15" s="769" t="s">
        <v>204</v>
      </c>
      <c r="B15" s="127">
        <f>' מחשוב  '!D$14</f>
        <v>43825000</v>
      </c>
      <c r="C15" s="127">
        <f>' מחשוב  '!E$14</f>
        <v>30415000</v>
      </c>
      <c r="D15" s="127">
        <f>' מחשוב  '!F$14</f>
        <v>13410000</v>
      </c>
      <c r="E15" s="127">
        <f>' מחשוב  '!G$14</f>
        <v>11033000</v>
      </c>
      <c r="F15" s="127">
        <f>' מחשוב  '!H$14</f>
        <v>8677485.5899999999</v>
      </c>
      <c r="G15" s="127">
        <f>' מחשוב  '!I$14</f>
        <v>0</v>
      </c>
      <c r="H15" s="127">
        <f>' מחשוב  '!J$14</f>
        <v>1419004.54</v>
      </c>
      <c r="I15" s="127">
        <f>' מחשוב  '!K$14</f>
        <v>1419004.54</v>
      </c>
      <c r="J15" s="127">
        <f>' מחשוב  '!L$14</f>
        <v>10096490.130000001</v>
      </c>
      <c r="K15" s="127">
        <f>' מחשוב  '!M$14</f>
        <v>936509.87</v>
      </c>
      <c r="L15" s="127">
        <f>' מחשוב  '!N$14</f>
        <v>9860000</v>
      </c>
      <c r="M15" s="127">
        <f>' מחשוב  '!O$14</f>
        <v>22932000</v>
      </c>
      <c r="N15" s="127">
        <f>' מחשוב  '!P$14</f>
        <v>936509.87</v>
      </c>
      <c r="O15" s="127">
        <f>' מחשוב  '!Q$14</f>
        <v>0</v>
      </c>
      <c r="P15" s="127">
        <f>' מחשוב  '!R$14</f>
        <v>0</v>
      </c>
      <c r="Q15" s="127">
        <f>' מחשוב  '!S$14</f>
        <v>0</v>
      </c>
      <c r="R15" s="127">
        <f>' מחשוב  '!T$14</f>
        <v>0</v>
      </c>
      <c r="S15" s="127">
        <f>' מחשוב  '!U$14</f>
        <v>9860000</v>
      </c>
      <c r="T15" s="127">
        <f>' מחשוב  '!V$14</f>
        <v>7040000</v>
      </c>
      <c r="U15" s="127">
        <f>' מחשוב  '!W$14</f>
        <v>2820000</v>
      </c>
      <c r="V15" s="127">
        <f>' מחשוב  '!X$14</f>
        <v>0</v>
      </c>
      <c r="W15" s="127">
        <f>' מחשוב  '!Y$14</f>
        <v>0</v>
      </c>
      <c r="X15" s="127">
        <f>' מחשוב  '!Z$14</f>
        <v>0</v>
      </c>
    </row>
    <row r="16" spans="1:25" s="129" customFormat="1" ht="27" customHeight="1">
      <c r="A16" s="769" t="s">
        <v>205</v>
      </c>
      <c r="B16" s="127">
        <f>'נכסים '!D$23</f>
        <v>153914700</v>
      </c>
      <c r="C16" s="127">
        <f>'נכסים '!E$23</f>
        <v>152144700</v>
      </c>
      <c r="D16" s="127">
        <f>'נכסים '!F$23</f>
        <v>1770000</v>
      </c>
      <c r="E16" s="127">
        <f>'נכסים '!G$23</f>
        <v>86547525</v>
      </c>
      <c r="F16" s="127">
        <f>'נכסים '!H$23</f>
        <v>67054113.32</v>
      </c>
      <c r="G16" s="127">
        <f>'נכסים '!I$23</f>
        <v>0</v>
      </c>
      <c r="H16" s="127">
        <f>'נכסים '!J$23</f>
        <v>25119.5</v>
      </c>
      <c r="I16" s="127">
        <f>'נכסים '!K$23</f>
        <v>25119.5</v>
      </c>
      <c r="J16" s="127">
        <f>'נכסים '!L$23</f>
        <v>67079232.82</v>
      </c>
      <c r="K16" s="127">
        <f>'נכסים '!M$23</f>
        <v>19468292.18</v>
      </c>
      <c r="L16" s="127">
        <f>'נכסים '!N$23</f>
        <v>3070000</v>
      </c>
      <c r="M16" s="127">
        <f>'נכסים '!O$23</f>
        <v>64297175</v>
      </c>
      <c r="N16" s="127">
        <f>'נכסים '!P$23</f>
        <v>19468292.18</v>
      </c>
      <c r="O16" s="127">
        <f>'נכסים '!Q$23</f>
        <v>0</v>
      </c>
      <c r="P16" s="127">
        <f>'נכסים '!R$23</f>
        <v>0</v>
      </c>
      <c r="Q16" s="127">
        <f>'נכסים '!S$23</f>
        <v>0</v>
      </c>
      <c r="R16" s="127">
        <f>'נכסים '!T$23</f>
        <v>0</v>
      </c>
      <c r="S16" s="127">
        <f>'נכסים '!U$23</f>
        <v>3070000</v>
      </c>
      <c r="T16" s="127">
        <f>'נכסים '!V$23</f>
        <v>3070000</v>
      </c>
      <c r="U16" s="127">
        <f>'נכסים '!W$23</f>
        <v>0</v>
      </c>
      <c r="V16" s="127">
        <f>'נכסים '!X$23</f>
        <v>0</v>
      </c>
      <c r="W16" s="127">
        <f>'נכסים '!Y$23</f>
        <v>0</v>
      </c>
      <c r="X16" s="127">
        <f>'נכסים '!Z$23</f>
        <v>0</v>
      </c>
    </row>
    <row r="17" spans="1:26" s="129" customFormat="1" ht="27" customHeight="1">
      <c r="A17" s="21" t="s">
        <v>206</v>
      </c>
      <c r="B17" s="127">
        <f>'שיפוצי בתים עמידר'!D$9</f>
        <v>89490000</v>
      </c>
      <c r="C17" s="127">
        <f>'שיפוצי בתים עמידר'!E$9</f>
        <v>78490000</v>
      </c>
      <c r="D17" s="127">
        <f>'שיפוצי בתים עמידר'!F$9</f>
        <v>11000000</v>
      </c>
      <c r="E17" s="127">
        <f>'שיפוצי בתים עמידר'!G$9</f>
        <v>60690000</v>
      </c>
      <c r="F17" s="127">
        <f>'שיפוצי בתים עמידר'!H$9</f>
        <v>59142677.799999997</v>
      </c>
      <c r="G17" s="127">
        <f>'שיפוצי בתים עמידר'!I$9</f>
        <v>0</v>
      </c>
      <c r="H17" s="127">
        <f>'שיפוצי בתים עמידר'!J$9</f>
        <v>0</v>
      </c>
      <c r="I17" s="127">
        <f>'שיפוצי בתים עמידר'!K$9</f>
        <v>0</v>
      </c>
      <c r="J17" s="127">
        <f>'שיפוצי בתים עמידר'!L$9</f>
        <v>59142677.799999997</v>
      </c>
      <c r="K17" s="127">
        <f>'שיפוצי בתים עמידר'!M$9</f>
        <v>3047322.2</v>
      </c>
      <c r="L17" s="127">
        <f>'שיפוצי בתים עמידר'!N$9</f>
        <v>13750000</v>
      </c>
      <c r="M17" s="127">
        <f>'שיפוצי בתים עמידר'!O$9</f>
        <v>13550000</v>
      </c>
      <c r="N17" s="127">
        <f>'שיפוצי בתים עמידר'!P$9</f>
        <v>1547322.2</v>
      </c>
      <c r="O17" s="127">
        <f>'שיפוצי בתים עמידר'!Q$9</f>
        <v>1500000</v>
      </c>
      <c r="P17" s="127">
        <f>'שיפוצי בתים עמידר'!R$9</f>
        <v>0</v>
      </c>
      <c r="Q17" s="127">
        <f>'שיפוצי בתים עמידר'!S$9</f>
        <v>1500000</v>
      </c>
      <c r="R17" s="127">
        <f>'שיפוצי בתים עמידר'!T$9</f>
        <v>0</v>
      </c>
      <c r="S17" s="127">
        <f>'שיפוצי בתים עמידר'!U$9</f>
        <v>13750000</v>
      </c>
      <c r="T17" s="127">
        <f>'שיפוצי בתים עמידר'!V$9</f>
        <v>50000</v>
      </c>
      <c r="U17" s="127">
        <f>'שיפוצי בתים עמידר'!W$9</f>
        <v>0</v>
      </c>
      <c r="V17" s="127">
        <f>'שיפוצי בתים עמידר'!X$9</f>
        <v>0</v>
      </c>
      <c r="W17" s="127">
        <f>'שיפוצי בתים עמידר'!Y$9</f>
        <v>0</v>
      </c>
      <c r="X17" s="127">
        <f>'שיפוצי בתים עמידר'!Z$9</f>
        <v>13700000</v>
      </c>
    </row>
    <row r="18" spans="1:26" s="129" customFormat="1" ht="27" customHeight="1">
      <c r="A18" s="769" t="s">
        <v>207</v>
      </c>
      <c r="B18" s="127">
        <f>'כללי  '!D$14</f>
        <v>109471606</v>
      </c>
      <c r="C18" s="127">
        <f>'כללי  '!E$14</f>
        <v>114354020</v>
      </c>
      <c r="D18" s="127">
        <f>'כללי  '!F$14</f>
        <v>-4882414</v>
      </c>
      <c r="E18" s="127">
        <f>'כללי  '!G$14</f>
        <v>74283020</v>
      </c>
      <c r="F18" s="127">
        <f>'כללי  '!H$14</f>
        <v>54198754.880000003</v>
      </c>
      <c r="G18" s="127">
        <f>'כללי  '!I$14</f>
        <v>207252.8</v>
      </c>
      <c r="H18" s="127">
        <f>'כללי  '!J$14</f>
        <v>3096209.4899999998</v>
      </c>
      <c r="I18" s="127">
        <f>'כללי  '!K$14</f>
        <v>3303462.2899999996</v>
      </c>
      <c r="J18" s="127">
        <f>'כללי  '!L$14</f>
        <v>57502217.170000009</v>
      </c>
      <c r="K18" s="127">
        <f>'כללי  '!M$14</f>
        <v>14904388.83</v>
      </c>
      <c r="L18" s="127">
        <f>'כללי  '!N$14</f>
        <v>10050000</v>
      </c>
      <c r="M18" s="127">
        <f>'כללי  '!O$14</f>
        <v>27015000</v>
      </c>
      <c r="N18" s="127">
        <f>'כללי  '!P$14</f>
        <v>16780802.829999998</v>
      </c>
      <c r="O18" s="127">
        <f>'כללי  '!Q$14</f>
        <v>1406000</v>
      </c>
      <c r="P18" s="127">
        <f>'כללי  '!R$14</f>
        <v>0</v>
      </c>
      <c r="Q18" s="127">
        <f>'כללי  '!S$14</f>
        <v>1406000</v>
      </c>
      <c r="R18" s="127">
        <f>'כללי  '!T$14</f>
        <v>3282414</v>
      </c>
      <c r="S18" s="127">
        <f>'כללי  '!U$14</f>
        <v>6767586</v>
      </c>
      <c r="T18" s="127">
        <f>'כללי  '!V$14</f>
        <v>6941586</v>
      </c>
      <c r="U18" s="127">
        <f>'כללי  '!W$14</f>
        <v>-174000</v>
      </c>
      <c r="V18" s="127">
        <f>'כללי  '!X$14</f>
        <v>0</v>
      </c>
      <c r="W18" s="127">
        <f>'כללי  '!Y$14</f>
        <v>0</v>
      </c>
      <c r="X18" s="127">
        <f>'כללי  '!Z$14</f>
        <v>0</v>
      </c>
    </row>
    <row r="19" spans="1:26" s="129" customFormat="1" ht="27" customHeight="1">
      <c r="A19" s="768" t="s">
        <v>208</v>
      </c>
      <c r="B19" s="127">
        <f t="shared" ref="B19:X19" si="0">SUM(B5:B18)</f>
        <v>4141219830</v>
      </c>
      <c r="C19" s="127">
        <f t="shared" si="0"/>
        <v>3630112898</v>
      </c>
      <c r="D19" s="127">
        <f t="shared" si="0"/>
        <v>511106932</v>
      </c>
      <c r="E19" s="127">
        <f t="shared" si="0"/>
        <v>2023901893</v>
      </c>
      <c r="F19" s="127">
        <f t="shared" si="0"/>
        <v>1540459789.1899998</v>
      </c>
      <c r="G19" s="127">
        <f t="shared" si="0"/>
        <v>65251110.730000004</v>
      </c>
      <c r="H19" s="127">
        <f t="shared" si="0"/>
        <v>141568280.82999998</v>
      </c>
      <c r="I19" s="127">
        <f t="shared" si="0"/>
        <v>206819391.56</v>
      </c>
      <c r="J19" s="127">
        <f t="shared" si="0"/>
        <v>1747279180.7500005</v>
      </c>
      <c r="K19" s="127">
        <f t="shared" si="0"/>
        <v>287209212.24999988</v>
      </c>
      <c r="L19" s="127">
        <f t="shared" si="0"/>
        <v>564915063</v>
      </c>
      <c r="M19" s="127">
        <f t="shared" si="0"/>
        <v>1541816374</v>
      </c>
      <c r="N19" s="127">
        <f t="shared" si="0"/>
        <v>276622712.24999994</v>
      </c>
      <c r="O19" s="127">
        <f t="shared" si="0"/>
        <v>36625614</v>
      </c>
      <c r="P19" s="127">
        <f t="shared" si="0"/>
        <v>1780000</v>
      </c>
      <c r="Q19" s="127">
        <f t="shared" si="0"/>
        <v>38405614</v>
      </c>
      <c r="R19" s="127">
        <f t="shared" si="0"/>
        <v>27819114</v>
      </c>
      <c r="S19" s="127">
        <f t="shared" si="0"/>
        <v>537095949</v>
      </c>
      <c r="T19" s="127">
        <f t="shared" si="0"/>
        <v>237739999.93023255</v>
      </c>
      <c r="U19" s="127">
        <f t="shared" si="0"/>
        <v>27000000</v>
      </c>
      <c r="V19" s="127">
        <f t="shared" si="0"/>
        <v>1250000</v>
      </c>
      <c r="W19" s="127">
        <f t="shared" si="0"/>
        <v>48962500</v>
      </c>
      <c r="X19" s="127">
        <f t="shared" si="0"/>
        <v>222143449.06976745</v>
      </c>
    </row>
    <row r="20" spans="1:26" s="129" customFormat="1">
      <c r="A20" s="48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</row>
    <row r="21" spans="1:26" s="129" customFormat="1" hidden="1">
      <c r="A21" s="132"/>
      <c r="B21" s="133"/>
      <c r="C21" s="133"/>
      <c r="D21" s="63"/>
      <c r="E21" s="133"/>
      <c r="F21" s="133"/>
      <c r="G21" s="133"/>
      <c r="H21" s="133"/>
      <c r="I21" s="133"/>
      <c r="J21" s="28">
        <f>I19+F19</f>
        <v>1747279180.7499998</v>
      </c>
      <c r="K21" s="28">
        <f>N21+Q19-R19</f>
        <v>287209212.24999952</v>
      </c>
      <c r="L21" s="63"/>
      <c r="M21" s="63"/>
      <c r="N21" s="28">
        <f>E19-J19</f>
        <v>276622712.24999952</v>
      </c>
      <c r="O21" s="63"/>
      <c r="P21" s="63"/>
      <c r="Q21" s="63"/>
      <c r="R21" s="63"/>
      <c r="S21" s="28">
        <f>L19-R19</f>
        <v>537095949</v>
      </c>
      <c r="T21" s="63"/>
      <c r="U21" s="63"/>
      <c r="V21" s="63"/>
      <c r="W21" s="63"/>
      <c r="X21" s="63"/>
    </row>
    <row r="22" spans="1:26" hidden="1">
      <c r="J22" s="128"/>
      <c r="K22" s="128"/>
      <c r="M22" s="136"/>
      <c r="N22" s="137"/>
      <c r="O22" s="136"/>
      <c r="P22" s="138"/>
      <c r="Q22" s="138"/>
      <c r="R22" s="137"/>
      <c r="S22" s="139" t="s">
        <v>208</v>
      </c>
      <c r="T22" s="139" t="s">
        <v>183</v>
      </c>
      <c r="U22" s="139" t="s">
        <v>209</v>
      </c>
      <c r="V22" s="139" t="s">
        <v>15</v>
      </c>
      <c r="W22" s="139" t="s">
        <v>914</v>
      </c>
      <c r="X22" s="139" t="s">
        <v>184</v>
      </c>
    </row>
    <row r="23" spans="1:26" hidden="1">
      <c r="M23" s="139" t="s">
        <v>210</v>
      </c>
      <c r="N23" s="140"/>
      <c r="O23" s="139" t="s">
        <v>210</v>
      </c>
      <c r="P23" s="141"/>
      <c r="Q23" s="141"/>
      <c r="R23" s="130"/>
      <c r="S23" s="142">
        <f>SUM(T23:X23)</f>
        <v>537095949.06976748</v>
      </c>
      <c r="T23" s="142">
        <f>'תקציב 2018 קרנות הרשות'!C20*1000</f>
        <v>237740000</v>
      </c>
      <c r="U23" s="142">
        <f>'תקציב 2018 קרנות הרשות'!D20*1000</f>
        <v>27000000</v>
      </c>
      <c r="V23" s="142">
        <f>'תקציב 2018  מקורות '!F10*1000</f>
        <v>1250000</v>
      </c>
      <c r="W23" s="142">
        <f>'תקציב 2018  מקורות '!F11*1000</f>
        <v>48962500</v>
      </c>
      <c r="X23" s="142">
        <f>'פרוט מקורות אחרים'!R16</f>
        <v>222143449.06976745</v>
      </c>
    </row>
    <row r="24" spans="1:26" hidden="1">
      <c r="M24" s="139" t="s">
        <v>211</v>
      </c>
      <c r="N24" s="140"/>
      <c r="O24" s="139" t="s">
        <v>211</v>
      </c>
      <c r="P24" s="141"/>
      <c r="Q24" s="141"/>
      <c r="R24" s="130"/>
      <c r="S24" s="142">
        <f t="shared" ref="S24:X24" si="1">S19-S23</f>
        <v>-6.9767475128173828E-2</v>
      </c>
      <c r="T24" s="142">
        <f t="shared" si="1"/>
        <v>-6.976744532585144E-2</v>
      </c>
      <c r="U24" s="142">
        <f t="shared" si="1"/>
        <v>0</v>
      </c>
      <c r="V24" s="142">
        <f t="shared" si="1"/>
        <v>0</v>
      </c>
      <c r="W24" s="142">
        <f t="shared" si="1"/>
        <v>0</v>
      </c>
      <c r="X24" s="142">
        <f t="shared" si="1"/>
        <v>0</v>
      </c>
      <c r="Z24" s="133"/>
    </row>
    <row r="25" spans="1:26">
      <c r="A25" s="144"/>
      <c r="D25" s="144"/>
      <c r="E25" s="144"/>
      <c r="M25" s="145"/>
      <c r="O25" s="145"/>
      <c r="P25" s="145"/>
      <c r="Q25" s="145"/>
      <c r="R25" s="129"/>
      <c r="S25" s="143"/>
      <c r="T25" s="143"/>
      <c r="U25" s="143"/>
      <c r="V25" s="143"/>
      <c r="W25" s="143"/>
      <c r="X25" s="143"/>
    </row>
    <row r="26" spans="1:26">
      <c r="M26" s="145"/>
      <c r="O26" s="145"/>
      <c r="P26" s="145"/>
      <c r="Q26" s="145"/>
      <c r="R26" s="143"/>
      <c r="S26" s="143"/>
      <c r="T26" s="143"/>
      <c r="U26" s="143"/>
      <c r="V26" s="143"/>
      <c r="W26" s="143"/>
      <c r="X26" s="143"/>
    </row>
    <row r="27" spans="1:26">
      <c r="A27" s="144"/>
      <c r="C27" s="144"/>
      <c r="D27" s="144"/>
      <c r="M27" s="145"/>
      <c r="O27" s="145"/>
      <c r="P27" s="145"/>
      <c r="Q27" s="145"/>
      <c r="R27" s="129"/>
      <c r="S27" s="143"/>
      <c r="T27" s="143"/>
      <c r="U27" s="143"/>
      <c r="V27" s="143"/>
      <c r="W27" s="143"/>
      <c r="X27" s="143"/>
    </row>
    <row r="28" spans="1:26">
      <c r="N28" s="135"/>
      <c r="T28" s="143"/>
      <c r="U28" s="143"/>
      <c r="V28" s="143"/>
      <c r="W28" s="143"/>
      <c r="X28" s="143"/>
    </row>
    <row r="29" spans="1:26">
      <c r="N29" s="135"/>
      <c r="T29" s="143"/>
      <c r="U29" s="143"/>
      <c r="V29" s="143"/>
      <c r="W29" s="143"/>
      <c r="X29" s="143"/>
    </row>
    <row r="30" spans="1:26">
      <c r="N30" s="135"/>
      <c r="U30" s="143"/>
      <c r="V30" s="143"/>
      <c r="W30" s="143"/>
      <c r="X30" s="143"/>
    </row>
    <row r="31" spans="1:26">
      <c r="N31" s="135"/>
      <c r="U31" s="143"/>
      <c r="V31" s="143"/>
      <c r="W31" s="143"/>
      <c r="X31" s="143"/>
    </row>
    <row r="32" spans="1:26">
      <c r="N32" s="135"/>
      <c r="U32" s="146"/>
      <c r="V32" s="146"/>
    </row>
    <row r="33" spans="13:21">
      <c r="N33" s="135"/>
      <c r="U33" s="146"/>
    </row>
    <row r="34" spans="13:21">
      <c r="N34" s="135"/>
      <c r="U34" s="146"/>
    </row>
    <row r="35" spans="13:21">
      <c r="M35" s="759"/>
      <c r="N35" s="760"/>
      <c r="O35" s="759"/>
      <c r="P35" s="759"/>
      <c r="Q35" s="759"/>
      <c r="R35" s="759"/>
    </row>
  </sheetData>
  <sheetProtection formatCells="0" formatColumns="0" formatRows="0" insertColumns="0" insertRows="0" insertHyperlinks="0" deleteColumns="0" deleteRows="0" sort="0" autoFilter="0" pivotTables="0"/>
  <mergeCells count="3">
    <mergeCell ref="B3:M3"/>
    <mergeCell ref="N3:O3"/>
    <mergeCell ref="R3:X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T10" sqref="T10"/>
    </sheetView>
  </sheetViews>
  <sheetFormatPr defaultRowHeight="12.75"/>
  <sheetData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Zeros="0" rightToLeft="1" zoomScaleNormal="100" workbookViewId="0">
      <pane xSplit="1" ySplit="4" topLeftCell="B9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.75"/>
  <cols>
    <col min="1" max="1" width="17.42578125" style="134" customWidth="1"/>
    <col min="2" max="3" width="12.7109375" style="135" customWidth="1"/>
    <col min="4" max="4" width="11" style="135" customWidth="1"/>
    <col min="5" max="8" width="12.7109375" style="135" hidden="1" customWidth="1"/>
    <col min="9" max="9" width="11.140625" style="135" hidden="1" customWidth="1"/>
    <col min="10" max="10" width="12.7109375" style="129" customWidth="1"/>
    <col min="11" max="11" width="11.5703125" style="135" customWidth="1"/>
    <col min="12" max="12" width="11.140625" style="135" customWidth="1"/>
    <col min="13" max="13" width="12.5703125" style="135" customWidth="1"/>
    <col min="14" max="14" width="12.7109375" style="129" hidden="1" customWidth="1"/>
    <col min="15" max="17" width="12.140625" style="135" hidden="1" customWidth="1"/>
    <col min="18" max="18" width="9.85546875" style="135" customWidth="1"/>
    <col min="19" max="20" width="10.85546875" style="135" customWidth="1"/>
    <col min="21" max="21" width="10" style="135" customWidth="1"/>
    <col min="22" max="22" width="9.140625" style="135" customWidth="1"/>
    <col min="23" max="23" width="10" style="135" customWidth="1"/>
    <col min="24" max="24" width="11.140625" style="135" customWidth="1"/>
    <col min="25" max="25" width="13.42578125" style="132" customWidth="1"/>
    <col min="26" max="26" width="11.85546875" style="132" customWidth="1"/>
    <col min="27" max="27" width="10" style="132" customWidth="1"/>
    <col min="28" max="28" width="9.140625" style="132"/>
    <col min="29" max="29" width="10.140625" style="132" customWidth="1"/>
    <col min="30" max="16384" width="9.140625" style="132"/>
  </cols>
  <sheetData>
    <row r="1" spans="1:25" s="117" customFormat="1" ht="23.25">
      <c r="A1" s="775" t="s">
        <v>1057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s="117" customFormat="1" ht="23.25">
      <c r="A2" s="118"/>
      <c r="B2" s="119"/>
      <c r="C2" s="119"/>
      <c r="D2" s="119"/>
      <c r="E2" s="119"/>
      <c r="F2" s="119"/>
      <c r="G2" s="119"/>
      <c r="H2" s="119"/>
      <c r="I2" s="119"/>
      <c r="J2" s="120"/>
      <c r="K2" s="119"/>
      <c r="L2" s="119"/>
      <c r="M2" s="119"/>
      <c r="N2" s="120"/>
      <c r="O2" s="119"/>
      <c r="P2" s="119"/>
      <c r="Q2" s="119"/>
      <c r="R2" s="119"/>
      <c r="S2" s="119"/>
      <c r="T2" s="119"/>
      <c r="U2" s="119"/>
      <c r="V2" s="119"/>
      <c r="W2" s="119"/>
      <c r="X2" s="119"/>
    </row>
    <row r="3" spans="1:25" s="124" customFormat="1">
      <c r="A3" s="121"/>
      <c r="B3" s="790" t="s">
        <v>190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61"/>
      <c r="Q3" s="761"/>
      <c r="R3" s="790" t="s">
        <v>191</v>
      </c>
      <c r="S3" s="790"/>
      <c r="T3" s="790"/>
      <c r="U3" s="791"/>
      <c r="V3" s="791"/>
      <c r="W3" s="790"/>
      <c r="X3" s="790"/>
    </row>
    <row r="4" spans="1:25" s="106" customFormat="1" ht="75">
      <c r="A4" s="121" t="s">
        <v>1093</v>
      </c>
      <c r="B4" s="121" t="s">
        <v>193</v>
      </c>
      <c r="C4" s="121" t="s">
        <v>4</v>
      </c>
      <c r="D4" s="121" t="s">
        <v>194</v>
      </c>
      <c r="E4" s="121" t="s">
        <v>212</v>
      </c>
      <c r="F4" s="51" t="s">
        <v>7</v>
      </c>
      <c r="G4" s="51" t="s">
        <v>8</v>
      </c>
      <c r="H4" s="51" t="s">
        <v>9</v>
      </c>
      <c r="I4" s="51" t="s">
        <v>10</v>
      </c>
      <c r="J4" s="85" t="s">
        <v>11</v>
      </c>
      <c r="K4" s="21" t="s">
        <v>414</v>
      </c>
      <c r="L4" s="121" t="s">
        <v>415</v>
      </c>
      <c r="M4" s="121" t="s">
        <v>416</v>
      </c>
      <c r="N4" s="85" t="s">
        <v>195</v>
      </c>
      <c r="O4" s="51" t="s">
        <v>417</v>
      </c>
      <c r="P4" s="51" t="s">
        <v>418</v>
      </c>
      <c r="Q4" s="51" t="s">
        <v>419</v>
      </c>
      <c r="R4" s="51" t="s">
        <v>420</v>
      </c>
      <c r="S4" s="121" t="s">
        <v>421</v>
      </c>
      <c r="T4" s="125" t="s">
        <v>13</v>
      </c>
      <c r="U4" s="121" t="s">
        <v>14</v>
      </c>
      <c r="V4" s="92" t="s">
        <v>15</v>
      </c>
      <c r="W4" s="92" t="s">
        <v>914</v>
      </c>
      <c r="X4" s="121" t="s">
        <v>184</v>
      </c>
      <c r="Y4" s="60"/>
    </row>
    <row r="5" spans="1:25" s="106" customFormat="1" ht="27" customHeight="1">
      <c r="A5" s="768" t="s">
        <v>800</v>
      </c>
      <c r="B5" s="28">
        <f>' מחשוב  פרקים'!D$7</f>
        <v>8820000</v>
      </c>
      <c r="C5" s="28">
        <f>' מחשוב  פרקים'!E$7</f>
        <v>8820000</v>
      </c>
      <c r="D5" s="28">
        <f>' מחשוב  פרקים'!F$7</f>
        <v>0</v>
      </c>
      <c r="E5" s="28">
        <f>' מחשוב  פרקים'!G$7</f>
        <v>2748000</v>
      </c>
      <c r="F5" s="28">
        <f>' מחשוב  פרקים'!H$7</f>
        <v>2353778.5299999998</v>
      </c>
      <c r="G5" s="28">
        <f>' מחשוב  פרקים'!I$7</f>
        <v>0</v>
      </c>
      <c r="H5" s="28">
        <f>' מחשוב  פרקים'!J$7</f>
        <v>98416</v>
      </c>
      <c r="I5" s="28">
        <f>' מחשוב  פרקים'!K$7</f>
        <v>98416</v>
      </c>
      <c r="J5" s="28">
        <f>' מחשוב  פרקים'!L$7</f>
        <v>2452194.5299999998</v>
      </c>
      <c r="K5" s="28">
        <f>' מחשוב  פרקים'!M$7</f>
        <v>295805.4700000002</v>
      </c>
      <c r="L5" s="28">
        <f>' מחשוב  פרקים'!N$7</f>
        <v>200000</v>
      </c>
      <c r="M5" s="28">
        <f>' מחשוב  פרקים'!O$7</f>
        <v>5872000</v>
      </c>
      <c r="N5" s="28">
        <f>' מחשוב  פרקים'!P$7</f>
        <v>295805.4700000002</v>
      </c>
      <c r="O5" s="28">
        <f>' מחשוב  פרקים'!Q$7</f>
        <v>0</v>
      </c>
      <c r="P5" s="28">
        <f>' מחשוב  פרקים'!R$7</f>
        <v>0</v>
      </c>
      <c r="Q5" s="28">
        <f>' מחשוב  פרקים'!S$7</f>
        <v>0</v>
      </c>
      <c r="R5" s="28">
        <f>' מחשוב  פרקים'!T$7</f>
        <v>0</v>
      </c>
      <c r="S5" s="28">
        <f>' מחשוב  פרקים'!U$7</f>
        <v>200000</v>
      </c>
      <c r="T5" s="28">
        <f>' מחשוב  פרקים'!V$7</f>
        <v>0</v>
      </c>
      <c r="U5" s="28">
        <f>' מחשוב  פרקים'!W$7</f>
        <v>200000</v>
      </c>
      <c r="V5" s="28">
        <f>' מחשוב  פרקים'!X$7</f>
        <v>0</v>
      </c>
      <c r="W5" s="28">
        <f>' מחשוב  פרקים'!Y$7</f>
        <v>0</v>
      </c>
      <c r="X5" s="28">
        <f>' מחשוב  פרקים'!Z$7</f>
        <v>0</v>
      </c>
      <c r="Y5" s="63"/>
    </row>
    <row r="6" spans="1:25" s="129" customFormat="1" ht="27" customHeight="1">
      <c r="A6" s="768" t="s">
        <v>1050</v>
      </c>
      <c r="B6" s="127">
        <f>'הנדסה פרקים'!D$48+'החברה לפיתוח פרקים'!D$17+'תבל   פרקים'!D$10+'החברה לתיירות  פרקים'!D$10+'כללי פרקים'!D$7</f>
        <v>225337035</v>
      </c>
      <c r="C6" s="127">
        <f>'הנדסה פרקים'!E$48+'החברה לפיתוח פרקים'!E$17+'תבל   פרקים'!E$10+'החברה לתיירות  פרקים'!E$10+'כללי פרקים'!E$7</f>
        <v>211458795</v>
      </c>
      <c r="D6" s="127">
        <f>'הנדסה פרקים'!F$48+'החברה לפיתוח פרקים'!F$17+'תבל   פרקים'!F$10+'החברה לתיירות  פרקים'!F$10+'כללי פרקים'!F$7</f>
        <v>13878240</v>
      </c>
      <c r="E6" s="127">
        <f>'הנדסה פרקים'!G$48+'החברה לפיתוח פרקים'!G$17+'תבל   פרקים'!G$10+'החברה לתיירות  פרקים'!G$10+'כללי פרקים'!G$7</f>
        <v>138115154</v>
      </c>
      <c r="F6" s="127">
        <f>'הנדסה פרקים'!H$48+'החברה לפיתוח פרקים'!H$17+'תבל   פרקים'!H$10+'החברה לתיירות  פרקים'!H$10+'כללי פרקים'!H$7</f>
        <v>105553207.86</v>
      </c>
      <c r="G6" s="127">
        <f>'הנדסה פרקים'!I$48+'החברה לפיתוח פרקים'!I$17+'תבל   פרקים'!I$10+'החברה לתיירות  פרקים'!I$10+'כללי פרקים'!I$7</f>
        <v>3507233.76</v>
      </c>
      <c r="H6" s="127">
        <f>'הנדסה פרקים'!J$48+'החברה לפיתוח פרקים'!J$17+'תבל   פרקים'!J$10+'החברה לתיירות  פרקים'!J$10+'כללי פרקים'!J$7</f>
        <v>6105069.9399999995</v>
      </c>
      <c r="I6" s="127">
        <f>'הנדסה פרקים'!K$48+'החברה לפיתוח פרקים'!K$17+'תבל   פרקים'!K$10+'החברה לתיירות  פרקים'!K$10+'כללי פרקים'!K$7</f>
        <v>9612303.6999999993</v>
      </c>
      <c r="J6" s="127">
        <f>'הנדסה פרקים'!L$48+'החברה לפיתוח פרקים'!L$17+'תבל   פרקים'!L$10+'החברה לתיירות  פרקים'!L$10+'כללי פרקים'!L$7</f>
        <v>115165511.56</v>
      </c>
      <c r="K6" s="127">
        <f>'הנדסה פרקים'!M$48+'החברה לפיתוח פרקים'!M$17+'תבל   פרקים'!M$10+'החברה לתיירות  פרקים'!M$10+'כללי פרקים'!M$7</f>
        <v>22995255.439999998</v>
      </c>
      <c r="L6" s="127">
        <f>'הנדסה פרקים'!N$48+'החברה לפיתוח פרקים'!N$17+'תבל   פרקים'!N$10+'החברה לתיירות  פרקים'!N$10+'כללי פרקים'!N$7</f>
        <v>25633182</v>
      </c>
      <c r="M6" s="127">
        <f>'הנדסה פרקים'!O$48+'החברה לפיתוח פרקים'!O$17+'תבל   פרקים'!O$10+'החברה לתיירות  פרקים'!O$10+'כללי פרקים'!O$7</f>
        <v>61543086</v>
      </c>
      <c r="N6" s="127">
        <f>'הנדסה פרקים'!P$48+'החברה לפיתוח פרקים'!P$17+'תבל   פרקים'!P$10+'החברה לתיירות  פרקים'!P$10+'כללי פרקים'!P$7</f>
        <v>22949642.439999998</v>
      </c>
      <c r="O6" s="127">
        <f>'הנדסה פרקים'!Q$48+'החברה לפיתוח פרקים'!Q$17+'תבל   פרקים'!Q$10+'החברה לתיירות  פרקים'!Q$10+'כללי פרקים'!Q$7</f>
        <v>5929613</v>
      </c>
      <c r="P6" s="127">
        <f>'הנדסה פרקים'!R$48+'החברה לפיתוח פרקים'!R$17+'תבל   פרקים'!R$10+'החברה לתיירות  פרקים'!R$10+'כללי פרקים'!R$7</f>
        <v>0</v>
      </c>
      <c r="Q6" s="127">
        <f>'הנדסה פרקים'!S$48+'החברה לפיתוח פרקים'!S$17+'תבל   פרקים'!S$10+'החברה לתיירות  פרקים'!S$10+'כללי פרקים'!S$7</f>
        <v>5929613</v>
      </c>
      <c r="R6" s="127">
        <f>'הנדסה פרקים'!T$48+'החברה לפיתוח פרקים'!T$17+'תבל   פרקים'!T$10+'החברה לתיירות  פרקים'!T$10+'כללי פרקים'!T$7</f>
        <v>5884000</v>
      </c>
      <c r="S6" s="127">
        <f>'הנדסה פרקים'!U$48+'החברה לפיתוח פרקים'!U$17+'תבל   פרקים'!U$10+'החברה לתיירות  פרקים'!U$10+'כללי פרקים'!U$7</f>
        <v>19749182</v>
      </c>
      <c r="T6" s="127">
        <f>'הנדסה פרקים'!V$48+'החברה לפיתוח פרקים'!V$17+'תבל   פרקים'!V$10+'החברה לתיירות  פרקים'!V$10+'כללי פרקים'!V$7</f>
        <v>5621000</v>
      </c>
      <c r="U6" s="127">
        <f>'הנדסה פרקים'!W$48+'החברה לפיתוח פרקים'!W$17+'תבל   פרקים'!W$10+'החברה לתיירות  פרקים'!W$10+'כללי פרקים'!W$7</f>
        <v>0</v>
      </c>
      <c r="V6" s="127">
        <f>'הנדסה פרקים'!X$48+'החברה לפיתוח פרקים'!X$17+'תבל   פרקים'!X$10+'החברה לתיירות  פרקים'!X$10+'כללי פרקים'!X$7</f>
        <v>0</v>
      </c>
      <c r="W6" s="127">
        <f>'הנדסה פרקים'!Y$48+'החברה לפיתוח פרקים'!Y$17+'תבל   פרקים'!Y$10+'החברה לתיירות  פרקים'!Y$10+'כללי פרקים'!Y$7</f>
        <v>0</v>
      </c>
      <c r="X6" s="127">
        <f>'הנדסה פרקים'!Z$48+'החברה לפיתוח פרקים'!Z$17+'תבל   פרקים'!Z$10+'החברה לתיירות  פרקים'!Z$10+'כללי פרקים'!Z$7</f>
        <v>14128182</v>
      </c>
      <c r="Y6" s="128"/>
    </row>
    <row r="7" spans="1:25" s="129" customFormat="1" ht="27" customHeight="1">
      <c r="A7" s="769" t="s">
        <v>795</v>
      </c>
      <c r="B7" s="127">
        <f>'הנדסה פרקים'!D$91+'החברה לפיתוח פרקים'!D$67+'תבל   פרקים'!D$22+'שאיפה  פרקים'!D$29+'איכות הסביבה פרקים'!D$9+'החברה לתיירות  פרקים'!D$21+'כללי פרקים'!D$13</f>
        <v>2022515640</v>
      </c>
      <c r="C7" s="127">
        <f>'הנדסה פרקים'!E$91+'החברה לפיתוח פרקים'!E$67+'תבל   פרקים'!E$22+'שאיפה  פרקים'!E$29+'איכות הסביבה פרקים'!E$9+'החברה לתיירות  פרקים'!E$21+'כללי פרקים'!E$13</f>
        <v>1827648948</v>
      </c>
      <c r="D7" s="127">
        <f>'הנדסה פרקים'!F$91+'החברה לפיתוח פרקים'!F$67+'תבל   פרקים'!F$22+'שאיפה  פרקים'!F$29+'איכות הסביבה פרקים'!F$9+'החברה לתיירות  פרקים'!F$21+'כללי פרקים'!F$13</f>
        <v>194866692</v>
      </c>
      <c r="E7" s="127">
        <f>'הנדסה פרקים'!G$91+'החברה לפיתוח פרקים'!G$67+'תבל   פרקים'!G$22+'שאיפה  פרקים'!G$29+'איכות הסביבה פרקים'!G$9+'החברה לתיירות  פרקים'!G$21+'כללי פרקים'!G$13</f>
        <v>932248369</v>
      </c>
      <c r="F7" s="127">
        <f>'הנדסה פרקים'!H$91+'החברה לפיתוח פרקים'!H$67+'תבל   פרקים'!H$22+'שאיפה  פרקים'!H$29+'איכות הסביבה פרקים'!H$9+'החברה לתיירות  פרקים'!H$21+'כללי פרקים'!H$13</f>
        <v>674888972.90999985</v>
      </c>
      <c r="G7" s="127">
        <f>'הנדסה פרקים'!I$91+'החברה לפיתוח פרקים'!I$67+'תבל   פרקים'!I$22+'שאיפה  פרקים'!I$29+'איכות הסביבה פרקים'!I$9+'החברה לתיירות  פרקים'!I$21+'כללי פרקים'!I$13</f>
        <v>35804717.419999994</v>
      </c>
      <c r="H7" s="127">
        <f>'הנדסה פרקים'!J$91+'החברה לפיתוח פרקים'!J$67+'תבל   פרקים'!J$22+'שאיפה  פרקים'!J$29+'איכות הסביבה פרקים'!J$9+'החברה לתיירות  פרקים'!J$21+'כללי פרקים'!J$13</f>
        <v>76453339.51000002</v>
      </c>
      <c r="I7" s="127">
        <f>'הנדסה פרקים'!K$91+'החברה לפיתוח פרקים'!K$67+'תבל   פרקים'!K$22+'שאיפה  פרקים'!K$29+'איכות הסביבה פרקים'!K$9+'החברה לתיירות  פרקים'!K$21+'כללי פרקים'!K$13</f>
        <v>112258056.92999999</v>
      </c>
      <c r="J7" s="127">
        <f>'הנדסה פרקים'!L$91+'החברה לפיתוח פרקים'!L$67+'תבל   פרקים'!L$22+'שאיפה  פרקים'!L$29+'איכות הסביבה פרקים'!L$9+'החברה לתיירות  פרקים'!L$21+'כללי פרקים'!L$13</f>
        <v>787147029.84000003</v>
      </c>
      <c r="K7" s="127">
        <f>'הנדסה פרקים'!M$91+'החברה לפיתוח פרקים'!M$67+'תבל   פרקים'!M$22+'שאיפה  פרקים'!M$29+'איכות הסביבה פרקים'!M$9+'החברה לתיירות  פרקים'!M$21+'כללי פרקים'!M$13</f>
        <v>153725925.15999997</v>
      </c>
      <c r="L7" s="127">
        <f>'הנדסה פרקים'!N$91+'החברה לפיתוח פרקים'!N$67+'תבל   פרקים'!N$22+'שאיפה  פרקים'!N$29+'איכות הסביבה פרקים'!N$9+'החברה לתיירות  פרקים'!N$21+'כללי פרקים'!N$13</f>
        <v>298094556</v>
      </c>
      <c r="M7" s="127">
        <f>'הנדסה פרקים'!O$91+'החברה לפיתוח פרקים'!O$67+'תבל   פרקים'!O$22+'שאיפה  פרקים'!O$29+'איכות הסביבה פרקים'!O$9+'החברה לתיירות  פרקים'!O$21+'כללי פרקים'!O$13</f>
        <v>783548129</v>
      </c>
      <c r="N7" s="127">
        <f>'הנדסה פרקים'!P$91+'החברה לפיתוח פרקים'!P$67+'תבל   פרקים'!P$22+'שאיפה  פרקים'!P$29+'איכות הסביבה פרקים'!P$9+'החברה לתיירות  פרקים'!P$21+'כללי פרקים'!P$13</f>
        <v>145101339.15999997</v>
      </c>
      <c r="O7" s="127">
        <f>'הנדסה פרקים'!Q$91+'החברה לפיתוח פרקים'!Q$67+'תבל   פרקים'!Q$22+'שאיפה  פרקים'!Q$29+'איכות הסביבה פרקים'!Q$9+'החברה לתיירות  פרקים'!Q$21+'כללי פרקים'!Q$13</f>
        <v>20156000</v>
      </c>
      <c r="P7" s="127">
        <f>'הנדסה פרקים'!R$91+'החברה לפיתוח פרקים'!R$67+'תבל   פרקים'!R$22+'שאיפה  פרקים'!R$29+'איכות הסביבה פרקים'!R$9+'החברה לתיירות  פרקים'!R$21+'כללי פרקים'!R$13</f>
        <v>2980000</v>
      </c>
      <c r="Q7" s="127">
        <f>'הנדסה פרקים'!S$91+'החברה לפיתוח פרקים'!S$67+'תבל   פרקים'!S$22+'שאיפה  פרקים'!S$29+'איכות הסביבה פרקים'!S$9+'החברה לתיירות  פרקים'!S$21+'כללי פרקים'!S$13</f>
        <v>23136000</v>
      </c>
      <c r="R7" s="127">
        <f>'הנדסה פרקים'!T$91+'החברה לפיתוח פרקים'!T$67+'תבל   פרקים'!T$22+'שאיפה  פרקים'!T$29+'איכות הסביבה פרקים'!T$9+'החברה לתיירות  פרקים'!T$21+'כללי פרקים'!T$13</f>
        <v>14511414</v>
      </c>
      <c r="S7" s="127">
        <f>'הנדסה פרקים'!U$91+'החברה לפיתוח פרקים'!U$67+'תבל   פרקים'!U$22+'שאיפה  פרקים'!U$29+'איכות הסביבה פרקים'!U$9+'החברה לתיירות  פרקים'!U$21+'כללי פרקים'!U$13</f>
        <v>283583142</v>
      </c>
      <c r="T7" s="127">
        <f>'הנדסה פרקים'!V$91+'החברה לפיתוח פרקים'!V$67+'תבל   פרקים'!V$22+'שאיפה  פרקים'!V$29+'איכות הסביבה פרקים'!V$9+'החברה לתיירות  פרקים'!V$21+'כללי פרקים'!V$13</f>
        <v>131171690.93023255</v>
      </c>
      <c r="U7" s="127">
        <f>'הנדסה פרקים'!W$91+'החברה לפיתוח פרקים'!W$67+'תבל   פרקים'!W$22+'שאיפה  פרקים'!W$29+'איכות הסביבה פרקים'!W$9+'החברה לתיירות  פרקים'!W$21+'כללי פרקים'!W$13</f>
        <v>3951000</v>
      </c>
      <c r="V7" s="127">
        <f>'הנדסה פרקים'!X$91+'החברה לפיתוח פרקים'!X$67+'תבל   פרקים'!X$22+'שאיפה  פרקים'!X$29+'איכות הסביבה פרקים'!X$9+'החברה לתיירות  פרקים'!X$21+'כללי פרקים'!X$13</f>
        <v>0</v>
      </c>
      <c r="W7" s="127">
        <f>'הנדסה פרקים'!Y$91+'החברה לפיתוח פרקים'!Y$67+'תבל   פרקים'!Y$22+'שאיפה  פרקים'!Y$29+'איכות הסביבה פרקים'!Y$9+'החברה לתיירות  פרקים'!Y$21+'כללי פרקים'!Y$13</f>
        <v>21700000</v>
      </c>
      <c r="X7" s="127">
        <f>'הנדסה פרקים'!Z$91+'החברה לפיתוח פרקים'!Z$67+'תבל   פרקים'!Z$22+'שאיפה  פרקים'!Z$29+'איכות הסביבה פרקים'!Z$9+'החברה לתיירות  פרקים'!Z$21+'כללי פרקים'!Z$13</f>
        <v>126760451.06976745</v>
      </c>
    </row>
    <row r="8" spans="1:25" s="129" customFormat="1" ht="27" customHeight="1">
      <c r="A8" s="769" t="s">
        <v>186</v>
      </c>
      <c r="B8" s="127">
        <f>'רשות החופים פרקים'!D$39</f>
        <v>13213000</v>
      </c>
      <c r="C8" s="127">
        <f>'רשות החופים פרקים'!E$39</f>
        <v>9209000</v>
      </c>
      <c r="D8" s="127">
        <f>'רשות החופים פרקים'!F$39</f>
        <v>4004000</v>
      </c>
      <c r="E8" s="127">
        <f>'רשות החופים פרקים'!G$39</f>
        <v>7179000</v>
      </c>
      <c r="F8" s="127">
        <f>'רשות החופים פרקים'!H$39</f>
        <v>6083098.8599999994</v>
      </c>
      <c r="G8" s="127">
        <f>'רשות החופים פרקים'!I$39</f>
        <v>0</v>
      </c>
      <c r="H8" s="127">
        <f>'רשות החופים פרקים'!J$39</f>
        <v>413078.86</v>
      </c>
      <c r="I8" s="127">
        <f>'רשות החופים פרקים'!K$39</f>
        <v>413078.86</v>
      </c>
      <c r="J8" s="127">
        <f>'רשות החופים פרקים'!L$39</f>
        <v>6496177.7199999997</v>
      </c>
      <c r="K8" s="127">
        <f>'רשות החופים פרקים'!M$39</f>
        <v>682822.2799999998</v>
      </c>
      <c r="L8" s="127">
        <f>'רשות החופים פרקים'!N$39</f>
        <v>2734000</v>
      </c>
      <c r="M8" s="127">
        <f>'רשות החופים פרקים'!O$39</f>
        <v>3300000</v>
      </c>
      <c r="N8" s="127">
        <f>'רשות החופים פרקים'!P$39</f>
        <v>682822.2799999998</v>
      </c>
      <c r="O8" s="127">
        <f>'רשות החופים פרקים'!Q$39</f>
        <v>0</v>
      </c>
      <c r="P8" s="127">
        <f>'רשות החופים פרקים'!R$39</f>
        <v>0</v>
      </c>
      <c r="Q8" s="127">
        <f>'רשות החופים פרקים'!S$39</f>
        <v>0</v>
      </c>
      <c r="R8" s="127">
        <f>'רשות החופים פרקים'!T$39</f>
        <v>0</v>
      </c>
      <c r="S8" s="127">
        <f>'רשות החופים פרקים'!U$39</f>
        <v>2734000</v>
      </c>
      <c r="T8" s="127">
        <f>'רשות החופים פרקים'!V$39</f>
        <v>0</v>
      </c>
      <c r="U8" s="127">
        <f>'רשות החופים פרקים'!W$39</f>
        <v>2130000</v>
      </c>
      <c r="V8" s="127">
        <f>'רשות החופים פרקים'!X$39</f>
        <v>0</v>
      </c>
      <c r="W8" s="127">
        <f>'רשות החופים פרקים'!Y$39</f>
        <v>0</v>
      </c>
      <c r="X8" s="127">
        <f>'רשות החופים פרקים'!Z$39</f>
        <v>604000</v>
      </c>
    </row>
    <row r="9" spans="1:25" s="129" customFormat="1" ht="27" customHeight="1">
      <c r="A9" s="21" t="s">
        <v>801</v>
      </c>
      <c r="B9" s="127">
        <f>'הנדסה פרקים'!D$95+'החברה לפיתוח פרקים'!D$70+'תבל   פרקים'!D$7+'החברה לפיתוח פרקים'!D$7+'ביטחון פיקוח וסדר ציבורי פרקים'!D$11+'שאיפה  פרקים'!D$7+' מחשוב  פרקים'!D$10+' מחשוב  פרקים'!D$14+' מחשוב  פרקים'!D$18+'שיפוצי בתים עמידר פרקים'!D$7+'כללי פרקים'!D$17</f>
        <v>112613000</v>
      </c>
      <c r="C9" s="127">
        <f>'הנדסה פרקים'!E$95+'החברה לפיתוח פרקים'!E$70+'תבל   פרקים'!E$7+'החברה לפיתוח פרקים'!E$7+'ביטחון פיקוח וסדר ציבורי פרקים'!E$11+'שאיפה  פרקים'!E$7+' מחשוב  פרקים'!E$10+' מחשוב  פרקים'!E$14+' מחשוב  פרקים'!E$18+'שיפוצי בתים עמידר פרקים'!E$7+'כללי פרקים'!E$17</f>
        <v>99463000</v>
      </c>
      <c r="D9" s="127">
        <f>'הנדסה פרקים'!F$95+'החברה לפיתוח פרקים'!F$70+'תבל   פרקים'!F$7+'החברה לפיתוח פרקים'!F$7+'ביטחון פיקוח וסדר ציבורי פרקים'!F$11+'שאיפה  פרקים'!F$7+' מחשוב  פרקים'!F$10+' מחשוב  פרקים'!F$14+' מחשוב  פרקים'!F$18+'שיפוצי בתים עמידר פרקים'!F$7+'כללי פרקים'!F$17</f>
        <v>13150000</v>
      </c>
      <c r="E9" s="127">
        <f>'הנדסה פרקים'!G$95+'החברה לפיתוח פרקים'!G$70+'תבל   פרקים'!G$7+'החברה לפיתוח פרקים'!G$7+'ביטחון פיקוח וסדר ציבורי פרקים'!G$11+'שאיפה  פרקים'!G$7+' מחשוב  פרקים'!G$10+' מחשוב  פרקים'!G$14+' מחשוב  פרקים'!G$18+'שיפוצי בתים עמידר פרקים'!G$7+'כללי פרקים'!G$17</f>
        <v>71468000</v>
      </c>
      <c r="F9" s="127">
        <f>'הנדסה פרקים'!H$95+'החברה לפיתוח פרקים'!H$70+'תבל   פרקים'!H$7+'החברה לפיתוח פרקים'!H$7+'ביטחון פיקוח וסדר ציבורי פרקים'!H$11+'שאיפה  פרקים'!H$7+' מחשוב  פרקים'!H$10+' מחשוב  פרקים'!H$14+' מחשוב  פרקים'!H$18+'שיפוצי בתים עמידר פרקים'!H$7+'כללי פרקים'!H$17</f>
        <v>62800448.199999988</v>
      </c>
      <c r="G9" s="127">
        <f>'הנדסה פרקים'!I$95+'החברה לפיתוח פרקים'!I$70+'תבל   פרקים'!I$7+'החברה לפיתוח פרקים'!I$7+'ביטחון פיקוח וסדר ציבורי פרקים'!I$11+'שאיפה  פרקים'!I$7+' מחשוב  פרקים'!I$10+' מחשוב  פרקים'!I$14+' מחשוב  פרקים'!I$18+'שיפוצי בתים עמידר פרקים'!I$7+'כללי פרקים'!I$17</f>
        <v>0</v>
      </c>
      <c r="H9" s="127">
        <f>'הנדסה פרקים'!J$95+'החברה לפיתוח פרקים'!J$70+'תבל   פרקים'!J$7+'החברה לפיתוח פרקים'!J$7+'ביטחון פיקוח וסדר ציבורי פרקים'!J$11+'שאיפה  פרקים'!J$7+' מחשוב  פרקים'!J$10+' מחשוב  פרקים'!J$14+' מחשוב  פרקים'!J$18+'שיפוצי בתים עמידר פרקים'!J$7+'כללי פרקים'!J$17</f>
        <v>3587810.9099999997</v>
      </c>
      <c r="I9" s="127">
        <f>'הנדסה פרקים'!K$95+'החברה לפיתוח פרקים'!K$70+'תבל   פרקים'!K$7+'החברה לפיתוח פרקים'!K$7+'ביטחון פיקוח וסדר ציבורי פרקים'!K$11+'שאיפה  פרקים'!K$7+' מחשוב  פרקים'!K$10+' מחשוב  פרקים'!K$14+' מחשוב  פרקים'!K$18+'שיפוצי בתים עמידר פרקים'!K$7+'כללי פרקים'!K$17</f>
        <v>3587810.9099999997</v>
      </c>
      <c r="J9" s="127">
        <f>'הנדסה פרקים'!L$95+'החברה לפיתוח פרקים'!L$70+'תבל   פרקים'!L$7+'החברה לפיתוח פרקים'!L$7+'ביטחון פיקוח וסדר ציבורי פרקים'!L$11+'שאיפה  פרקים'!L$7+' מחשוב  פרקים'!L$10+' מחשוב  פרקים'!L$14+' מחשוב  פרקים'!L$18+'שיפוצי בתים עמידר פרקים'!L$7+'כללי פרקים'!L$17</f>
        <v>66388259.109999985</v>
      </c>
      <c r="K9" s="127">
        <f>'הנדסה פרקים'!M$95+'החברה לפיתוח פרקים'!M$70+'תבל   פרקים'!M$7+'החברה לפיתוח פרקים'!M$7+'ביטחון פיקוח וסדר ציבורי פרקים'!M$11+'שאיפה  פרקים'!M$7+' מחשוב  פרקים'!M$10+' מחשוב  פרקים'!M$14+' מחשוב  פרקים'!M$18+'שיפוצי בתים עמידר פרקים'!M$7+'כללי פרקים'!M$17</f>
        <v>4354740.8899999969</v>
      </c>
      <c r="L9" s="127">
        <f>'הנדסה פרקים'!N$95+'החברה לפיתוח פרקים'!N$70+'תבל   פרקים'!N$7+'החברה לפיתוח פרקים'!N$7+'ביטחון פיקוח וסדר ציבורי פרקים'!N$11+'שאיפה  פרקים'!N$7+' מחשוב  פרקים'!N$10+' מחשוב  פרקים'!N$14+' מחשוב  פרקים'!N$18+'שיפוצי בתים עמידר פרקים'!N$7+'כללי פרקים'!N$17</f>
        <v>21610000</v>
      </c>
      <c r="M9" s="127">
        <f>'הנדסה פרקים'!O$95+'החברה לפיתוח פרקים'!O$70+'תבל   פרקים'!O$7+'החברה לפיתוח פרקים'!O$7+'ביטחון פיקוח וסדר ציבורי פרקים'!O$11+'שאיפה  פרקים'!O$7+' מחשוב  פרקים'!O$10+' מחשוב  פרקים'!O$14+' מחשוב  פרקים'!O$18+'שיפוצי בתים עמידר פרקים'!O$7+'כללי פרקים'!O$17</f>
        <v>20260000</v>
      </c>
      <c r="N9" s="127">
        <f>'הנדסה פרקים'!P$95+'החברה לפיתוח פרקים'!P$70+'תבל   פרקים'!P$7+'החברה לפיתוח פרקים'!P$7+'ביטחון פיקוח וסדר ציבורי פרקים'!P$11+'שאיפה  פרקים'!P$7+' מחשוב  פרקים'!P$10+' מחשוב  פרקים'!P$14+' מחשוב  פרקים'!P$18+'שיפוצי בתים עמידר פרקים'!P$7+'כללי פרקים'!P$17</f>
        <v>5079740.8899999969</v>
      </c>
      <c r="O9" s="127">
        <f>'הנדסה פרקים'!Q$95+'החברה לפיתוח פרקים'!Q$70+'תבל   פרקים'!Q$7+'החברה לפיתוח פרקים'!Q$7+'ביטחון פיקוח וסדר ציבורי פרקים'!Q$11+'שאיפה  פרקים'!Q$7+' מחשוב  פרקים'!Q$10+' מחשוב  פרקים'!Q$14+' מחשוב  פרקים'!Q$18+'שיפוצי בתים עמידר פרקים'!Q$7+'כללי פרקים'!Q$17</f>
        <v>600000</v>
      </c>
      <c r="P9" s="127">
        <f>'הנדסה פרקים'!R$95+'החברה לפיתוח פרקים'!R$70+'תבל   פרקים'!R$7+'החברה לפיתוח פרקים'!R$7+'ביטחון פיקוח וסדר ציבורי פרקים'!R$11+'שאיפה  פרקים'!R$7+' מחשוב  פרקים'!R$10+' מחשוב  פרקים'!R$14+' מחשוב  פרקים'!R$18+'שיפוצי בתים עמידר פרקים'!R$7+'כללי פרקים'!R$17</f>
        <v>-1200000</v>
      </c>
      <c r="Q9" s="127">
        <f>'הנדסה פרקים'!S$95+'החברה לפיתוח פרקים'!S$70+'תבל   פרקים'!S$7+'החברה לפיתוח פרקים'!S$7+'ביטחון פיקוח וסדר ציבורי פרקים'!S$11+'שאיפה  פרקים'!S$7+' מחשוב  פרקים'!S$10+' מחשוב  פרקים'!S$14+' מחשוב  פרקים'!S$18+'שיפוצי בתים עמידר פרקים'!S$7+'כללי פרקים'!S$17</f>
        <v>-600000</v>
      </c>
      <c r="R9" s="127">
        <f>'הנדסה פרקים'!T$95+'החברה לפיתוח פרקים'!T$70+'תבל   פרקים'!T$7+'החברה לפיתוח פרקים'!T$7+'ביטחון פיקוח וסדר ציבורי פרקים'!T$11+'שאיפה  פרקים'!T$7+' מחשוב  פרקים'!T$10+' מחשוב  פרקים'!T$14+' מחשוב  פרקים'!T$18+'שיפוצי בתים עמידר פרקים'!T$7+'כללי פרקים'!T$17</f>
        <v>125000</v>
      </c>
      <c r="S9" s="127">
        <f>'הנדסה פרקים'!U$95+'החברה לפיתוח פרקים'!U$70+'תבל   פרקים'!U$7+'החברה לפיתוח פרקים'!U$7+'ביטחון פיקוח וסדר ציבורי פרקים'!U$11+'שאיפה  פרקים'!U$7+' מחשוב  פרקים'!U$10+' מחשוב  פרקים'!U$14+' מחשוב  פרקים'!U$18+'שיפוצי בתים עמידר פרקים'!U$7+'כללי פרקים'!U$17</f>
        <v>21485000</v>
      </c>
      <c r="T9" s="127">
        <f>'הנדסה פרקים'!V$95+'החברה לפיתוח פרקים'!V$70+'תבל   פרקים'!V$7+'החברה לפיתוח פרקים'!V$7+'ביטחון פיקוח וסדר ציבורי פרקים'!V$11+'שאיפה  פרקים'!V$7+' מחשוב  פרקים'!V$10+' מחשוב  פרקים'!V$14+' מחשוב  פרקים'!V$18+'שיפוצי בתים עמידר פרקים'!V$7+'כללי פרקים'!V$17</f>
        <v>13015000</v>
      </c>
      <c r="U9" s="127">
        <f>'הנדסה פרקים'!W$95+'החברה לפיתוח פרקים'!W$70+'תבל   פרקים'!W$7+'החברה לפיתוח פרקים'!W$7+'ביטחון פיקוח וסדר ציבורי פרקים'!W$11+'שאיפה  פרקים'!W$7+' מחשוב  פרקים'!W$10+' מחשוב  פרקים'!W$14+' מחשוב  פרקים'!W$18+'שיפוצי בתים עמידר פרקים'!W$7+'כללי פרקים'!W$17</f>
        <v>3470000</v>
      </c>
      <c r="V9" s="127">
        <f>'הנדסה פרקים'!X$95+'החברה לפיתוח פרקים'!X$70+'תבל   פרקים'!X$7+'החברה לפיתוח פרקים'!X$7+'ביטחון פיקוח וסדר ציבורי פרקים'!X$11+'שאיפה  פרקים'!X$7+' מחשוב  פרקים'!X$10+' מחשוב  פרקים'!X$14+' מחשוב  פרקים'!X$18+'שיפוצי בתים עמידר פרקים'!X$7+'כללי פרקים'!X$17</f>
        <v>0</v>
      </c>
      <c r="W9" s="127">
        <f>'הנדסה פרקים'!Y$95+'החברה לפיתוח פרקים'!Y$70+'תבל   פרקים'!Y$7+'החברה לפיתוח פרקים'!Y$7+'ביטחון פיקוח וסדר ציבורי פרקים'!Y$11+'שאיפה  פרקים'!Y$7+' מחשוב  פרקים'!Y$10+' מחשוב  פרקים'!Y$14+' מחשוב  פרקים'!Y$18+'שיפוצי בתים עמידר פרקים'!Y$7+'כללי פרקים'!Y$17</f>
        <v>0</v>
      </c>
      <c r="X9" s="127">
        <f>'הנדסה פרקים'!Z$95+'החברה לפיתוח פרקים'!Z$70+'תבל   פרקים'!Z$7+'החברה לפיתוח פרקים'!Z$7+'ביטחון פיקוח וסדר ציבורי פרקים'!Z$11+'שאיפה  פרקים'!Z$7+' מחשוב  פרקים'!Z$10+' מחשוב  פרקים'!Z$14+' מחשוב  פרקים'!Z$18+'שיפוצי בתים עמידר פרקים'!Z$7+'כללי פרקים'!Z$17</f>
        <v>5000000</v>
      </c>
    </row>
    <row r="10" spans="1:25" s="129" customFormat="1" ht="27" customHeight="1">
      <c r="A10" s="769" t="s">
        <v>1051</v>
      </c>
      <c r="B10" s="127">
        <f>'הנדסה פרקים'!D$98+'הנדסה פרקים'!D$103+'החברה לפיתוח פרקים'!D$94+'החברה לפיתוח פרקים'!D$117+'תבל   פרקים'!D$63+'תבל   פרקים'!D$69+'תבל   פרקים'!D$72+'חינוך פרקים'!D$25+' תנוס פרקים'!D$8+' תנוס פרקים'!D$19+'שאיפה  פרקים'!D$35+'שאיפה  פרקים'!D$38+' מחשוב  פרקים'!D$22</f>
        <v>1299626019</v>
      </c>
      <c r="C10" s="127">
        <f>'הנדסה פרקים'!E$98+'הנדסה פרקים'!E$103+'החברה לפיתוח פרקים'!E$94+'החברה לפיתוח פרקים'!E$117+'תבל   פרקים'!E$63+'תבל   פרקים'!E$69+'תבל   פרקים'!E$72+'חינוך פרקים'!E$25+' תנוס פרקים'!E$8+' תנוס פרקים'!E$19+'שאיפה  פרקים'!E$35+'שאיפה  פרקים'!E$38+' מחשוב  פרקים'!E$22</f>
        <v>1037448019</v>
      </c>
      <c r="D10" s="127">
        <f>'הנדסה פרקים'!F$98+'הנדסה פרקים'!F$103+'החברה לפיתוח פרקים'!F$94+'החברה לפיתוח פרקים'!F$117+'תבל   פרקים'!F$63+'תבל   פרקים'!F$69+'תבל   פרקים'!F$72+'חינוך פרקים'!F$25+' תנוס פרקים'!F$8+' תנוס פרקים'!F$19+'שאיפה  פרקים'!F$35+'שאיפה  פרקים'!F$38+' מחשוב  פרקים'!F$22</f>
        <v>262178000</v>
      </c>
      <c r="E10" s="127">
        <f>'הנדסה פרקים'!G$98+'הנדסה פרקים'!G$103+'החברה לפיתוח פרקים'!G$94+'החברה לפיתוח פרקים'!G$117+'תבל   פרקים'!G$63+'תבל   פרקים'!G$69+'תבל   פרקים'!G$72+'חינוך פרקים'!G$25+' תנוס פרקים'!G$8+' תנוס פרקים'!G$19+'שאיפה  פרקים'!G$35+'שאיפה  פרקים'!G$38+' מחשוב  פרקים'!G$22</f>
        <v>550366148</v>
      </c>
      <c r="F10" s="127">
        <f>'הנדסה פרקים'!H$98+'הנדסה פרקים'!H$103+'החברה לפיתוח פרקים'!H$94+'החברה לפיתוח פרקים'!H$117+'תבל   פרקים'!H$63+'תבל   פרקים'!H$69+'תבל   פרקים'!H$72+'חינוך פרקים'!H$25+' תנוס פרקים'!H$8+' תנוס פרקים'!H$19+'שאיפה  פרקים'!H$35+'שאיפה  פרקים'!H$38+' מחשוב  פרקים'!H$22</f>
        <v>413915941.99000007</v>
      </c>
      <c r="G10" s="127">
        <f>'הנדסה פרקים'!I$98+'הנדסה פרקים'!I$103+'החברה לפיתוח פרקים'!I$94+'החברה לפיתוח פרקים'!I$117+'תבל   פרקים'!I$63+'תבל   פרקים'!I$69+'תבל   פרקים'!I$72+'חינוך פרקים'!I$25+' תנוס פרקים'!I$8+' תנוס פרקים'!I$19+'שאיפה  פרקים'!I$35+'שאיפה  פרקים'!I$38+' מחשוב  פרקים'!I$22</f>
        <v>23728780.670000006</v>
      </c>
      <c r="H10" s="127">
        <f>'הנדסה פרקים'!J$98+'הנדסה פרקים'!J$103+'החברה לפיתוח פרקים'!J$94+'החברה לפיתוח פרקים'!J$117+'תבל   פרקים'!J$63+'תבל   פרקים'!J$69+'תבל   פרקים'!J$72+'חינוך פרקים'!J$25+' תנוס פרקים'!J$8+' תנוס פרקים'!J$19+'שאיפה  פרקים'!J$35+'שאיפה  פרקים'!J$38+' מחשוב  פרקים'!J$22</f>
        <v>36614238.869999997</v>
      </c>
      <c r="I10" s="127">
        <f>'הנדסה פרקים'!K$98+'הנדסה פרקים'!K$103+'החברה לפיתוח פרקים'!K$94+'החברה לפיתוח פרקים'!K$117+'תבל   פרקים'!K$63+'תבל   פרקים'!K$69+'תבל   פרקים'!K$72+'חינוך פרקים'!K$25+' תנוס פרקים'!K$8+' תנוס פרקים'!K$19+'שאיפה  פרקים'!K$35+'שאיפה  פרקים'!K$38+' מחשוב  פרקים'!K$22</f>
        <v>60343019.539999992</v>
      </c>
      <c r="J10" s="127">
        <f>'הנדסה פרקים'!L$98+'הנדסה פרקים'!L$103+'החברה לפיתוח פרקים'!L$94+'החברה לפיתוח פרקים'!L$117+'תבל   פרקים'!L$63+'תבל   פרקים'!L$69+'תבל   פרקים'!L$72+'חינוך פרקים'!L$25+' תנוס פרקים'!L$8+' תנוס פרקים'!L$19+'שאיפה  פרקים'!L$35+'שאיפה  פרקים'!L$38+' מחשוב  פרקים'!L$22</f>
        <v>474258961.52999997</v>
      </c>
      <c r="K10" s="127">
        <f>'הנדסה פרקים'!M$98+'הנדסה פרקים'!M$103+'החברה לפיתוח פרקים'!M$94+'החברה לפיתוח פרקים'!M$117+'תבל   פרקים'!M$63+'תבל   פרקים'!M$69+'תבל   פרקים'!M$72+'חינוך פרקים'!M$25+' תנוס פרקים'!M$8+' תנוס פרקים'!M$19+'שאיפה  פרקים'!M$35+'שאיפה  פרקים'!M$38+' מחשוב  פרקים'!M$22</f>
        <v>75388486.469999969</v>
      </c>
      <c r="L10" s="127">
        <f>'הנדסה פרקים'!N$98+'הנדסה פרקים'!N$103+'החברה לפיתוח פרקים'!N$94+'החברה לפיתוח פרקים'!N$117+'תבל   פרקים'!N$63+'תבל   פרקים'!N$69+'תבל   פרקים'!N$72+'חינוך פרקים'!N$25+' תנוס פרקים'!N$8+' תנוס פרקים'!N$19+'שאיפה  פרקים'!N$35+'שאיפה  פרקים'!N$38+' מחשוב  פרקים'!N$22</f>
        <v>186022267</v>
      </c>
      <c r="M10" s="127">
        <f>'הנדסה פרקים'!O$98+'הנדסה פרקים'!O$103+'החברה לפיתוח פרקים'!O$94+'החברה לפיתוח פרקים'!O$117+'תבל   פרקים'!O$63+'תבל   פרקים'!O$69+'תבל   פרקים'!O$72+'חינוך פרקים'!O$25+' תנוס פרקים'!O$8+' תנוס פרקים'!O$19+'שאיפה  פרקים'!O$35+'שאיפה  פרקים'!O$38+' מחשוב  פרקים'!O$22</f>
        <v>563956304</v>
      </c>
      <c r="N10" s="127">
        <f>'הנדסה פרקים'!P$98+'הנדסה פרקים'!P$103+'החברה לפיתוח פרקים'!P$94+'החברה לפיתוח פרקים'!P$117+'תבל   פרקים'!P$63+'תבל   פרקים'!P$69+'תבל   פרקים'!P$72+'חינוך פרקים'!P$25+' תנוס פרקים'!P$8+' תנוס פרקים'!P$19+'שאיפה  פרקים'!P$35+'שאיפה  פרקים'!P$38+' מחשוב  פרקים'!P$22</f>
        <v>76107186.469999969</v>
      </c>
      <c r="O10" s="127">
        <f>'הנדסה פרקים'!Q$98+'הנדסה פרקים'!Q$103+'החברה לפיתוח פרקים'!Q$94+'החברה לפיתוח פרקים'!Q$117+'תבל   פרקים'!Q$63+'תבל   פרקים'!Q$69+'תבל   פרקים'!Q$72+'חינוך פרקים'!Q$25+' תנוס פרקים'!Q$8+' תנוס פרקים'!Q$19+'שאיפה  פרקים'!Q$35+'שאיפה  פרקים'!Q$38+' מחשוב  פרקים'!Q$22</f>
        <v>6580000</v>
      </c>
      <c r="P10" s="127">
        <f>'הנדסה פרקים'!R$98+'הנדסה פרקים'!R$103+'החברה לפיתוח פרקים'!R$94+'החברה לפיתוח פרקים'!R$117+'תבל   פרקים'!R$63+'תבל   פרקים'!R$69+'תבל   פרקים'!R$72+'חינוך פרקים'!R$25+' תנוס פרקים'!R$8+' תנוס פרקים'!R$19+'שאיפה  פרקים'!R$35+'שאיפה  פרקים'!R$38+' מחשוב  פרקים'!R$22</f>
        <v>0</v>
      </c>
      <c r="Q10" s="127">
        <f>'הנדסה פרקים'!S$98+'הנדסה פרקים'!S$103+'החברה לפיתוח פרקים'!S$94+'החברה לפיתוח פרקים'!S$117+'תבל   פרקים'!S$63+'תבל   פרקים'!S$69+'תבל   פרקים'!S$72+'חינוך פרקים'!S$25+' תנוס פרקים'!S$8+' תנוס פרקים'!S$19+'שאיפה  פרקים'!S$35+'שאיפה  פרקים'!S$38+' מחשוב  פרקים'!S$22</f>
        <v>6580000</v>
      </c>
      <c r="R10" s="127">
        <f>'הנדסה פרקים'!T$98+'הנדסה פרקים'!T$103+'החברה לפיתוח פרקים'!T$94+'החברה לפיתוח פרקים'!T$117+'תבל   פרקים'!T$63+'תבל   פרקים'!T$69+'תבל   פרקים'!T$72+'חינוך פרקים'!T$25+' תנוס פרקים'!T$8+' תנוס פרקים'!T$19+'שאיפה  פרקים'!T$35+'שאיפה  פרקים'!T$38+' מחשוב  פרקים'!T$22</f>
        <v>7298700</v>
      </c>
      <c r="S10" s="127">
        <f>'הנדסה פרקים'!U$98+'הנדסה פרקים'!U$103+'החברה לפיתוח פרקים'!U$94+'החברה לפיתוח פרקים'!U$117+'תבל   פרקים'!U$63+'תבל   פרקים'!U$69+'תבל   פרקים'!U$72+'חינוך פרקים'!U$25+' תנוס פרקים'!U$8+' תנוס פרקים'!U$19+'שאיפה  פרקים'!U$35+'שאיפה  פרקים'!U$38+' מחשוב  פרקים'!U$22</f>
        <v>178723567</v>
      </c>
      <c r="T10" s="127">
        <f>'הנדסה פרקים'!V$98+'הנדסה פרקים'!V$103+'החברה לפיתוח פרקים'!V$94+'החברה לפיתוח פרקים'!V$117+'תבל   פרקים'!V$63+'תבל   פרקים'!V$69+'תבל   פרקים'!V$72+'חינוך פרקים'!V$25+' תנוס פרקים'!V$8+' תנוס פרקים'!V$19+'שאיפה  פרקים'!V$35+'שאיפה  פרקים'!V$38+' מחשוב  פרקים'!V$22</f>
        <v>79162309</v>
      </c>
      <c r="U10" s="127">
        <f>'הנדסה פרקים'!W$98+'הנדסה פרקים'!W$103+'החברה לפיתוח פרקים'!W$94+'החברה לפיתוח פרקים'!W$117+'תבל   פרקים'!W$63+'תבל   פרקים'!W$69+'תבל   פרקים'!W$72+'חינוך פרקים'!W$25+' תנוס פרקים'!W$8+' תנוס פרקים'!W$19+'שאיפה  פרקים'!W$35+'שאיפה  פרקים'!W$38+' מחשוב  פרקים'!W$22</f>
        <v>10295000</v>
      </c>
      <c r="V10" s="127">
        <f>'הנדסה פרקים'!X$98+'הנדסה פרקים'!X$103+'החברה לפיתוח פרקים'!X$94+'החברה לפיתוח פרקים'!X$117+'תבל   פרקים'!X$63+'תבל   פרקים'!X$69+'תבל   פרקים'!X$72+'חינוך פרקים'!X$25+' תנוס פרקים'!X$8+' תנוס פרקים'!X$19+'שאיפה  פרקים'!X$35+'שאיפה  פרקים'!X$38+' מחשוב  פרקים'!X$22</f>
        <v>1250000</v>
      </c>
      <c r="W10" s="127">
        <f>'הנדסה פרקים'!Y$98+'הנדסה פרקים'!Y$103+'החברה לפיתוח פרקים'!Y$94+'החברה לפיתוח פרקים'!Y$117+'תבל   פרקים'!Y$63+'תבל   פרקים'!Y$69+'תבל   פרקים'!Y$72+'חינוך פרקים'!Y$25+' תנוס פרקים'!Y$8+' תנוס פרקים'!Y$19+'שאיפה  פרקים'!Y$35+'שאיפה  פרקים'!Y$38+' מחשוב  פרקים'!Y$22</f>
        <v>27262500</v>
      </c>
      <c r="X10" s="127">
        <f>'הנדסה פרקים'!Z$98+'הנדסה פרקים'!Z$103+'החברה לפיתוח פרקים'!Z$94+'החברה לפיתוח פרקים'!Z$117+'תבל   פרקים'!Z$63+'תבל   פרקים'!Z$69+'תבל   פרקים'!Z$72+'חינוך פרקים'!Z$25+' תנוס פרקים'!Z$8+' תנוס פרקים'!Z$19+'שאיפה  פרקים'!Z$35+'שאיפה  פרקים'!Z$38+' מחשוב  פרקים'!Z$22</f>
        <v>60753758</v>
      </c>
    </row>
    <row r="11" spans="1:25" s="129" customFormat="1" ht="27" customHeight="1">
      <c r="A11" s="769" t="s">
        <v>802</v>
      </c>
      <c r="B11" s="127">
        <f>'החברה לפיתוח פרקים'!D$122+'תבל   פרקים'!D$83</f>
        <v>17652877</v>
      </c>
      <c r="C11" s="127">
        <f>'החברה לפיתוח פרקים'!E$122+'תבל   פרקים'!E$83</f>
        <v>16352877</v>
      </c>
      <c r="D11" s="127">
        <f>'החברה לפיתוח פרקים'!F$122+'תבל   פרקים'!F$83</f>
        <v>1300000</v>
      </c>
      <c r="E11" s="127">
        <f>'החברה לפיתוח פרקים'!G$122+'תבל   פרקים'!G$83</f>
        <v>13327877</v>
      </c>
      <c r="F11" s="127">
        <f>'החברה לפיתוח פרקים'!H$122+'תבל   פרקים'!H$83</f>
        <v>9465949.879999999</v>
      </c>
      <c r="G11" s="127">
        <f>'החברה לפיתוח פרקים'!I$122+'תבל   פרקים'!I$83</f>
        <v>674211</v>
      </c>
      <c r="H11" s="127">
        <f>'החברה לפיתוח פרקים'!J$122+'תבל   פרקים'!J$83</f>
        <v>585547.85</v>
      </c>
      <c r="I11" s="127">
        <f>'החברה לפיתוח פרקים'!K$122+'תבל   פרקים'!K$83</f>
        <v>1259758.8500000001</v>
      </c>
      <c r="J11" s="127">
        <f>'החברה לפיתוח פרקים'!L$122+'תבל   פרקים'!L$83</f>
        <v>10725708.73</v>
      </c>
      <c r="K11" s="127">
        <f>'החברה לפיתוח פרקים'!M$122+'תבל   פרקים'!M$83</f>
        <v>4427168.2699999996</v>
      </c>
      <c r="L11" s="127">
        <f>'החברה לפיתוח פרקים'!N$122+'תבל   פרקים'!N$83</f>
        <v>2500000</v>
      </c>
      <c r="M11" s="127">
        <f>'החברה לפיתוח פרקים'!O$122+'תבל   פרקים'!O$83</f>
        <v>0</v>
      </c>
      <c r="N11" s="127">
        <f>'החברה לפיתוח פרקים'!P$122+'תבל   פרקים'!P$83</f>
        <v>2602168.27</v>
      </c>
      <c r="O11" s="127">
        <f>'החברה לפיתוח פרקים'!Q$122+'תבל   פרקים'!Q$83</f>
        <v>1825000</v>
      </c>
      <c r="P11" s="127">
        <f>'החברה לפיתוח פרקים'!R$122+'תבל   פרקים'!R$83</f>
        <v>0</v>
      </c>
      <c r="Q11" s="127">
        <f>'החברה לפיתוח פרקים'!S$122+'תבל   פרקים'!S$83</f>
        <v>1825000</v>
      </c>
      <c r="R11" s="127">
        <f>'החברה לפיתוח פרקים'!T$122+'תבל   פרקים'!T$83</f>
        <v>0</v>
      </c>
      <c r="S11" s="127">
        <f>'החברה לפיתוח פרקים'!U$122+'תבל   פרקים'!U$83</f>
        <v>2500000</v>
      </c>
      <c r="T11" s="127">
        <f>'החברה לפיתוח פרקים'!V$122+'תבל   פרקים'!V$83</f>
        <v>1700000</v>
      </c>
      <c r="U11" s="127">
        <f>'החברה לפיתוח פרקים'!W$122+'תבל   פרקים'!W$83</f>
        <v>800000</v>
      </c>
      <c r="V11" s="127">
        <f>'החברה לפיתוח פרקים'!X$122+'תבל   פרקים'!X$83</f>
        <v>0</v>
      </c>
      <c r="W11" s="127">
        <f>'החברה לפיתוח פרקים'!Y$122+'תבל   פרקים'!Y$83</f>
        <v>0</v>
      </c>
      <c r="X11" s="127">
        <f>'החברה לפיתוח פרקים'!Z$122+'תבל   פרקים'!Z$83</f>
        <v>0</v>
      </c>
    </row>
    <row r="12" spans="1:25" s="129" customFormat="1" ht="27" customHeight="1">
      <c r="A12" s="769" t="s">
        <v>202</v>
      </c>
      <c r="B12" s="127">
        <f>'תבל   פרקים'!D$90+'שאיפה  פרקים'!D$45+'איכות הסביבה פרקים'!D$20</f>
        <v>20179559</v>
      </c>
      <c r="C12" s="127">
        <f>'תבל   פרקים'!E$90+'שאיפה  פרקים'!E$45+'איכות הסביבה פרקים'!E$20</f>
        <v>26819559</v>
      </c>
      <c r="D12" s="127">
        <f>'תבל   פרקים'!F$90+'שאיפה  פרקים'!F$45+'איכות הסביבה פרקים'!F$20</f>
        <v>-6640000</v>
      </c>
      <c r="E12" s="127">
        <f>'תבל   פרקים'!G$90+'שאיפה  פרקים'!G$45+'איכות הסביבה פרקים'!G$20</f>
        <v>6529500</v>
      </c>
      <c r="F12" s="127">
        <f>'תבל   פרקים'!H$90+'שאיפה  פרקים'!H$45+'איכות הסביבה פרקים'!H$20</f>
        <v>3338224.13</v>
      </c>
      <c r="G12" s="127">
        <f>'תבל   פרקים'!I$90+'שאיפה  פרקים'!I$45+'איכות הסביבה פרקים'!I$20</f>
        <v>1536167.88</v>
      </c>
      <c r="H12" s="127">
        <f>'תבל   פרקים'!J$90+'שאיפה  פרקים'!J$45+'איכות הסביבה פרקים'!J$20</f>
        <v>555308.44999999995</v>
      </c>
      <c r="I12" s="127">
        <f>'תבל   פרקים'!K$90+'שאיפה  פרקים'!K$45+'איכות הסביבה פרקים'!K$20</f>
        <v>2091476.3299999998</v>
      </c>
      <c r="J12" s="127">
        <f>'תבל   פרקים'!L$90+'שאיפה  פרקים'!L$45+'איכות הסביבה פרקים'!L$20</f>
        <v>5429700.46</v>
      </c>
      <c r="K12" s="127">
        <f>'תבל   פרקים'!M$90+'שאיפה  פרקים'!M$45+'איכות הסביבה פרקים'!M$20</f>
        <v>1134800.54</v>
      </c>
      <c r="L12" s="127">
        <f>'תבל   פרקים'!N$90+'שאיפה  פרקים'!N$45+'איכות הסביבה פרקים'!N$20</f>
        <v>5551058</v>
      </c>
      <c r="M12" s="127">
        <f>'תבל   פרקים'!O$90+'שאיפה  פרקים'!O$45+'איכות הסביבה פרקים'!O$20</f>
        <v>8064000</v>
      </c>
      <c r="N12" s="127">
        <f>'תבל   פרקים'!P$90+'שאיפה  פרקים'!P$45+'איכות הסביבה פרקים'!P$20</f>
        <v>1099799.54</v>
      </c>
      <c r="O12" s="127">
        <f>'תבל   פרקים'!Q$90+'שאיפה  פרקים'!Q$45+'איכות הסביבה פרקים'!Q$20</f>
        <v>35001</v>
      </c>
      <c r="P12" s="127">
        <f>'תבל   פרקים'!R$90+'שאיפה  פרקים'!R$45+'איכות הסביבה פרקים'!R$20</f>
        <v>0</v>
      </c>
      <c r="Q12" s="127">
        <f>'תבל   פרקים'!S$90+'שאיפה  פרקים'!S$45+'איכות הסביבה פרקים'!S$20</f>
        <v>35001</v>
      </c>
      <c r="R12" s="127">
        <f>'תבל   פרקים'!T$90+'שאיפה  פרקים'!T$45+'איכות הסביבה פרקים'!T$20</f>
        <v>0</v>
      </c>
      <c r="S12" s="127">
        <f>'תבל   פרקים'!U$90+'שאיפה  פרקים'!U$45+'איכות הסביבה פרקים'!U$20</f>
        <v>5551058</v>
      </c>
      <c r="T12" s="127">
        <f>'תבל   פרקים'!V$90+'שאיפה  פרקים'!V$45+'איכות הסביבה פרקים'!V$20</f>
        <v>2200000</v>
      </c>
      <c r="U12" s="127">
        <f>'תבל   פרקים'!W$90+'שאיפה  פרקים'!W$45+'איכות הסביבה פרקים'!W$20</f>
        <v>2154000</v>
      </c>
      <c r="V12" s="127">
        <f>'תבל   פרקים'!X$90+'שאיפה  פרקים'!X$45+'איכות הסביבה פרקים'!X$20</f>
        <v>0</v>
      </c>
      <c r="W12" s="127">
        <f>'תבל   פרקים'!Y$90+'שאיפה  פרקים'!Y$45+'איכות הסביבה פרקים'!Y$20</f>
        <v>0</v>
      </c>
      <c r="X12" s="127">
        <f>'תבל   פרקים'!Z$90+'שאיפה  פרקים'!Z$45+'איכות הסביבה פרקים'!Z$20</f>
        <v>1197058</v>
      </c>
    </row>
    <row r="13" spans="1:25" s="129" customFormat="1" ht="27" customHeight="1">
      <c r="A13" s="21" t="s">
        <v>803</v>
      </c>
      <c r="B13" s="127">
        <f>'תבל   פרקים'!D$75+'שאיפה  פרקים'!D$41</f>
        <v>28100000</v>
      </c>
      <c r="C13" s="127">
        <f>'תבל   פרקים'!E$75+'שאיפה  פרקים'!E$41</f>
        <v>20800000</v>
      </c>
      <c r="D13" s="127">
        <f>'תבל   פרקים'!F$75+'שאיפה  פרקים'!F$41</f>
        <v>7300000</v>
      </c>
      <c r="E13" s="127">
        <f>'תבל   פרקים'!G$75+'שאיפה  פרקים'!G$41</f>
        <v>19374320</v>
      </c>
      <c r="F13" s="127">
        <f>'תבל   פרקים'!H$75+'שאיפה  פרקים'!H$41</f>
        <v>15936816.630000001</v>
      </c>
      <c r="G13" s="127">
        <f>'תבל   פרקים'!I$75+'שאיפה  פרקים'!I$41</f>
        <v>0</v>
      </c>
      <c r="H13" s="127">
        <f>'תבל   פרקים'!J$75+'שאיפה  פרקים'!J$41</f>
        <v>3032950.89</v>
      </c>
      <c r="I13" s="127">
        <f>'תבל   פרקים'!K$75+'שאיפה  פרקים'!K$41</f>
        <v>3032950.89</v>
      </c>
      <c r="J13" s="127">
        <f>'תבל   פרקים'!L$75+'שאיפה  פרקים'!L$41</f>
        <v>18969767.520000003</v>
      </c>
      <c r="K13" s="127">
        <f>'תבל   פרקים'!M$75+'שאיפה  פרקים'!M$41</f>
        <v>404552.47999999847</v>
      </c>
      <c r="L13" s="127">
        <f>'תבל   פרקים'!N$75+'שאיפה  פרקים'!N$41</f>
        <v>4100000</v>
      </c>
      <c r="M13" s="127">
        <f>'תבל   פרקים'!O$75+'שאיפה  פרקים'!O$41</f>
        <v>4625680</v>
      </c>
      <c r="N13" s="127">
        <f>'תבל   פרקים'!P$75+'שאיפה  פרקים'!P$41</f>
        <v>404552.47999999847</v>
      </c>
      <c r="O13" s="127">
        <f>'תבל   פרקים'!Q$75+'שאיפה  פרקים'!Q$41</f>
        <v>0</v>
      </c>
      <c r="P13" s="127">
        <f>'תבל   פרקים'!R$75+'שאיפה  פרקים'!R$41</f>
        <v>0</v>
      </c>
      <c r="Q13" s="127">
        <f>'תבל   פרקים'!S$75+'שאיפה  פרקים'!S$41</f>
        <v>0</v>
      </c>
      <c r="R13" s="127">
        <f>'תבל   פרקים'!T$75+'שאיפה  פרקים'!T$41</f>
        <v>0</v>
      </c>
      <c r="S13" s="127">
        <f>'תבל   פרקים'!U$75+'שאיפה  פרקים'!U$41</f>
        <v>4100000</v>
      </c>
      <c r="T13" s="127">
        <f>'תבל   פרקים'!V$75+'שאיפה  פרקים'!V$41</f>
        <v>1300000</v>
      </c>
      <c r="U13" s="127">
        <f>'תבל   פרקים'!W$75+'שאיפה  פרקים'!W$41</f>
        <v>2800000</v>
      </c>
      <c r="V13" s="127">
        <f>'תבל   פרקים'!X$75+'שאיפה  פרקים'!X$41</f>
        <v>0</v>
      </c>
      <c r="W13" s="127">
        <f>'תבל   פרקים'!Y$75+'שאיפה  פרקים'!Y$41</f>
        <v>0</v>
      </c>
      <c r="X13" s="127">
        <f>'תבל   פרקים'!Z$75+'שאיפה  פרקים'!Z$41</f>
        <v>0</v>
      </c>
    </row>
    <row r="14" spans="1:25" s="129" customFormat="1" ht="27" customHeight="1">
      <c r="A14" s="769" t="s">
        <v>798</v>
      </c>
      <c r="B14" s="127">
        <f>'שיפוצי בתים עמידר פרקים'!D$11</f>
        <v>88940000</v>
      </c>
      <c r="C14" s="127">
        <f>'שיפוצי בתים עמידר פרקים'!E$11</f>
        <v>77940000</v>
      </c>
      <c r="D14" s="127">
        <f>'שיפוצי בתים עמידר פרקים'!F$11</f>
        <v>11000000</v>
      </c>
      <c r="E14" s="127">
        <f>'שיפוצי בתים עמידר פרקים'!G$11</f>
        <v>60190000</v>
      </c>
      <c r="F14" s="127">
        <f>'שיפוצי בתים עמידר פרקים'!H$11</f>
        <v>58726425</v>
      </c>
      <c r="G14" s="127">
        <f>'שיפוצי בתים עמידר פרקים'!I$11</f>
        <v>0</v>
      </c>
      <c r="H14" s="127">
        <f>'שיפוצי בתים עמידר פרקים'!J$11</f>
        <v>0</v>
      </c>
      <c r="I14" s="127">
        <f>'שיפוצי בתים עמידר פרקים'!K$11</f>
        <v>0</v>
      </c>
      <c r="J14" s="127">
        <f>'שיפוצי בתים עמידר פרקים'!L$11</f>
        <v>58726425</v>
      </c>
      <c r="K14" s="127">
        <f>'שיפוצי בתים עמידר פרקים'!M$11</f>
        <v>2963575</v>
      </c>
      <c r="L14" s="127">
        <f>'שיפוצי בתים עמידר פרקים'!N$11</f>
        <v>13700000</v>
      </c>
      <c r="M14" s="127">
        <f>'שיפוצי בתים עמידר פרקים'!O$11</f>
        <v>13550000</v>
      </c>
      <c r="N14" s="127">
        <f>'שיפוצי בתים עמידר פרקים'!P$11</f>
        <v>1463575</v>
      </c>
      <c r="O14" s="127">
        <f>'שיפוצי בתים עמידר פרקים'!Q$11</f>
        <v>1500000</v>
      </c>
      <c r="P14" s="127">
        <f>'שיפוצי בתים עמידר פרקים'!R$11</f>
        <v>0</v>
      </c>
      <c r="Q14" s="127">
        <f>'שיפוצי בתים עמידר פרקים'!S$11</f>
        <v>1500000</v>
      </c>
      <c r="R14" s="127">
        <f>'שיפוצי בתים עמידר פרקים'!T$11</f>
        <v>0</v>
      </c>
      <c r="S14" s="127">
        <f>'שיפוצי בתים עמידר פרקים'!U$11</f>
        <v>13700000</v>
      </c>
      <c r="T14" s="127">
        <f>'שיפוצי בתים עמידר פרקים'!V$11</f>
        <v>0</v>
      </c>
      <c r="U14" s="127">
        <f>'שיפוצי בתים עמידר פרקים'!W$11</f>
        <v>0</v>
      </c>
      <c r="V14" s="127">
        <f>'שיפוצי בתים עמידר פרקים'!X$11</f>
        <v>0</v>
      </c>
      <c r="W14" s="127">
        <f>'שיפוצי בתים עמידר פרקים'!Y$11</f>
        <v>0</v>
      </c>
      <c r="X14" s="127">
        <f>'שיפוצי בתים עמידר פרקים'!Z$11</f>
        <v>13700000</v>
      </c>
    </row>
    <row r="15" spans="1:25" s="129" customFormat="1" ht="27" customHeight="1">
      <c r="A15" s="769" t="s">
        <v>1052</v>
      </c>
      <c r="B15" s="127">
        <f>'החברה לפיתוח פרקים'!D$128+'תבל   פרקים'!D$95+'שאיפה  פרקים'!D$48+'נכסים פרקים'!D$23+' תנוס פרקים'!D$22</f>
        <v>289089700</v>
      </c>
      <c r="C15" s="127">
        <f>'החברה לפיתוח פרקים'!E$128+'תבל   פרקים'!E$95+'שאיפה  פרקים'!E$48+'נכסים פרקים'!E$23+' תנוס פרקים'!E$22</f>
        <v>279019700</v>
      </c>
      <c r="D15" s="127">
        <f>'החברה לפיתוח פרקים'!F$128+'תבל   פרקים'!F$95+'שאיפה  פרקים'!F$48+'נכסים פרקים'!F$23+' תנוס פרקים'!F$22</f>
        <v>10070000</v>
      </c>
      <c r="E15" s="127">
        <f>'החברה לפיתוח פרקים'!G$128+'תבל   פרקים'!G$95+'שאיפה  פרקים'!G$48+'נכסים פרקים'!G$23+' תנוס פרקים'!G$22</f>
        <v>207222525</v>
      </c>
      <c r="F15" s="127">
        <f>'החברה לפיתוח פרקים'!H$128+'תבל   פרקים'!H$95+'שאיפה  פרקים'!H$48+'נכסים פרקים'!H$23+' תנוס פרקים'!H$22</f>
        <v>172263925.19999999</v>
      </c>
      <c r="G15" s="127">
        <f>'החברה לפיתוח פרקים'!I$128+'תבל   פרקים'!I$95+'שאיפה  פרקים'!I$48+'נכסים פרקים'!I$23+' תנוס פרקים'!I$22</f>
        <v>0</v>
      </c>
      <c r="H15" s="127">
        <f>'החברה לפיתוח פרקים'!J$128+'תבל   פרקים'!J$95+'שאיפה  פרקים'!J$48+'נכסים פרקים'!J$23+' תנוס פרקים'!J$22</f>
        <v>14122519.550000001</v>
      </c>
      <c r="I15" s="127">
        <f>'החברה לפיתוח פרקים'!K$128+'תבל   פרקים'!K$95+'שאיפה  פרקים'!K$48+'נכסים פרקים'!K$23+' תנוס פרקים'!K$22</f>
        <v>14122519.550000001</v>
      </c>
      <c r="J15" s="127">
        <f>'החברה לפיתוח פרקים'!L$128+'תבל   פרקים'!L$95+'שאיפה  פרקים'!L$48+'נכסים פרקים'!L$23+' תנוס פרקים'!L$22</f>
        <v>186386444.74999997</v>
      </c>
      <c r="K15" s="127">
        <f>'החברה לפיתוח פרקים'!M$128+'תבל   פרקים'!M$95+'שאיפה  פרקים'!M$48+'נכסים פרקים'!M$23+' תנוס פרקים'!M$22</f>
        <v>20836080.25</v>
      </c>
      <c r="L15" s="127">
        <f>'החברה לפיתוח פרקים'!N$128+'תבל   פרקים'!N$95+'שאיפה  פרקים'!N$48+'נכסים פרקים'!N$23+' תנוס פרקים'!N$22</f>
        <v>4770000</v>
      </c>
      <c r="M15" s="127">
        <f>'החברה לפיתוח פרקים'!O$128+'תבל   פרקים'!O$95+'שאיפה  פרקים'!O$48+'נכסים פרקים'!O$23+' תנוס פרקים'!O$22</f>
        <v>77097175</v>
      </c>
      <c r="N15" s="127">
        <f>'החברה לפיתוח פרקים'!P$128+'תבל   פרקים'!P$95+'שאיפה  פרקים'!P$48+'נכסים פרקים'!P$23+' תנוס פרקים'!P$22</f>
        <v>20836080.25</v>
      </c>
      <c r="O15" s="127">
        <f>'החברה לפיתוח פרקים'!Q$128+'תבל   פרקים'!Q$95+'שאיפה  פרקים'!Q$48+'נכסים פרקים'!Q$23+' תנוס פרקים'!Q$22</f>
        <v>0</v>
      </c>
      <c r="P15" s="127">
        <f>'החברה לפיתוח פרקים'!R$128+'תבל   פרקים'!R$95+'שאיפה  פרקים'!R$48+'נכסים פרקים'!R$23+' תנוס פרקים'!R$22</f>
        <v>0</v>
      </c>
      <c r="Q15" s="127">
        <f>'החברה לפיתוח פרקים'!S$128+'תבל   פרקים'!S$95+'שאיפה  פרקים'!S$48+'נכסים פרקים'!S$23+' תנוס פרקים'!S$22</f>
        <v>0</v>
      </c>
      <c r="R15" s="127">
        <f>'החברה לפיתוח פרקים'!T$128+'תבל   פרקים'!T$95+'שאיפה  פרקים'!T$48+'נכסים פרקים'!T$23+' תנוס פרקים'!T$22</f>
        <v>0</v>
      </c>
      <c r="S15" s="127">
        <f>'החברה לפיתוח פרקים'!U$128+'תבל   פרקים'!U$95+'שאיפה  פרקים'!U$48+'נכסים פרקים'!U$23+' תנוס פרקים'!U$22</f>
        <v>4770000</v>
      </c>
      <c r="T15" s="127">
        <f>'החברה לפיתוח פרקים'!V$128+'תבל   פרקים'!V$95+'שאיפה  פרקים'!V$48+'נכסים פרקים'!V$23+' תנוס פרקים'!V$22</f>
        <v>3570000</v>
      </c>
      <c r="U15" s="127">
        <f>'החברה לפיתוח פרקים'!W$128+'תבל   פרקים'!W$95+'שאיפה  פרקים'!W$48+'נכסים פרקים'!W$23+' תנוס פרקים'!W$22</f>
        <v>1200000</v>
      </c>
      <c r="V15" s="127">
        <f>'החברה לפיתוח פרקים'!X$128+'תבל   פרקים'!X$95+'שאיפה  פרקים'!X$48+'נכסים פרקים'!X$23+' תנוס פרקים'!X$22</f>
        <v>0</v>
      </c>
      <c r="W15" s="127">
        <f>'החברה לפיתוח פרקים'!Y$128+'תבל   פרקים'!Y$95+'שאיפה  פרקים'!Y$48+'נכסים פרקים'!Y$23+' תנוס פרקים'!Y$22</f>
        <v>0</v>
      </c>
      <c r="X15" s="127">
        <f>'החברה לפיתוח פרקים'!Z$128+'תבל   פרקים'!Z$95+'שאיפה  פרקים'!Z$48+'נכסים פרקים'!Z$23+' תנוס פרקים'!Z$22</f>
        <v>0</v>
      </c>
    </row>
    <row r="16" spans="1:25" s="129" customFormat="1" ht="27" customHeight="1">
      <c r="A16" s="21" t="s">
        <v>1053</v>
      </c>
      <c r="B16" s="127">
        <f>'כללי פרקים'!D$20</f>
        <v>15133000</v>
      </c>
      <c r="C16" s="127">
        <f>'כללי פרקים'!E$20</f>
        <v>15133000</v>
      </c>
      <c r="D16" s="127">
        <f>'כללי פרקים'!F$20</f>
        <v>0</v>
      </c>
      <c r="E16" s="127">
        <f>'כללי פרקים'!G$20</f>
        <v>15133000</v>
      </c>
      <c r="F16" s="127">
        <f>'כללי פרקים'!H$20</f>
        <v>15133000</v>
      </c>
      <c r="G16" s="127">
        <f>'כללי פרקים'!I$20</f>
        <v>0</v>
      </c>
      <c r="H16" s="127">
        <f>'כללי פרקים'!J$20</f>
        <v>0</v>
      </c>
      <c r="I16" s="127">
        <f>'כללי פרקים'!K$20</f>
        <v>0</v>
      </c>
      <c r="J16" s="127">
        <f>'כללי פרקים'!L$20</f>
        <v>15133000</v>
      </c>
      <c r="K16" s="127">
        <f>'כללי פרקים'!M$20</f>
        <v>0</v>
      </c>
      <c r="L16" s="127">
        <f>'כללי פרקים'!N$20</f>
        <v>0</v>
      </c>
      <c r="M16" s="127">
        <f>'כללי פרקים'!O$20</f>
        <v>0</v>
      </c>
      <c r="N16" s="127">
        <f>'כללי פרקים'!P$20</f>
        <v>0</v>
      </c>
      <c r="O16" s="127">
        <f>'כללי פרקים'!Q$20</f>
        <v>0</v>
      </c>
      <c r="P16" s="127">
        <f>'כללי פרקים'!R$20</f>
        <v>0</v>
      </c>
      <c r="Q16" s="127">
        <f>'כללי פרקים'!S$20</f>
        <v>0</v>
      </c>
      <c r="R16" s="127">
        <f>'כללי פרקים'!T$20</f>
        <v>0</v>
      </c>
      <c r="S16" s="127">
        <f>'כללי פרקים'!U$20</f>
        <v>0</v>
      </c>
      <c r="T16" s="127">
        <f>'כללי פרקים'!V$20</f>
        <v>0</v>
      </c>
      <c r="U16" s="127">
        <f>'כללי פרקים'!W$20</f>
        <v>0</v>
      </c>
      <c r="V16" s="127">
        <f>'כללי פרקים'!X$20</f>
        <v>0</v>
      </c>
      <c r="W16" s="127">
        <f>'כללי פרקים'!Y$20</f>
        <v>0</v>
      </c>
      <c r="X16" s="127">
        <f>'כללי פרקים'!Z$20</f>
        <v>0</v>
      </c>
    </row>
    <row r="17" spans="1:26" s="129" customFormat="1" ht="27" customHeight="1">
      <c r="A17" s="768" t="s">
        <v>208</v>
      </c>
      <c r="B17" s="127">
        <f>SUM(B5:B16)</f>
        <v>4141219830</v>
      </c>
      <c r="C17" s="127">
        <f t="shared" ref="C17:X17" si="0">SUM(C5:C16)</f>
        <v>3630112898</v>
      </c>
      <c r="D17" s="127">
        <f t="shared" si="0"/>
        <v>511106932</v>
      </c>
      <c r="E17" s="127">
        <f t="shared" si="0"/>
        <v>2023901893</v>
      </c>
      <c r="F17" s="127">
        <f t="shared" si="0"/>
        <v>1540459789.1900003</v>
      </c>
      <c r="G17" s="127">
        <f t="shared" si="0"/>
        <v>65251110.729999997</v>
      </c>
      <c r="H17" s="127">
        <f t="shared" si="0"/>
        <v>141568280.83000001</v>
      </c>
      <c r="I17" s="127">
        <f t="shared" si="0"/>
        <v>206819391.56</v>
      </c>
      <c r="J17" s="127">
        <f t="shared" si="0"/>
        <v>1747279180.75</v>
      </c>
      <c r="K17" s="127">
        <f t="shared" si="0"/>
        <v>287209212.24999988</v>
      </c>
      <c r="L17" s="127">
        <f t="shared" si="0"/>
        <v>564915063</v>
      </c>
      <c r="M17" s="127">
        <f t="shared" si="0"/>
        <v>1541816374</v>
      </c>
      <c r="N17" s="127">
        <f t="shared" si="0"/>
        <v>276622712.24999988</v>
      </c>
      <c r="O17" s="127">
        <f t="shared" si="0"/>
        <v>36625614</v>
      </c>
      <c r="P17" s="127">
        <f t="shared" si="0"/>
        <v>1780000</v>
      </c>
      <c r="Q17" s="127">
        <f t="shared" si="0"/>
        <v>38405614</v>
      </c>
      <c r="R17" s="127">
        <f t="shared" si="0"/>
        <v>27819114</v>
      </c>
      <c r="S17" s="127">
        <f t="shared" si="0"/>
        <v>537095949</v>
      </c>
      <c r="T17" s="127">
        <f t="shared" si="0"/>
        <v>237739999.93023255</v>
      </c>
      <c r="U17" s="127">
        <f t="shared" si="0"/>
        <v>27000000</v>
      </c>
      <c r="V17" s="127">
        <f t="shared" si="0"/>
        <v>1250000</v>
      </c>
      <c r="W17" s="127">
        <f t="shared" si="0"/>
        <v>48962500</v>
      </c>
      <c r="X17" s="127">
        <f t="shared" si="0"/>
        <v>222143449.06976745</v>
      </c>
    </row>
    <row r="18" spans="1:26" s="129" customFormat="1">
      <c r="A18" s="48"/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</row>
    <row r="19" spans="1:26" s="129" customFormat="1" hidden="1">
      <c r="A19" s="132"/>
      <c r="B19" s="133"/>
      <c r="C19" s="133"/>
      <c r="D19" s="63"/>
      <c r="E19" s="133"/>
      <c r="F19" s="133"/>
      <c r="G19" s="133"/>
      <c r="H19" s="133"/>
      <c r="I19" s="133"/>
      <c r="J19" s="28">
        <f>I17+F17</f>
        <v>1747279180.7500002</v>
      </c>
      <c r="K19" s="28">
        <f>N19+Q17-R17</f>
        <v>287209212.25</v>
      </c>
      <c r="L19" s="63"/>
      <c r="M19" s="63"/>
      <c r="N19" s="28">
        <f>E17-J17</f>
        <v>276622712.25</v>
      </c>
      <c r="O19" s="63"/>
      <c r="P19" s="63"/>
      <c r="Q19" s="63"/>
      <c r="R19" s="63"/>
      <c r="S19" s="28">
        <f>L17-R17</f>
        <v>537095949</v>
      </c>
      <c r="T19" s="63"/>
      <c r="U19" s="63"/>
      <c r="V19" s="63"/>
      <c r="W19" s="63"/>
      <c r="X19" s="63"/>
    </row>
    <row r="20" spans="1:26" hidden="1">
      <c r="J20" s="128"/>
      <c r="K20" s="128"/>
      <c r="M20" s="136"/>
      <c r="N20" s="137"/>
      <c r="O20" s="136"/>
      <c r="P20" s="138"/>
      <c r="Q20" s="138"/>
      <c r="R20" s="137"/>
      <c r="S20" s="139" t="s">
        <v>208</v>
      </c>
      <c r="T20" s="139" t="s">
        <v>183</v>
      </c>
      <c r="U20" s="139" t="s">
        <v>209</v>
      </c>
      <c r="V20" s="139" t="s">
        <v>15</v>
      </c>
      <c r="W20" s="139" t="s">
        <v>914</v>
      </c>
      <c r="X20" s="139" t="s">
        <v>184</v>
      </c>
    </row>
    <row r="21" spans="1:26" hidden="1">
      <c r="B21" s="146"/>
      <c r="M21" s="139" t="s">
        <v>210</v>
      </c>
      <c r="N21" s="140"/>
      <c r="O21" s="139" t="s">
        <v>210</v>
      </c>
      <c r="P21" s="141"/>
      <c r="Q21" s="141"/>
      <c r="R21" s="130"/>
      <c r="S21" s="142">
        <f>SUM(T21:X21)</f>
        <v>537095949.06976748</v>
      </c>
      <c r="T21" s="142">
        <f>'תקציב 2018 קרנות הרשות'!C20*1000</f>
        <v>237740000</v>
      </c>
      <c r="U21" s="142">
        <f>'תקציב 2018 קרנות הרשות'!D20*1000</f>
        <v>27000000</v>
      </c>
      <c r="V21" s="142">
        <f>'תקציב 2018  מקורות '!F10*1000</f>
        <v>1250000</v>
      </c>
      <c r="W21" s="142">
        <f>'תקציב 2018  מקורות '!F11*1000</f>
        <v>48962500</v>
      </c>
      <c r="X21" s="142">
        <f>'פרוט מקורות אחרים'!R16</f>
        <v>222143449.06976745</v>
      </c>
    </row>
    <row r="22" spans="1:26" hidden="1">
      <c r="B22" s="146"/>
      <c r="M22" s="139" t="s">
        <v>211</v>
      </c>
      <c r="N22" s="140"/>
      <c r="O22" s="139" t="s">
        <v>211</v>
      </c>
      <c r="P22" s="141"/>
      <c r="Q22" s="141"/>
      <c r="R22" s="130"/>
      <c r="S22" s="142">
        <f t="shared" ref="S22:X22" si="1">S17-S21</f>
        <v>-6.9767475128173828E-2</v>
      </c>
      <c r="T22" s="142">
        <f t="shared" si="1"/>
        <v>-6.976744532585144E-2</v>
      </c>
      <c r="U22" s="142">
        <f t="shared" si="1"/>
        <v>0</v>
      </c>
      <c r="V22" s="142">
        <f t="shared" si="1"/>
        <v>0</v>
      </c>
      <c r="W22" s="142">
        <f t="shared" si="1"/>
        <v>0</v>
      </c>
      <c r="X22" s="142">
        <f t="shared" si="1"/>
        <v>0</v>
      </c>
      <c r="Z22" s="133"/>
    </row>
    <row r="23" spans="1:26" hidden="1">
      <c r="A23" s="144"/>
      <c r="D23" s="144"/>
      <c r="E23" s="144"/>
      <c r="M23" s="145"/>
      <c r="O23" s="145"/>
      <c r="P23" s="145"/>
      <c r="Q23" s="145"/>
      <c r="R23" s="129"/>
      <c r="S23" s="143"/>
      <c r="T23" s="143"/>
      <c r="U23" s="143"/>
      <c r="V23" s="143"/>
      <c r="W23" s="143"/>
      <c r="X23" s="143"/>
    </row>
    <row r="24" spans="1:26">
      <c r="M24" s="145"/>
      <c r="O24" s="145"/>
      <c r="P24" s="145"/>
      <c r="Q24" s="145"/>
      <c r="R24" s="143"/>
      <c r="S24" s="143"/>
      <c r="T24" s="143"/>
      <c r="U24" s="143"/>
      <c r="V24" s="143"/>
      <c r="W24" s="143"/>
      <c r="X24" s="143"/>
    </row>
    <row r="25" spans="1:26">
      <c r="A25" s="144"/>
      <c r="C25" s="144"/>
      <c r="D25" s="144"/>
      <c r="M25" s="145"/>
      <c r="O25" s="145"/>
      <c r="P25" s="145"/>
      <c r="Q25" s="145"/>
      <c r="R25" s="129"/>
      <c r="S25" s="143"/>
      <c r="T25" s="143"/>
      <c r="U25" s="143"/>
      <c r="V25" s="143"/>
      <c r="W25" s="143"/>
      <c r="X25" s="143"/>
    </row>
    <row r="26" spans="1:26">
      <c r="N26" s="135"/>
      <c r="T26" s="143"/>
      <c r="U26" s="143"/>
      <c r="V26" s="143"/>
      <c r="W26" s="143"/>
      <c r="X26" s="143"/>
    </row>
    <row r="27" spans="1:26">
      <c r="N27" s="135"/>
      <c r="T27" s="143"/>
      <c r="U27" s="143"/>
      <c r="V27" s="143"/>
      <c r="W27" s="143"/>
      <c r="X27" s="143"/>
    </row>
    <row r="28" spans="1:26">
      <c r="N28" s="135"/>
      <c r="U28" s="143"/>
      <c r="V28" s="143"/>
      <c r="W28" s="143"/>
      <c r="X28" s="143"/>
    </row>
    <row r="29" spans="1:26">
      <c r="N29" s="135"/>
      <c r="U29" s="143"/>
      <c r="V29" s="143"/>
      <c r="W29" s="143"/>
      <c r="X29" s="143"/>
    </row>
    <row r="30" spans="1:26" s="135" customFormat="1">
      <c r="A30" s="134"/>
      <c r="J30" s="129"/>
      <c r="U30" s="146"/>
      <c r="V30" s="146"/>
      <c r="Y30" s="132"/>
      <c r="Z30" s="132"/>
    </row>
    <row r="31" spans="1:26" s="135" customFormat="1">
      <c r="A31" s="134"/>
      <c r="J31" s="129"/>
      <c r="U31" s="146"/>
      <c r="Y31" s="132"/>
      <c r="Z31" s="132"/>
    </row>
    <row r="32" spans="1:26" s="135" customFormat="1">
      <c r="A32" s="134"/>
      <c r="J32" s="129"/>
      <c r="U32" s="146"/>
      <c r="Y32" s="132"/>
      <c r="Z32" s="132"/>
    </row>
    <row r="33" spans="1:26" s="135" customFormat="1">
      <c r="A33" s="134"/>
      <c r="J33" s="129"/>
      <c r="M33" s="759"/>
      <c r="N33" s="760"/>
      <c r="O33" s="759"/>
      <c r="P33" s="759"/>
      <c r="Q33" s="759"/>
      <c r="R33" s="759"/>
      <c r="Y33" s="132"/>
      <c r="Z33" s="132"/>
    </row>
  </sheetData>
  <sheetProtection formatCells="0" formatColumns="0" formatRows="0" insertColumns="0" insertRows="0" insertHyperlinks="0" deleteColumns="0" deleteRows="0" sort="0" autoFilter="0" pivotTables="0"/>
  <mergeCells count="3">
    <mergeCell ref="B3:M3"/>
    <mergeCell ref="N3:O3"/>
    <mergeCell ref="R3:X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19"/>
  <sheetViews>
    <sheetView rightToLeft="1" workbookViewId="0">
      <selection activeCell="T10" sqref="T10"/>
    </sheetView>
  </sheetViews>
  <sheetFormatPr defaultRowHeight="15.75"/>
  <cols>
    <col min="1" max="1" width="4.140625" style="253" customWidth="1"/>
    <col min="2" max="2" width="25.5703125" style="253" customWidth="1"/>
    <col min="3" max="3" width="13.28515625" style="255" hidden="1" customWidth="1"/>
    <col min="4" max="4" width="11" style="255" customWidth="1"/>
    <col min="5" max="5" width="9.140625" style="255" hidden="1" customWidth="1"/>
    <col min="6" max="6" width="8.85546875" style="255" customWidth="1"/>
    <col min="7" max="8" width="10.7109375" style="255" customWidth="1"/>
    <col min="9" max="9" width="10" style="255" customWidth="1"/>
    <col min="10" max="10" width="10.42578125" style="255" customWidth="1"/>
    <col min="11" max="11" width="8.7109375" style="255" customWidth="1"/>
    <col min="12" max="12" width="2.7109375" style="255" hidden="1" customWidth="1"/>
    <col min="13" max="13" width="10.140625" style="255" bestFit="1" customWidth="1"/>
    <col min="14" max="14" width="10.140625" style="255" customWidth="1"/>
    <col min="15" max="16" width="10.28515625" style="255" customWidth="1"/>
    <col min="17" max="17" width="10" style="255" customWidth="1"/>
    <col min="18" max="18" width="12.85546875" style="253" customWidth="1"/>
    <col min="19" max="19" width="9.140625" style="253"/>
    <col min="20" max="20" width="11.85546875" style="253" hidden="1" customWidth="1"/>
    <col min="21" max="21" width="12.140625" style="253" hidden="1" customWidth="1"/>
    <col min="22" max="22" width="9.140625" style="253" customWidth="1"/>
    <col min="23" max="257" width="9.140625" style="253"/>
    <col min="258" max="258" width="4.140625" style="253" customWidth="1"/>
    <col min="259" max="259" width="25.5703125" style="253" customWidth="1"/>
    <col min="260" max="260" width="0" style="253" hidden="1" customWidth="1"/>
    <col min="261" max="261" width="9.140625" style="253" bestFit="1" customWidth="1"/>
    <col min="262" max="262" width="9.140625" style="253" customWidth="1"/>
    <col min="263" max="263" width="8.85546875" style="253" customWidth="1"/>
    <col min="264" max="265" width="10.7109375" style="253" customWidth="1"/>
    <col min="266" max="266" width="10" style="253" customWidth="1"/>
    <col min="267" max="267" width="10.42578125" style="253" customWidth="1"/>
    <col min="268" max="268" width="8.7109375" style="253" customWidth="1"/>
    <col min="269" max="269" width="0" style="253" hidden="1" customWidth="1"/>
    <col min="270" max="270" width="10.140625" style="253" bestFit="1" customWidth="1"/>
    <col min="271" max="271" width="10.140625" style="253" customWidth="1"/>
    <col min="272" max="272" width="0" style="253" hidden="1" customWidth="1"/>
    <col min="273" max="273" width="10" style="253" customWidth="1"/>
    <col min="274" max="274" width="12.85546875" style="253" customWidth="1"/>
    <col min="275" max="513" width="9.140625" style="253"/>
    <col min="514" max="514" width="4.140625" style="253" customWidth="1"/>
    <col min="515" max="515" width="25.5703125" style="253" customWidth="1"/>
    <col min="516" max="516" width="0" style="253" hidden="1" customWidth="1"/>
    <col min="517" max="517" width="9.140625" style="253" bestFit="1" customWidth="1"/>
    <col min="518" max="518" width="9.140625" style="253" customWidth="1"/>
    <col min="519" max="519" width="8.85546875" style="253" customWidth="1"/>
    <col min="520" max="521" width="10.7109375" style="253" customWidth="1"/>
    <col min="522" max="522" width="10" style="253" customWidth="1"/>
    <col min="523" max="523" width="10.42578125" style="253" customWidth="1"/>
    <col min="524" max="524" width="8.7109375" style="253" customWidth="1"/>
    <col min="525" max="525" width="0" style="253" hidden="1" customWidth="1"/>
    <col min="526" max="526" width="10.140625" style="253" bestFit="1" customWidth="1"/>
    <col min="527" max="527" width="10.140625" style="253" customWidth="1"/>
    <col min="528" max="528" width="0" style="253" hidden="1" customWidth="1"/>
    <col min="529" max="529" width="10" style="253" customWidth="1"/>
    <col min="530" max="530" width="12.85546875" style="253" customWidth="1"/>
    <col min="531" max="769" width="9.140625" style="253"/>
    <col min="770" max="770" width="4.140625" style="253" customWidth="1"/>
    <col min="771" max="771" width="25.5703125" style="253" customWidth="1"/>
    <col min="772" max="772" width="0" style="253" hidden="1" customWidth="1"/>
    <col min="773" max="773" width="9.140625" style="253" bestFit="1" customWidth="1"/>
    <col min="774" max="774" width="9.140625" style="253" customWidth="1"/>
    <col min="775" max="775" width="8.85546875" style="253" customWidth="1"/>
    <col min="776" max="777" width="10.7109375" style="253" customWidth="1"/>
    <col min="778" max="778" width="10" style="253" customWidth="1"/>
    <col min="779" max="779" width="10.42578125" style="253" customWidth="1"/>
    <col min="780" max="780" width="8.7109375" style="253" customWidth="1"/>
    <col min="781" max="781" width="0" style="253" hidden="1" customWidth="1"/>
    <col min="782" max="782" width="10.140625" style="253" bestFit="1" customWidth="1"/>
    <col min="783" max="783" width="10.140625" style="253" customWidth="1"/>
    <col min="784" max="784" width="0" style="253" hidden="1" customWidth="1"/>
    <col min="785" max="785" width="10" style="253" customWidth="1"/>
    <col min="786" max="786" width="12.85546875" style="253" customWidth="1"/>
    <col min="787" max="1025" width="9.140625" style="253"/>
    <col min="1026" max="1026" width="4.140625" style="253" customWidth="1"/>
    <col min="1027" max="1027" width="25.5703125" style="253" customWidth="1"/>
    <col min="1028" max="1028" width="0" style="253" hidden="1" customWidth="1"/>
    <col min="1029" max="1029" width="9.140625" style="253" bestFit="1" customWidth="1"/>
    <col min="1030" max="1030" width="9.140625" style="253" customWidth="1"/>
    <col min="1031" max="1031" width="8.85546875" style="253" customWidth="1"/>
    <col min="1032" max="1033" width="10.7109375" style="253" customWidth="1"/>
    <col min="1034" max="1034" width="10" style="253" customWidth="1"/>
    <col min="1035" max="1035" width="10.42578125" style="253" customWidth="1"/>
    <col min="1036" max="1036" width="8.7109375" style="253" customWidth="1"/>
    <col min="1037" max="1037" width="0" style="253" hidden="1" customWidth="1"/>
    <col min="1038" max="1038" width="10.140625" style="253" bestFit="1" customWidth="1"/>
    <col min="1039" max="1039" width="10.140625" style="253" customWidth="1"/>
    <col min="1040" max="1040" width="0" style="253" hidden="1" customWidth="1"/>
    <col min="1041" max="1041" width="10" style="253" customWidth="1"/>
    <col min="1042" max="1042" width="12.85546875" style="253" customWidth="1"/>
    <col min="1043" max="1281" width="9.140625" style="253"/>
    <col min="1282" max="1282" width="4.140625" style="253" customWidth="1"/>
    <col min="1283" max="1283" width="25.5703125" style="253" customWidth="1"/>
    <col min="1284" max="1284" width="0" style="253" hidden="1" customWidth="1"/>
    <col min="1285" max="1285" width="9.140625" style="253" bestFit="1" customWidth="1"/>
    <col min="1286" max="1286" width="9.140625" style="253" customWidth="1"/>
    <col min="1287" max="1287" width="8.85546875" style="253" customWidth="1"/>
    <col min="1288" max="1289" width="10.7109375" style="253" customWidth="1"/>
    <col min="1290" max="1290" width="10" style="253" customWidth="1"/>
    <col min="1291" max="1291" width="10.42578125" style="253" customWidth="1"/>
    <col min="1292" max="1292" width="8.7109375" style="253" customWidth="1"/>
    <col min="1293" max="1293" width="0" style="253" hidden="1" customWidth="1"/>
    <col min="1294" max="1294" width="10.140625" style="253" bestFit="1" customWidth="1"/>
    <col min="1295" max="1295" width="10.140625" style="253" customWidth="1"/>
    <col min="1296" max="1296" width="0" style="253" hidden="1" customWidth="1"/>
    <col min="1297" max="1297" width="10" style="253" customWidth="1"/>
    <col min="1298" max="1298" width="12.85546875" style="253" customWidth="1"/>
    <col min="1299" max="1537" width="9.140625" style="253"/>
    <col min="1538" max="1538" width="4.140625" style="253" customWidth="1"/>
    <col min="1539" max="1539" width="25.5703125" style="253" customWidth="1"/>
    <col min="1540" max="1540" width="0" style="253" hidden="1" customWidth="1"/>
    <col min="1541" max="1541" width="9.140625" style="253" bestFit="1" customWidth="1"/>
    <col min="1542" max="1542" width="9.140625" style="253" customWidth="1"/>
    <col min="1543" max="1543" width="8.85546875" style="253" customWidth="1"/>
    <col min="1544" max="1545" width="10.7109375" style="253" customWidth="1"/>
    <col min="1546" max="1546" width="10" style="253" customWidth="1"/>
    <col min="1547" max="1547" width="10.42578125" style="253" customWidth="1"/>
    <col min="1548" max="1548" width="8.7109375" style="253" customWidth="1"/>
    <col min="1549" max="1549" width="0" style="253" hidden="1" customWidth="1"/>
    <col min="1550" max="1550" width="10.140625" style="253" bestFit="1" customWidth="1"/>
    <col min="1551" max="1551" width="10.140625" style="253" customWidth="1"/>
    <col min="1552" max="1552" width="0" style="253" hidden="1" customWidth="1"/>
    <col min="1553" max="1553" width="10" style="253" customWidth="1"/>
    <col min="1554" max="1554" width="12.85546875" style="253" customWidth="1"/>
    <col min="1555" max="1793" width="9.140625" style="253"/>
    <col min="1794" max="1794" width="4.140625" style="253" customWidth="1"/>
    <col min="1795" max="1795" width="25.5703125" style="253" customWidth="1"/>
    <col min="1796" max="1796" width="0" style="253" hidden="1" customWidth="1"/>
    <col min="1797" max="1797" width="9.140625" style="253" bestFit="1" customWidth="1"/>
    <col min="1798" max="1798" width="9.140625" style="253" customWidth="1"/>
    <col min="1799" max="1799" width="8.85546875" style="253" customWidth="1"/>
    <col min="1800" max="1801" width="10.7109375" style="253" customWidth="1"/>
    <col min="1802" max="1802" width="10" style="253" customWidth="1"/>
    <col min="1803" max="1803" width="10.42578125" style="253" customWidth="1"/>
    <col min="1804" max="1804" width="8.7109375" style="253" customWidth="1"/>
    <col min="1805" max="1805" width="0" style="253" hidden="1" customWidth="1"/>
    <col min="1806" max="1806" width="10.140625" style="253" bestFit="1" customWidth="1"/>
    <col min="1807" max="1807" width="10.140625" style="253" customWidth="1"/>
    <col min="1808" max="1808" width="0" style="253" hidden="1" customWidth="1"/>
    <col min="1809" max="1809" width="10" style="253" customWidth="1"/>
    <col min="1810" max="1810" width="12.85546875" style="253" customWidth="1"/>
    <col min="1811" max="2049" width="9.140625" style="253"/>
    <col min="2050" max="2050" width="4.140625" style="253" customWidth="1"/>
    <col min="2051" max="2051" width="25.5703125" style="253" customWidth="1"/>
    <col min="2052" max="2052" width="0" style="253" hidden="1" customWidth="1"/>
    <col min="2053" max="2053" width="9.140625" style="253" bestFit="1" customWidth="1"/>
    <col min="2054" max="2054" width="9.140625" style="253" customWidth="1"/>
    <col min="2055" max="2055" width="8.85546875" style="253" customWidth="1"/>
    <col min="2056" max="2057" width="10.7109375" style="253" customWidth="1"/>
    <col min="2058" max="2058" width="10" style="253" customWidth="1"/>
    <col min="2059" max="2059" width="10.42578125" style="253" customWidth="1"/>
    <col min="2060" max="2060" width="8.7109375" style="253" customWidth="1"/>
    <col min="2061" max="2061" width="0" style="253" hidden="1" customWidth="1"/>
    <col min="2062" max="2062" width="10.140625" style="253" bestFit="1" customWidth="1"/>
    <col min="2063" max="2063" width="10.140625" style="253" customWidth="1"/>
    <col min="2064" max="2064" width="0" style="253" hidden="1" customWidth="1"/>
    <col min="2065" max="2065" width="10" style="253" customWidth="1"/>
    <col min="2066" max="2066" width="12.85546875" style="253" customWidth="1"/>
    <col min="2067" max="2305" width="9.140625" style="253"/>
    <col min="2306" max="2306" width="4.140625" style="253" customWidth="1"/>
    <col min="2307" max="2307" width="25.5703125" style="253" customWidth="1"/>
    <col min="2308" max="2308" width="0" style="253" hidden="1" customWidth="1"/>
    <col min="2309" max="2309" width="9.140625" style="253" bestFit="1" customWidth="1"/>
    <col min="2310" max="2310" width="9.140625" style="253" customWidth="1"/>
    <col min="2311" max="2311" width="8.85546875" style="253" customWidth="1"/>
    <col min="2312" max="2313" width="10.7109375" style="253" customWidth="1"/>
    <col min="2314" max="2314" width="10" style="253" customWidth="1"/>
    <col min="2315" max="2315" width="10.42578125" style="253" customWidth="1"/>
    <col min="2316" max="2316" width="8.7109375" style="253" customWidth="1"/>
    <col min="2317" max="2317" width="0" style="253" hidden="1" customWidth="1"/>
    <col min="2318" max="2318" width="10.140625" style="253" bestFit="1" customWidth="1"/>
    <col min="2319" max="2319" width="10.140625" style="253" customWidth="1"/>
    <col min="2320" max="2320" width="0" style="253" hidden="1" customWidth="1"/>
    <col min="2321" max="2321" width="10" style="253" customWidth="1"/>
    <col min="2322" max="2322" width="12.85546875" style="253" customWidth="1"/>
    <col min="2323" max="2561" width="9.140625" style="253"/>
    <col min="2562" max="2562" width="4.140625" style="253" customWidth="1"/>
    <col min="2563" max="2563" width="25.5703125" style="253" customWidth="1"/>
    <col min="2564" max="2564" width="0" style="253" hidden="1" customWidth="1"/>
    <col min="2565" max="2565" width="9.140625" style="253" bestFit="1" customWidth="1"/>
    <col min="2566" max="2566" width="9.140625" style="253" customWidth="1"/>
    <col min="2567" max="2567" width="8.85546875" style="253" customWidth="1"/>
    <col min="2568" max="2569" width="10.7109375" style="253" customWidth="1"/>
    <col min="2570" max="2570" width="10" style="253" customWidth="1"/>
    <col min="2571" max="2571" width="10.42578125" style="253" customWidth="1"/>
    <col min="2572" max="2572" width="8.7109375" style="253" customWidth="1"/>
    <col min="2573" max="2573" width="0" style="253" hidden="1" customWidth="1"/>
    <col min="2574" max="2574" width="10.140625" style="253" bestFit="1" customWidth="1"/>
    <col min="2575" max="2575" width="10.140625" style="253" customWidth="1"/>
    <col min="2576" max="2576" width="0" style="253" hidden="1" customWidth="1"/>
    <col min="2577" max="2577" width="10" style="253" customWidth="1"/>
    <col min="2578" max="2578" width="12.85546875" style="253" customWidth="1"/>
    <col min="2579" max="2817" width="9.140625" style="253"/>
    <col min="2818" max="2818" width="4.140625" style="253" customWidth="1"/>
    <col min="2819" max="2819" width="25.5703125" style="253" customWidth="1"/>
    <col min="2820" max="2820" width="0" style="253" hidden="1" customWidth="1"/>
    <col min="2821" max="2821" width="9.140625" style="253" bestFit="1" customWidth="1"/>
    <col min="2822" max="2822" width="9.140625" style="253" customWidth="1"/>
    <col min="2823" max="2823" width="8.85546875" style="253" customWidth="1"/>
    <col min="2824" max="2825" width="10.7109375" style="253" customWidth="1"/>
    <col min="2826" max="2826" width="10" style="253" customWidth="1"/>
    <col min="2827" max="2827" width="10.42578125" style="253" customWidth="1"/>
    <col min="2828" max="2828" width="8.7109375" style="253" customWidth="1"/>
    <col min="2829" max="2829" width="0" style="253" hidden="1" customWidth="1"/>
    <col min="2830" max="2830" width="10.140625" style="253" bestFit="1" customWidth="1"/>
    <col min="2831" max="2831" width="10.140625" style="253" customWidth="1"/>
    <col min="2832" max="2832" width="0" style="253" hidden="1" customWidth="1"/>
    <col min="2833" max="2833" width="10" style="253" customWidth="1"/>
    <col min="2834" max="2834" width="12.85546875" style="253" customWidth="1"/>
    <col min="2835" max="3073" width="9.140625" style="253"/>
    <col min="3074" max="3074" width="4.140625" style="253" customWidth="1"/>
    <col min="3075" max="3075" width="25.5703125" style="253" customWidth="1"/>
    <col min="3076" max="3076" width="0" style="253" hidden="1" customWidth="1"/>
    <col min="3077" max="3077" width="9.140625" style="253" bestFit="1" customWidth="1"/>
    <col min="3078" max="3078" width="9.140625" style="253" customWidth="1"/>
    <col min="3079" max="3079" width="8.85546875" style="253" customWidth="1"/>
    <col min="3080" max="3081" width="10.7109375" style="253" customWidth="1"/>
    <col min="3082" max="3082" width="10" style="253" customWidth="1"/>
    <col min="3083" max="3083" width="10.42578125" style="253" customWidth="1"/>
    <col min="3084" max="3084" width="8.7109375" style="253" customWidth="1"/>
    <col min="3085" max="3085" width="0" style="253" hidden="1" customWidth="1"/>
    <col min="3086" max="3086" width="10.140625" style="253" bestFit="1" customWidth="1"/>
    <col min="3087" max="3087" width="10.140625" style="253" customWidth="1"/>
    <col min="3088" max="3088" width="0" style="253" hidden="1" customWidth="1"/>
    <col min="3089" max="3089" width="10" style="253" customWidth="1"/>
    <col min="3090" max="3090" width="12.85546875" style="253" customWidth="1"/>
    <col min="3091" max="3329" width="9.140625" style="253"/>
    <col min="3330" max="3330" width="4.140625" style="253" customWidth="1"/>
    <col min="3331" max="3331" width="25.5703125" style="253" customWidth="1"/>
    <col min="3332" max="3332" width="0" style="253" hidden="1" customWidth="1"/>
    <col min="3333" max="3333" width="9.140625" style="253" bestFit="1" customWidth="1"/>
    <col min="3334" max="3334" width="9.140625" style="253" customWidth="1"/>
    <col min="3335" max="3335" width="8.85546875" style="253" customWidth="1"/>
    <col min="3336" max="3337" width="10.7109375" style="253" customWidth="1"/>
    <col min="3338" max="3338" width="10" style="253" customWidth="1"/>
    <col min="3339" max="3339" width="10.42578125" style="253" customWidth="1"/>
    <col min="3340" max="3340" width="8.7109375" style="253" customWidth="1"/>
    <col min="3341" max="3341" width="0" style="253" hidden="1" customWidth="1"/>
    <col min="3342" max="3342" width="10.140625" style="253" bestFit="1" customWidth="1"/>
    <col min="3343" max="3343" width="10.140625" style="253" customWidth="1"/>
    <col min="3344" max="3344" width="0" style="253" hidden="1" customWidth="1"/>
    <col min="3345" max="3345" width="10" style="253" customWidth="1"/>
    <col min="3346" max="3346" width="12.85546875" style="253" customWidth="1"/>
    <col min="3347" max="3585" width="9.140625" style="253"/>
    <col min="3586" max="3586" width="4.140625" style="253" customWidth="1"/>
    <col min="3587" max="3587" width="25.5703125" style="253" customWidth="1"/>
    <col min="3588" max="3588" width="0" style="253" hidden="1" customWidth="1"/>
    <col min="3589" max="3589" width="9.140625" style="253" bestFit="1" customWidth="1"/>
    <col min="3590" max="3590" width="9.140625" style="253" customWidth="1"/>
    <col min="3591" max="3591" width="8.85546875" style="253" customWidth="1"/>
    <col min="3592" max="3593" width="10.7109375" style="253" customWidth="1"/>
    <col min="3594" max="3594" width="10" style="253" customWidth="1"/>
    <col min="3595" max="3595" width="10.42578125" style="253" customWidth="1"/>
    <col min="3596" max="3596" width="8.7109375" style="253" customWidth="1"/>
    <col min="3597" max="3597" width="0" style="253" hidden="1" customWidth="1"/>
    <col min="3598" max="3598" width="10.140625" style="253" bestFit="1" customWidth="1"/>
    <col min="3599" max="3599" width="10.140625" style="253" customWidth="1"/>
    <col min="3600" max="3600" width="0" style="253" hidden="1" customWidth="1"/>
    <col min="3601" max="3601" width="10" style="253" customWidth="1"/>
    <col min="3602" max="3602" width="12.85546875" style="253" customWidth="1"/>
    <col min="3603" max="3841" width="9.140625" style="253"/>
    <col min="3842" max="3842" width="4.140625" style="253" customWidth="1"/>
    <col min="3843" max="3843" width="25.5703125" style="253" customWidth="1"/>
    <col min="3844" max="3844" width="0" style="253" hidden="1" customWidth="1"/>
    <col min="3845" max="3845" width="9.140625" style="253" bestFit="1" customWidth="1"/>
    <col min="3846" max="3846" width="9.140625" style="253" customWidth="1"/>
    <col min="3847" max="3847" width="8.85546875" style="253" customWidth="1"/>
    <col min="3848" max="3849" width="10.7109375" style="253" customWidth="1"/>
    <col min="3850" max="3850" width="10" style="253" customWidth="1"/>
    <col min="3851" max="3851" width="10.42578125" style="253" customWidth="1"/>
    <col min="3852" max="3852" width="8.7109375" style="253" customWidth="1"/>
    <col min="3853" max="3853" width="0" style="253" hidden="1" customWidth="1"/>
    <col min="3854" max="3854" width="10.140625" style="253" bestFit="1" customWidth="1"/>
    <col min="3855" max="3855" width="10.140625" style="253" customWidth="1"/>
    <col min="3856" max="3856" width="0" style="253" hidden="1" customWidth="1"/>
    <col min="3857" max="3857" width="10" style="253" customWidth="1"/>
    <col min="3858" max="3858" width="12.85546875" style="253" customWidth="1"/>
    <col min="3859" max="4097" width="9.140625" style="253"/>
    <col min="4098" max="4098" width="4.140625" style="253" customWidth="1"/>
    <col min="4099" max="4099" width="25.5703125" style="253" customWidth="1"/>
    <col min="4100" max="4100" width="0" style="253" hidden="1" customWidth="1"/>
    <col min="4101" max="4101" width="9.140625" style="253" bestFit="1" customWidth="1"/>
    <col min="4102" max="4102" width="9.140625" style="253" customWidth="1"/>
    <col min="4103" max="4103" width="8.85546875" style="253" customWidth="1"/>
    <col min="4104" max="4105" width="10.7109375" style="253" customWidth="1"/>
    <col min="4106" max="4106" width="10" style="253" customWidth="1"/>
    <col min="4107" max="4107" width="10.42578125" style="253" customWidth="1"/>
    <col min="4108" max="4108" width="8.7109375" style="253" customWidth="1"/>
    <col min="4109" max="4109" width="0" style="253" hidden="1" customWidth="1"/>
    <col min="4110" max="4110" width="10.140625" style="253" bestFit="1" customWidth="1"/>
    <col min="4111" max="4111" width="10.140625" style="253" customWidth="1"/>
    <col min="4112" max="4112" width="0" style="253" hidden="1" customWidth="1"/>
    <col min="4113" max="4113" width="10" style="253" customWidth="1"/>
    <col min="4114" max="4114" width="12.85546875" style="253" customWidth="1"/>
    <col min="4115" max="4353" width="9.140625" style="253"/>
    <col min="4354" max="4354" width="4.140625" style="253" customWidth="1"/>
    <col min="4355" max="4355" width="25.5703125" style="253" customWidth="1"/>
    <col min="4356" max="4356" width="0" style="253" hidden="1" customWidth="1"/>
    <col min="4357" max="4357" width="9.140625" style="253" bestFit="1" customWidth="1"/>
    <col min="4358" max="4358" width="9.140625" style="253" customWidth="1"/>
    <col min="4359" max="4359" width="8.85546875" style="253" customWidth="1"/>
    <col min="4360" max="4361" width="10.7109375" style="253" customWidth="1"/>
    <col min="4362" max="4362" width="10" style="253" customWidth="1"/>
    <col min="4363" max="4363" width="10.42578125" style="253" customWidth="1"/>
    <col min="4364" max="4364" width="8.7109375" style="253" customWidth="1"/>
    <col min="4365" max="4365" width="0" style="253" hidden="1" customWidth="1"/>
    <col min="4366" max="4366" width="10.140625" style="253" bestFit="1" customWidth="1"/>
    <col min="4367" max="4367" width="10.140625" style="253" customWidth="1"/>
    <col min="4368" max="4368" width="0" style="253" hidden="1" customWidth="1"/>
    <col min="4369" max="4369" width="10" style="253" customWidth="1"/>
    <col min="4370" max="4370" width="12.85546875" style="253" customWidth="1"/>
    <col min="4371" max="4609" width="9.140625" style="253"/>
    <col min="4610" max="4610" width="4.140625" style="253" customWidth="1"/>
    <col min="4611" max="4611" width="25.5703125" style="253" customWidth="1"/>
    <col min="4612" max="4612" width="0" style="253" hidden="1" customWidth="1"/>
    <col min="4613" max="4613" width="9.140625" style="253" bestFit="1" customWidth="1"/>
    <col min="4614" max="4614" width="9.140625" style="253" customWidth="1"/>
    <col min="4615" max="4615" width="8.85546875" style="253" customWidth="1"/>
    <col min="4616" max="4617" width="10.7109375" style="253" customWidth="1"/>
    <col min="4618" max="4618" width="10" style="253" customWidth="1"/>
    <col min="4619" max="4619" width="10.42578125" style="253" customWidth="1"/>
    <col min="4620" max="4620" width="8.7109375" style="253" customWidth="1"/>
    <col min="4621" max="4621" width="0" style="253" hidden="1" customWidth="1"/>
    <col min="4622" max="4622" width="10.140625" style="253" bestFit="1" customWidth="1"/>
    <col min="4623" max="4623" width="10.140625" style="253" customWidth="1"/>
    <col min="4624" max="4624" width="0" style="253" hidden="1" customWidth="1"/>
    <col min="4625" max="4625" width="10" style="253" customWidth="1"/>
    <col min="4626" max="4626" width="12.85546875" style="253" customWidth="1"/>
    <col min="4627" max="4865" width="9.140625" style="253"/>
    <col min="4866" max="4866" width="4.140625" style="253" customWidth="1"/>
    <col min="4867" max="4867" width="25.5703125" style="253" customWidth="1"/>
    <col min="4868" max="4868" width="0" style="253" hidden="1" customWidth="1"/>
    <col min="4869" max="4869" width="9.140625" style="253" bestFit="1" customWidth="1"/>
    <col min="4870" max="4870" width="9.140625" style="253" customWidth="1"/>
    <col min="4871" max="4871" width="8.85546875" style="253" customWidth="1"/>
    <col min="4872" max="4873" width="10.7109375" style="253" customWidth="1"/>
    <col min="4874" max="4874" width="10" style="253" customWidth="1"/>
    <col min="4875" max="4875" width="10.42578125" style="253" customWidth="1"/>
    <col min="4876" max="4876" width="8.7109375" style="253" customWidth="1"/>
    <col min="4877" max="4877" width="0" style="253" hidden="1" customWidth="1"/>
    <col min="4878" max="4878" width="10.140625" style="253" bestFit="1" customWidth="1"/>
    <col min="4879" max="4879" width="10.140625" style="253" customWidth="1"/>
    <col min="4880" max="4880" width="0" style="253" hidden="1" customWidth="1"/>
    <col min="4881" max="4881" width="10" style="253" customWidth="1"/>
    <col min="4882" max="4882" width="12.85546875" style="253" customWidth="1"/>
    <col min="4883" max="5121" width="9.140625" style="253"/>
    <col min="5122" max="5122" width="4.140625" style="253" customWidth="1"/>
    <col min="5123" max="5123" width="25.5703125" style="253" customWidth="1"/>
    <col min="5124" max="5124" width="0" style="253" hidden="1" customWidth="1"/>
    <col min="5125" max="5125" width="9.140625" style="253" bestFit="1" customWidth="1"/>
    <col min="5126" max="5126" width="9.140625" style="253" customWidth="1"/>
    <col min="5127" max="5127" width="8.85546875" style="253" customWidth="1"/>
    <col min="5128" max="5129" width="10.7109375" style="253" customWidth="1"/>
    <col min="5130" max="5130" width="10" style="253" customWidth="1"/>
    <col min="5131" max="5131" width="10.42578125" style="253" customWidth="1"/>
    <col min="5132" max="5132" width="8.7109375" style="253" customWidth="1"/>
    <col min="5133" max="5133" width="0" style="253" hidden="1" customWidth="1"/>
    <col min="5134" max="5134" width="10.140625" style="253" bestFit="1" customWidth="1"/>
    <col min="5135" max="5135" width="10.140625" style="253" customWidth="1"/>
    <col min="5136" max="5136" width="0" style="253" hidden="1" customWidth="1"/>
    <col min="5137" max="5137" width="10" style="253" customWidth="1"/>
    <col min="5138" max="5138" width="12.85546875" style="253" customWidth="1"/>
    <col min="5139" max="5377" width="9.140625" style="253"/>
    <col min="5378" max="5378" width="4.140625" style="253" customWidth="1"/>
    <col min="5379" max="5379" width="25.5703125" style="253" customWidth="1"/>
    <col min="5380" max="5380" width="0" style="253" hidden="1" customWidth="1"/>
    <col min="5381" max="5381" width="9.140625" style="253" bestFit="1" customWidth="1"/>
    <col min="5382" max="5382" width="9.140625" style="253" customWidth="1"/>
    <col min="5383" max="5383" width="8.85546875" style="253" customWidth="1"/>
    <col min="5384" max="5385" width="10.7109375" style="253" customWidth="1"/>
    <col min="5386" max="5386" width="10" style="253" customWidth="1"/>
    <col min="5387" max="5387" width="10.42578125" style="253" customWidth="1"/>
    <col min="5388" max="5388" width="8.7109375" style="253" customWidth="1"/>
    <col min="5389" max="5389" width="0" style="253" hidden="1" customWidth="1"/>
    <col min="5390" max="5390" width="10.140625" style="253" bestFit="1" customWidth="1"/>
    <col min="5391" max="5391" width="10.140625" style="253" customWidth="1"/>
    <col min="5392" max="5392" width="0" style="253" hidden="1" customWidth="1"/>
    <col min="5393" max="5393" width="10" style="253" customWidth="1"/>
    <col min="5394" max="5394" width="12.85546875" style="253" customWidth="1"/>
    <col min="5395" max="5633" width="9.140625" style="253"/>
    <col min="5634" max="5634" width="4.140625" style="253" customWidth="1"/>
    <col min="5635" max="5635" width="25.5703125" style="253" customWidth="1"/>
    <col min="5636" max="5636" width="0" style="253" hidden="1" customWidth="1"/>
    <col min="5637" max="5637" width="9.140625" style="253" bestFit="1" customWidth="1"/>
    <col min="5638" max="5638" width="9.140625" style="253" customWidth="1"/>
    <col min="5639" max="5639" width="8.85546875" style="253" customWidth="1"/>
    <col min="5640" max="5641" width="10.7109375" style="253" customWidth="1"/>
    <col min="5642" max="5642" width="10" style="253" customWidth="1"/>
    <col min="5643" max="5643" width="10.42578125" style="253" customWidth="1"/>
    <col min="5644" max="5644" width="8.7109375" style="253" customWidth="1"/>
    <col min="5645" max="5645" width="0" style="253" hidden="1" customWidth="1"/>
    <col min="5646" max="5646" width="10.140625" style="253" bestFit="1" customWidth="1"/>
    <col min="5647" max="5647" width="10.140625" style="253" customWidth="1"/>
    <col min="5648" max="5648" width="0" style="253" hidden="1" customWidth="1"/>
    <col min="5649" max="5649" width="10" style="253" customWidth="1"/>
    <col min="5650" max="5650" width="12.85546875" style="253" customWidth="1"/>
    <col min="5651" max="5889" width="9.140625" style="253"/>
    <col min="5890" max="5890" width="4.140625" style="253" customWidth="1"/>
    <col min="5891" max="5891" width="25.5703125" style="253" customWidth="1"/>
    <col min="5892" max="5892" width="0" style="253" hidden="1" customWidth="1"/>
    <col min="5893" max="5893" width="9.140625" style="253" bestFit="1" customWidth="1"/>
    <col min="5894" max="5894" width="9.140625" style="253" customWidth="1"/>
    <col min="5895" max="5895" width="8.85546875" style="253" customWidth="1"/>
    <col min="5896" max="5897" width="10.7109375" style="253" customWidth="1"/>
    <col min="5898" max="5898" width="10" style="253" customWidth="1"/>
    <col min="5899" max="5899" width="10.42578125" style="253" customWidth="1"/>
    <col min="5900" max="5900" width="8.7109375" style="253" customWidth="1"/>
    <col min="5901" max="5901" width="0" style="253" hidden="1" customWidth="1"/>
    <col min="5902" max="5902" width="10.140625" style="253" bestFit="1" customWidth="1"/>
    <col min="5903" max="5903" width="10.140625" style="253" customWidth="1"/>
    <col min="5904" max="5904" width="0" style="253" hidden="1" customWidth="1"/>
    <col min="5905" max="5905" width="10" style="253" customWidth="1"/>
    <col min="5906" max="5906" width="12.85546875" style="253" customWidth="1"/>
    <col min="5907" max="6145" width="9.140625" style="253"/>
    <col min="6146" max="6146" width="4.140625" style="253" customWidth="1"/>
    <col min="6147" max="6147" width="25.5703125" style="253" customWidth="1"/>
    <col min="6148" max="6148" width="0" style="253" hidden="1" customWidth="1"/>
    <col min="6149" max="6149" width="9.140625" style="253" bestFit="1" customWidth="1"/>
    <col min="6150" max="6150" width="9.140625" style="253" customWidth="1"/>
    <col min="6151" max="6151" width="8.85546875" style="253" customWidth="1"/>
    <col min="6152" max="6153" width="10.7109375" style="253" customWidth="1"/>
    <col min="6154" max="6154" width="10" style="253" customWidth="1"/>
    <col min="6155" max="6155" width="10.42578125" style="253" customWidth="1"/>
    <col min="6156" max="6156" width="8.7109375" style="253" customWidth="1"/>
    <col min="6157" max="6157" width="0" style="253" hidden="1" customWidth="1"/>
    <col min="6158" max="6158" width="10.140625" style="253" bestFit="1" customWidth="1"/>
    <col min="6159" max="6159" width="10.140625" style="253" customWidth="1"/>
    <col min="6160" max="6160" width="0" style="253" hidden="1" customWidth="1"/>
    <col min="6161" max="6161" width="10" style="253" customWidth="1"/>
    <col min="6162" max="6162" width="12.85546875" style="253" customWidth="1"/>
    <col min="6163" max="6401" width="9.140625" style="253"/>
    <col min="6402" max="6402" width="4.140625" style="253" customWidth="1"/>
    <col min="6403" max="6403" width="25.5703125" style="253" customWidth="1"/>
    <col min="6404" max="6404" width="0" style="253" hidden="1" customWidth="1"/>
    <col min="6405" max="6405" width="9.140625" style="253" bestFit="1" customWidth="1"/>
    <col min="6406" max="6406" width="9.140625" style="253" customWidth="1"/>
    <col min="6407" max="6407" width="8.85546875" style="253" customWidth="1"/>
    <col min="6408" max="6409" width="10.7109375" style="253" customWidth="1"/>
    <col min="6410" max="6410" width="10" style="253" customWidth="1"/>
    <col min="6411" max="6411" width="10.42578125" style="253" customWidth="1"/>
    <col min="6412" max="6412" width="8.7109375" style="253" customWidth="1"/>
    <col min="6413" max="6413" width="0" style="253" hidden="1" customWidth="1"/>
    <col min="6414" max="6414" width="10.140625" style="253" bestFit="1" customWidth="1"/>
    <col min="6415" max="6415" width="10.140625" style="253" customWidth="1"/>
    <col min="6416" max="6416" width="0" style="253" hidden="1" customWidth="1"/>
    <col min="6417" max="6417" width="10" style="253" customWidth="1"/>
    <col min="6418" max="6418" width="12.85546875" style="253" customWidth="1"/>
    <col min="6419" max="6657" width="9.140625" style="253"/>
    <col min="6658" max="6658" width="4.140625" style="253" customWidth="1"/>
    <col min="6659" max="6659" width="25.5703125" style="253" customWidth="1"/>
    <col min="6660" max="6660" width="0" style="253" hidden="1" customWidth="1"/>
    <col min="6661" max="6661" width="9.140625" style="253" bestFit="1" customWidth="1"/>
    <col min="6662" max="6662" width="9.140625" style="253" customWidth="1"/>
    <col min="6663" max="6663" width="8.85546875" style="253" customWidth="1"/>
    <col min="6664" max="6665" width="10.7109375" style="253" customWidth="1"/>
    <col min="6666" max="6666" width="10" style="253" customWidth="1"/>
    <col min="6667" max="6667" width="10.42578125" style="253" customWidth="1"/>
    <col min="6668" max="6668" width="8.7109375" style="253" customWidth="1"/>
    <col min="6669" max="6669" width="0" style="253" hidden="1" customWidth="1"/>
    <col min="6670" max="6670" width="10.140625" style="253" bestFit="1" customWidth="1"/>
    <col min="6671" max="6671" width="10.140625" style="253" customWidth="1"/>
    <col min="6672" max="6672" width="0" style="253" hidden="1" customWidth="1"/>
    <col min="6673" max="6673" width="10" style="253" customWidth="1"/>
    <col min="6674" max="6674" width="12.85546875" style="253" customWidth="1"/>
    <col min="6675" max="6913" width="9.140625" style="253"/>
    <col min="6914" max="6914" width="4.140625" style="253" customWidth="1"/>
    <col min="6915" max="6915" width="25.5703125" style="253" customWidth="1"/>
    <col min="6916" max="6916" width="0" style="253" hidden="1" customWidth="1"/>
    <col min="6917" max="6917" width="9.140625" style="253" bestFit="1" customWidth="1"/>
    <col min="6918" max="6918" width="9.140625" style="253" customWidth="1"/>
    <col min="6919" max="6919" width="8.85546875" style="253" customWidth="1"/>
    <col min="6920" max="6921" width="10.7109375" style="253" customWidth="1"/>
    <col min="6922" max="6922" width="10" style="253" customWidth="1"/>
    <col min="6923" max="6923" width="10.42578125" style="253" customWidth="1"/>
    <col min="6924" max="6924" width="8.7109375" style="253" customWidth="1"/>
    <col min="6925" max="6925" width="0" style="253" hidden="1" customWidth="1"/>
    <col min="6926" max="6926" width="10.140625" style="253" bestFit="1" customWidth="1"/>
    <col min="6927" max="6927" width="10.140625" style="253" customWidth="1"/>
    <col min="6928" max="6928" width="0" style="253" hidden="1" customWidth="1"/>
    <col min="6929" max="6929" width="10" style="253" customWidth="1"/>
    <col min="6930" max="6930" width="12.85546875" style="253" customWidth="1"/>
    <col min="6931" max="7169" width="9.140625" style="253"/>
    <col min="7170" max="7170" width="4.140625" style="253" customWidth="1"/>
    <col min="7171" max="7171" width="25.5703125" style="253" customWidth="1"/>
    <col min="7172" max="7172" width="0" style="253" hidden="1" customWidth="1"/>
    <col min="7173" max="7173" width="9.140625" style="253" bestFit="1" customWidth="1"/>
    <col min="7174" max="7174" width="9.140625" style="253" customWidth="1"/>
    <col min="7175" max="7175" width="8.85546875" style="253" customWidth="1"/>
    <col min="7176" max="7177" width="10.7109375" style="253" customWidth="1"/>
    <col min="7178" max="7178" width="10" style="253" customWidth="1"/>
    <col min="7179" max="7179" width="10.42578125" style="253" customWidth="1"/>
    <col min="7180" max="7180" width="8.7109375" style="253" customWidth="1"/>
    <col min="7181" max="7181" width="0" style="253" hidden="1" customWidth="1"/>
    <col min="7182" max="7182" width="10.140625" style="253" bestFit="1" customWidth="1"/>
    <col min="7183" max="7183" width="10.140625" style="253" customWidth="1"/>
    <col min="7184" max="7184" width="0" style="253" hidden="1" customWidth="1"/>
    <col min="7185" max="7185" width="10" style="253" customWidth="1"/>
    <col min="7186" max="7186" width="12.85546875" style="253" customWidth="1"/>
    <col min="7187" max="7425" width="9.140625" style="253"/>
    <col min="7426" max="7426" width="4.140625" style="253" customWidth="1"/>
    <col min="7427" max="7427" width="25.5703125" style="253" customWidth="1"/>
    <col min="7428" max="7428" width="0" style="253" hidden="1" customWidth="1"/>
    <col min="7429" max="7429" width="9.140625" style="253" bestFit="1" customWidth="1"/>
    <col min="7430" max="7430" width="9.140625" style="253" customWidth="1"/>
    <col min="7431" max="7431" width="8.85546875" style="253" customWidth="1"/>
    <col min="7432" max="7433" width="10.7109375" style="253" customWidth="1"/>
    <col min="7434" max="7434" width="10" style="253" customWidth="1"/>
    <col min="7435" max="7435" width="10.42578125" style="253" customWidth="1"/>
    <col min="7436" max="7436" width="8.7109375" style="253" customWidth="1"/>
    <col min="7437" max="7437" width="0" style="253" hidden="1" customWidth="1"/>
    <col min="7438" max="7438" width="10.140625" style="253" bestFit="1" customWidth="1"/>
    <col min="7439" max="7439" width="10.140625" style="253" customWidth="1"/>
    <col min="7440" max="7440" width="0" style="253" hidden="1" customWidth="1"/>
    <col min="7441" max="7441" width="10" style="253" customWidth="1"/>
    <col min="7442" max="7442" width="12.85546875" style="253" customWidth="1"/>
    <col min="7443" max="7681" width="9.140625" style="253"/>
    <col min="7682" max="7682" width="4.140625" style="253" customWidth="1"/>
    <col min="7683" max="7683" width="25.5703125" style="253" customWidth="1"/>
    <col min="7684" max="7684" width="0" style="253" hidden="1" customWidth="1"/>
    <col min="7685" max="7685" width="9.140625" style="253" bestFit="1" customWidth="1"/>
    <col min="7686" max="7686" width="9.140625" style="253" customWidth="1"/>
    <col min="7687" max="7687" width="8.85546875" style="253" customWidth="1"/>
    <col min="7688" max="7689" width="10.7109375" style="253" customWidth="1"/>
    <col min="7690" max="7690" width="10" style="253" customWidth="1"/>
    <col min="7691" max="7691" width="10.42578125" style="253" customWidth="1"/>
    <col min="7692" max="7692" width="8.7109375" style="253" customWidth="1"/>
    <col min="7693" max="7693" width="0" style="253" hidden="1" customWidth="1"/>
    <col min="7694" max="7694" width="10.140625" style="253" bestFit="1" customWidth="1"/>
    <col min="7695" max="7695" width="10.140625" style="253" customWidth="1"/>
    <col min="7696" max="7696" width="0" style="253" hidden="1" customWidth="1"/>
    <col min="7697" max="7697" width="10" style="253" customWidth="1"/>
    <col min="7698" max="7698" width="12.85546875" style="253" customWidth="1"/>
    <col min="7699" max="7937" width="9.140625" style="253"/>
    <col min="7938" max="7938" width="4.140625" style="253" customWidth="1"/>
    <col min="7939" max="7939" width="25.5703125" style="253" customWidth="1"/>
    <col min="7940" max="7940" width="0" style="253" hidden="1" customWidth="1"/>
    <col min="7941" max="7941" width="9.140625" style="253" bestFit="1" customWidth="1"/>
    <col min="7942" max="7942" width="9.140625" style="253" customWidth="1"/>
    <col min="7943" max="7943" width="8.85546875" style="253" customWidth="1"/>
    <col min="7944" max="7945" width="10.7109375" style="253" customWidth="1"/>
    <col min="7946" max="7946" width="10" style="253" customWidth="1"/>
    <col min="7947" max="7947" width="10.42578125" style="253" customWidth="1"/>
    <col min="7948" max="7948" width="8.7109375" style="253" customWidth="1"/>
    <col min="7949" max="7949" width="0" style="253" hidden="1" customWidth="1"/>
    <col min="7950" max="7950" width="10.140625" style="253" bestFit="1" customWidth="1"/>
    <col min="7951" max="7951" width="10.140625" style="253" customWidth="1"/>
    <col min="7952" max="7952" width="0" style="253" hidden="1" customWidth="1"/>
    <col min="7953" max="7953" width="10" style="253" customWidth="1"/>
    <col min="7954" max="7954" width="12.85546875" style="253" customWidth="1"/>
    <col min="7955" max="8193" width="9.140625" style="253"/>
    <col min="8194" max="8194" width="4.140625" style="253" customWidth="1"/>
    <col min="8195" max="8195" width="25.5703125" style="253" customWidth="1"/>
    <col min="8196" max="8196" width="0" style="253" hidden="1" customWidth="1"/>
    <col min="8197" max="8197" width="9.140625" style="253" bestFit="1" customWidth="1"/>
    <col min="8198" max="8198" width="9.140625" style="253" customWidth="1"/>
    <col min="8199" max="8199" width="8.85546875" style="253" customWidth="1"/>
    <col min="8200" max="8201" width="10.7109375" style="253" customWidth="1"/>
    <col min="8202" max="8202" width="10" style="253" customWidth="1"/>
    <col min="8203" max="8203" width="10.42578125" style="253" customWidth="1"/>
    <col min="8204" max="8204" width="8.7109375" style="253" customWidth="1"/>
    <col min="8205" max="8205" width="0" style="253" hidden="1" customWidth="1"/>
    <col min="8206" max="8206" width="10.140625" style="253" bestFit="1" customWidth="1"/>
    <col min="8207" max="8207" width="10.140625" style="253" customWidth="1"/>
    <col min="8208" max="8208" width="0" style="253" hidden="1" customWidth="1"/>
    <col min="8209" max="8209" width="10" style="253" customWidth="1"/>
    <col min="8210" max="8210" width="12.85546875" style="253" customWidth="1"/>
    <col min="8211" max="8449" width="9.140625" style="253"/>
    <col min="8450" max="8450" width="4.140625" style="253" customWidth="1"/>
    <col min="8451" max="8451" width="25.5703125" style="253" customWidth="1"/>
    <col min="8452" max="8452" width="0" style="253" hidden="1" customWidth="1"/>
    <col min="8453" max="8453" width="9.140625" style="253" bestFit="1" customWidth="1"/>
    <col min="8454" max="8454" width="9.140625" style="253" customWidth="1"/>
    <col min="8455" max="8455" width="8.85546875" style="253" customWidth="1"/>
    <col min="8456" max="8457" width="10.7109375" style="253" customWidth="1"/>
    <col min="8458" max="8458" width="10" style="253" customWidth="1"/>
    <col min="8459" max="8459" width="10.42578125" style="253" customWidth="1"/>
    <col min="8460" max="8460" width="8.7109375" style="253" customWidth="1"/>
    <col min="8461" max="8461" width="0" style="253" hidden="1" customWidth="1"/>
    <col min="8462" max="8462" width="10.140625" style="253" bestFit="1" customWidth="1"/>
    <col min="8463" max="8463" width="10.140625" style="253" customWidth="1"/>
    <col min="8464" max="8464" width="0" style="253" hidden="1" customWidth="1"/>
    <col min="8465" max="8465" width="10" style="253" customWidth="1"/>
    <col min="8466" max="8466" width="12.85546875" style="253" customWidth="1"/>
    <col min="8467" max="8705" width="9.140625" style="253"/>
    <col min="8706" max="8706" width="4.140625" style="253" customWidth="1"/>
    <col min="8707" max="8707" width="25.5703125" style="253" customWidth="1"/>
    <col min="8708" max="8708" width="0" style="253" hidden="1" customWidth="1"/>
    <col min="8709" max="8709" width="9.140625" style="253" bestFit="1" customWidth="1"/>
    <col min="8710" max="8710" width="9.140625" style="253" customWidth="1"/>
    <col min="8711" max="8711" width="8.85546875" style="253" customWidth="1"/>
    <col min="8712" max="8713" width="10.7109375" style="253" customWidth="1"/>
    <col min="8714" max="8714" width="10" style="253" customWidth="1"/>
    <col min="8715" max="8715" width="10.42578125" style="253" customWidth="1"/>
    <col min="8716" max="8716" width="8.7109375" style="253" customWidth="1"/>
    <col min="8717" max="8717" width="0" style="253" hidden="1" customWidth="1"/>
    <col min="8718" max="8718" width="10.140625" style="253" bestFit="1" customWidth="1"/>
    <col min="8719" max="8719" width="10.140625" style="253" customWidth="1"/>
    <col min="8720" max="8720" width="0" style="253" hidden="1" customWidth="1"/>
    <col min="8721" max="8721" width="10" style="253" customWidth="1"/>
    <col min="8722" max="8722" width="12.85546875" style="253" customWidth="1"/>
    <col min="8723" max="8961" width="9.140625" style="253"/>
    <col min="8962" max="8962" width="4.140625" style="253" customWidth="1"/>
    <col min="8963" max="8963" width="25.5703125" style="253" customWidth="1"/>
    <col min="8964" max="8964" width="0" style="253" hidden="1" customWidth="1"/>
    <col min="8965" max="8965" width="9.140625" style="253" bestFit="1" customWidth="1"/>
    <col min="8966" max="8966" width="9.140625" style="253" customWidth="1"/>
    <col min="8967" max="8967" width="8.85546875" style="253" customWidth="1"/>
    <col min="8968" max="8969" width="10.7109375" style="253" customWidth="1"/>
    <col min="8970" max="8970" width="10" style="253" customWidth="1"/>
    <col min="8971" max="8971" width="10.42578125" style="253" customWidth="1"/>
    <col min="8972" max="8972" width="8.7109375" style="253" customWidth="1"/>
    <col min="8973" max="8973" width="0" style="253" hidden="1" customWidth="1"/>
    <col min="8974" max="8974" width="10.140625" style="253" bestFit="1" customWidth="1"/>
    <col min="8975" max="8975" width="10.140625" style="253" customWidth="1"/>
    <col min="8976" max="8976" width="0" style="253" hidden="1" customWidth="1"/>
    <col min="8977" max="8977" width="10" style="253" customWidth="1"/>
    <col min="8978" max="8978" width="12.85546875" style="253" customWidth="1"/>
    <col min="8979" max="9217" width="9.140625" style="253"/>
    <col min="9218" max="9218" width="4.140625" style="253" customWidth="1"/>
    <col min="9219" max="9219" width="25.5703125" style="253" customWidth="1"/>
    <col min="9220" max="9220" width="0" style="253" hidden="1" customWidth="1"/>
    <col min="9221" max="9221" width="9.140625" style="253" bestFit="1" customWidth="1"/>
    <col min="9222" max="9222" width="9.140625" style="253" customWidth="1"/>
    <col min="9223" max="9223" width="8.85546875" style="253" customWidth="1"/>
    <col min="9224" max="9225" width="10.7109375" style="253" customWidth="1"/>
    <col min="9226" max="9226" width="10" style="253" customWidth="1"/>
    <col min="9227" max="9227" width="10.42578125" style="253" customWidth="1"/>
    <col min="9228" max="9228" width="8.7109375" style="253" customWidth="1"/>
    <col min="9229" max="9229" width="0" style="253" hidden="1" customWidth="1"/>
    <col min="9230" max="9230" width="10.140625" style="253" bestFit="1" customWidth="1"/>
    <col min="9231" max="9231" width="10.140625" style="253" customWidth="1"/>
    <col min="9232" max="9232" width="0" style="253" hidden="1" customWidth="1"/>
    <col min="9233" max="9233" width="10" style="253" customWidth="1"/>
    <col min="9234" max="9234" width="12.85546875" style="253" customWidth="1"/>
    <col min="9235" max="9473" width="9.140625" style="253"/>
    <col min="9474" max="9474" width="4.140625" style="253" customWidth="1"/>
    <col min="9475" max="9475" width="25.5703125" style="253" customWidth="1"/>
    <col min="9476" max="9476" width="0" style="253" hidden="1" customWidth="1"/>
    <col min="9477" max="9477" width="9.140625" style="253" bestFit="1" customWidth="1"/>
    <col min="9478" max="9478" width="9.140625" style="253" customWidth="1"/>
    <col min="9479" max="9479" width="8.85546875" style="253" customWidth="1"/>
    <col min="9480" max="9481" width="10.7109375" style="253" customWidth="1"/>
    <col min="9482" max="9482" width="10" style="253" customWidth="1"/>
    <col min="9483" max="9483" width="10.42578125" style="253" customWidth="1"/>
    <col min="9484" max="9484" width="8.7109375" style="253" customWidth="1"/>
    <col min="9485" max="9485" width="0" style="253" hidden="1" customWidth="1"/>
    <col min="9486" max="9486" width="10.140625" style="253" bestFit="1" customWidth="1"/>
    <col min="9487" max="9487" width="10.140625" style="253" customWidth="1"/>
    <col min="9488" max="9488" width="0" style="253" hidden="1" customWidth="1"/>
    <col min="9489" max="9489" width="10" style="253" customWidth="1"/>
    <col min="9490" max="9490" width="12.85546875" style="253" customWidth="1"/>
    <col min="9491" max="9729" width="9.140625" style="253"/>
    <col min="9730" max="9730" width="4.140625" style="253" customWidth="1"/>
    <col min="9731" max="9731" width="25.5703125" style="253" customWidth="1"/>
    <col min="9732" max="9732" width="0" style="253" hidden="1" customWidth="1"/>
    <col min="9733" max="9733" width="9.140625" style="253" bestFit="1" customWidth="1"/>
    <col min="9734" max="9734" width="9.140625" style="253" customWidth="1"/>
    <col min="9735" max="9735" width="8.85546875" style="253" customWidth="1"/>
    <col min="9736" max="9737" width="10.7109375" style="253" customWidth="1"/>
    <col min="9738" max="9738" width="10" style="253" customWidth="1"/>
    <col min="9739" max="9739" width="10.42578125" style="253" customWidth="1"/>
    <col min="9740" max="9740" width="8.7109375" style="253" customWidth="1"/>
    <col min="9741" max="9741" width="0" style="253" hidden="1" customWidth="1"/>
    <col min="9742" max="9742" width="10.140625" style="253" bestFit="1" customWidth="1"/>
    <col min="9743" max="9743" width="10.140625" style="253" customWidth="1"/>
    <col min="9744" max="9744" width="0" style="253" hidden="1" customWidth="1"/>
    <col min="9745" max="9745" width="10" style="253" customWidth="1"/>
    <col min="9746" max="9746" width="12.85546875" style="253" customWidth="1"/>
    <col min="9747" max="9985" width="9.140625" style="253"/>
    <col min="9986" max="9986" width="4.140625" style="253" customWidth="1"/>
    <col min="9987" max="9987" width="25.5703125" style="253" customWidth="1"/>
    <col min="9988" max="9988" width="0" style="253" hidden="1" customWidth="1"/>
    <col min="9989" max="9989" width="9.140625" style="253" bestFit="1" customWidth="1"/>
    <col min="9990" max="9990" width="9.140625" style="253" customWidth="1"/>
    <col min="9991" max="9991" width="8.85546875" style="253" customWidth="1"/>
    <col min="9992" max="9993" width="10.7109375" style="253" customWidth="1"/>
    <col min="9994" max="9994" width="10" style="253" customWidth="1"/>
    <col min="9995" max="9995" width="10.42578125" style="253" customWidth="1"/>
    <col min="9996" max="9996" width="8.7109375" style="253" customWidth="1"/>
    <col min="9997" max="9997" width="0" style="253" hidden="1" customWidth="1"/>
    <col min="9998" max="9998" width="10.140625" style="253" bestFit="1" customWidth="1"/>
    <col min="9999" max="9999" width="10.140625" style="253" customWidth="1"/>
    <col min="10000" max="10000" width="0" style="253" hidden="1" customWidth="1"/>
    <col min="10001" max="10001" width="10" style="253" customWidth="1"/>
    <col min="10002" max="10002" width="12.85546875" style="253" customWidth="1"/>
    <col min="10003" max="10241" width="9.140625" style="253"/>
    <col min="10242" max="10242" width="4.140625" style="253" customWidth="1"/>
    <col min="10243" max="10243" width="25.5703125" style="253" customWidth="1"/>
    <col min="10244" max="10244" width="0" style="253" hidden="1" customWidth="1"/>
    <col min="10245" max="10245" width="9.140625" style="253" bestFit="1" customWidth="1"/>
    <col min="10246" max="10246" width="9.140625" style="253" customWidth="1"/>
    <col min="10247" max="10247" width="8.85546875" style="253" customWidth="1"/>
    <col min="10248" max="10249" width="10.7109375" style="253" customWidth="1"/>
    <col min="10250" max="10250" width="10" style="253" customWidth="1"/>
    <col min="10251" max="10251" width="10.42578125" style="253" customWidth="1"/>
    <col min="10252" max="10252" width="8.7109375" style="253" customWidth="1"/>
    <col min="10253" max="10253" width="0" style="253" hidden="1" customWidth="1"/>
    <col min="10254" max="10254" width="10.140625" style="253" bestFit="1" customWidth="1"/>
    <col min="10255" max="10255" width="10.140625" style="253" customWidth="1"/>
    <col min="10256" max="10256" width="0" style="253" hidden="1" customWidth="1"/>
    <col min="10257" max="10257" width="10" style="253" customWidth="1"/>
    <col min="10258" max="10258" width="12.85546875" style="253" customWidth="1"/>
    <col min="10259" max="10497" width="9.140625" style="253"/>
    <col min="10498" max="10498" width="4.140625" style="253" customWidth="1"/>
    <col min="10499" max="10499" width="25.5703125" style="253" customWidth="1"/>
    <col min="10500" max="10500" width="0" style="253" hidden="1" customWidth="1"/>
    <col min="10501" max="10501" width="9.140625" style="253" bestFit="1" customWidth="1"/>
    <col min="10502" max="10502" width="9.140625" style="253" customWidth="1"/>
    <col min="10503" max="10503" width="8.85546875" style="253" customWidth="1"/>
    <col min="10504" max="10505" width="10.7109375" style="253" customWidth="1"/>
    <col min="10506" max="10506" width="10" style="253" customWidth="1"/>
    <col min="10507" max="10507" width="10.42578125" style="253" customWidth="1"/>
    <col min="10508" max="10508" width="8.7109375" style="253" customWidth="1"/>
    <col min="10509" max="10509" width="0" style="253" hidden="1" customWidth="1"/>
    <col min="10510" max="10510" width="10.140625" style="253" bestFit="1" customWidth="1"/>
    <col min="10511" max="10511" width="10.140625" style="253" customWidth="1"/>
    <col min="10512" max="10512" width="0" style="253" hidden="1" customWidth="1"/>
    <col min="10513" max="10513" width="10" style="253" customWidth="1"/>
    <col min="10514" max="10514" width="12.85546875" style="253" customWidth="1"/>
    <col min="10515" max="10753" width="9.140625" style="253"/>
    <col min="10754" max="10754" width="4.140625" style="253" customWidth="1"/>
    <col min="10755" max="10755" width="25.5703125" style="253" customWidth="1"/>
    <col min="10756" max="10756" width="0" style="253" hidden="1" customWidth="1"/>
    <col min="10757" max="10757" width="9.140625" style="253" bestFit="1" customWidth="1"/>
    <col min="10758" max="10758" width="9.140625" style="253" customWidth="1"/>
    <col min="10759" max="10759" width="8.85546875" style="253" customWidth="1"/>
    <col min="10760" max="10761" width="10.7109375" style="253" customWidth="1"/>
    <col min="10762" max="10762" width="10" style="253" customWidth="1"/>
    <col min="10763" max="10763" width="10.42578125" style="253" customWidth="1"/>
    <col min="10764" max="10764" width="8.7109375" style="253" customWidth="1"/>
    <col min="10765" max="10765" width="0" style="253" hidden="1" customWidth="1"/>
    <col min="10766" max="10766" width="10.140625" style="253" bestFit="1" customWidth="1"/>
    <col min="10767" max="10767" width="10.140625" style="253" customWidth="1"/>
    <col min="10768" max="10768" width="0" style="253" hidden="1" customWidth="1"/>
    <col min="10769" max="10769" width="10" style="253" customWidth="1"/>
    <col min="10770" max="10770" width="12.85546875" style="253" customWidth="1"/>
    <col min="10771" max="11009" width="9.140625" style="253"/>
    <col min="11010" max="11010" width="4.140625" style="253" customWidth="1"/>
    <col min="11011" max="11011" width="25.5703125" style="253" customWidth="1"/>
    <col min="11012" max="11012" width="0" style="253" hidden="1" customWidth="1"/>
    <col min="11013" max="11013" width="9.140625" style="253" bestFit="1" customWidth="1"/>
    <col min="11014" max="11014" width="9.140625" style="253" customWidth="1"/>
    <col min="11015" max="11015" width="8.85546875" style="253" customWidth="1"/>
    <col min="11016" max="11017" width="10.7109375" style="253" customWidth="1"/>
    <col min="11018" max="11018" width="10" style="253" customWidth="1"/>
    <col min="11019" max="11019" width="10.42578125" style="253" customWidth="1"/>
    <col min="11020" max="11020" width="8.7109375" style="253" customWidth="1"/>
    <col min="11021" max="11021" width="0" style="253" hidden="1" customWidth="1"/>
    <col min="11022" max="11022" width="10.140625" style="253" bestFit="1" customWidth="1"/>
    <col min="11023" max="11023" width="10.140625" style="253" customWidth="1"/>
    <col min="11024" max="11024" width="0" style="253" hidden="1" customWidth="1"/>
    <col min="11025" max="11025" width="10" style="253" customWidth="1"/>
    <col min="11026" max="11026" width="12.85546875" style="253" customWidth="1"/>
    <col min="11027" max="11265" width="9.140625" style="253"/>
    <col min="11266" max="11266" width="4.140625" style="253" customWidth="1"/>
    <col min="11267" max="11267" width="25.5703125" style="253" customWidth="1"/>
    <col min="11268" max="11268" width="0" style="253" hidden="1" customWidth="1"/>
    <col min="11269" max="11269" width="9.140625" style="253" bestFit="1" customWidth="1"/>
    <col min="11270" max="11270" width="9.140625" style="253" customWidth="1"/>
    <col min="11271" max="11271" width="8.85546875" style="253" customWidth="1"/>
    <col min="11272" max="11273" width="10.7109375" style="253" customWidth="1"/>
    <col min="11274" max="11274" width="10" style="253" customWidth="1"/>
    <col min="11275" max="11275" width="10.42578125" style="253" customWidth="1"/>
    <col min="11276" max="11276" width="8.7109375" style="253" customWidth="1"/>
    <col min="11277" max="11277" width="0" style="253" hidden="1" customWidth="1"/>
    <col min="11278" max="11278" width="10.140625" style="253" bestFit="1" customWidth="1"/>
    <col min="11279" max="11279" width="10.140625" style="253" customWidth="1"/>
    <col min="11280" max="11280" width="0" style="253" hidden="1" customWidth="1"/>
    <col min="11281" max="11281" width="10" style="253" customWidth="1"/>
    <col min="11282" max="11282" width="12.85546875" style="253" customWidth="1"/>
    <col min="11283" max="11521" width="9.140625" style="253"/>
    <col min="11522" max="11522" width="4.140625" style="253" customWidth="1"/>
    <col min="11523" max="11523" width="25.5703125" style="253" customWidth="1"/>
    <col min="11524" max="11524" width="0" style="253" hidden="1" customWidth="1"/>
    <col min="11525" max="11525" width="9.140625" style="253" bestFit="1" customWidth="1"/>
    <col min="11526" max="11526" width="9.140625" style="253" customWidth="1"/>
    <col min="11527" max="11527" width="8.85546875" style="253" customWidth="1"/>
    <col min="11528" max="11529" width="10.7109375" style="253" customWidth="1"/>
    <col min="11530" max="11530" width="10" style="253" customWidth="1"/>
    <col min="11531" max="11531" width="10.42578125" style="253" customWidth="1"/>
    <col min="11532" max="11532" width="8.7109375" style="253" customWidth="1"/>
    <col min="11533" max="11533" width="0" style="253" hidden="1" customWidth="1"/>
    <col min="11534" max="11534" width="10.140625" style="253" bestFit="1" customWidth="1"/>
    <col min="11535" max="11535" width="10.140625" style="253" customWidth="1"/>
    <col min="11536" max="11536" width="0" style="253" hidden="1" customWidth="1"/>
    <col min="11537" max="11537" width="10" style="253" customWidth="1"/>
    <col min="11538" max="11538" width="12.85546875" style="253" customWidth="1"/>
    <col min="11539" max="11777" width="9.140625" style="253"/>
    <col min="11778" max="11778" width="4.140625" style="253" customWidth="1"/>
    <col min="11779" max="11779" width="25.5703125" style="253" customWidth="1"/>
    <col min="11780" max="11780" width="0" style="253" hidden="1" customWidth="1"/>
    <col min="11781" max="11781" width="9.140625" style="253" bestFit="1" customWidth="1"/>
    <col min="11782" max="11782" width="9.140625" style="253" customWidth="1"/>
    <col min="11783" max="11783" width="8.85546875" style="253" customWidth="1"/>
    <col min="11784" max="11785" width="10.7109375" style="253" customWidth="1"/>
    <col min="11786" max="11786" width="10" style="253" customWidth="1"/>
    <col min="11787" max="11787" width="10.42578125" style="253" customWidth="1"/>
    <col min="11788" max="11788" width="8.7109375" style="253" customWidth="1"/>
    <col min="11789" max="11789" width="0" style="253" hidden="1" customWidth="1"/>
    <col min="11790" max="11790" width="10.140625" style="253" bestFit="1" customWidth="1"/>
    <col min="11791" max="11791" width="10.140625" style="253" customWidth="1"/>
    <col min="11792" max="11792" width="0" style="253" hidden="1" customWidth="1"/>
    <col min="11793" max="11793" width="10" style="253" customWidth="1"/>
    <col min="11794" max="11794" width="12.85546875" style="253" customWidth="1"/>
    <col min="11795" max="12033" width="9.140625" style="253"/>
    <col min="12034" max="12034" width="4.140625" style="253" customWidth="1"/>
    <col min="12035" max="12035" width="25.5703125" style="253" customWidth="1"/>
    <col min="12036" max="12036" width="0" style="253" hidden="1" customWidth="1"/>
    <col min="12037" max="12037" width="9.140625" style="253" bestFit="1" customWidth="1"/>
    <col min="12038" max="12038" width="9.140625" style="253" customWidth="1"/>
    <col min="12039" max="12039" width="8.85546875" style="253" customWidth="1"/>
    <col min="12040" max="12041" width="10.7109375" style="253" customWidth="1"/>
    <col min="12042" max="12042" width="10" style="253" customWidth="1"/>
    <col min="12043" max="12043" width="10.42578125" style="253" customWidth="1"/>
    <col min="12044" max="12044" width="8.7109375" style="253" customWidth="1"/>
    <col min="12045" max="12045" width="0" style="253" hidden="1" customWidth="1"/>
    <col min="12046" max="12046" width="10.140625" style="253" bestFit="1" customWidth="1"/>
    <col min="12047" max="12047" width="10.140625" style="253" customWidth="1"/>
    <col min="12048" max="12048" width="0" style="253" hidden="1" customWidth="1"/>
    <col min="12049" max="12049" width="10" style="253" customWidth="1"/>
    <col min="12050" max="12050" width="12.85546875" style="253" customWidth="1"/>
    <col min="12051" max="12289" width="9.140625" style="253"/>
    <col min="12290" max="12290" width="4.140625" style="253" customWidth="1"/>
    <col min="12291" max="12291" width="25.5703125" style="253" customWidth="1"/>
    <col min="12292" max="12292" width="0" style="253" hidden="1" customWidth="1"/>
    <col min="12293" max="12293" width="9.140625" style="253" bestFit="1" customWidth="1"/>
    <col min="12294" max="12294" width="9.140625" style="253" customWidth="1"/>
    <col min="12295" max="12295" width="8.85546875" style="253" customWidth="1"/>
    <col min="12296" max="12297" width="10.7109375" style="253" customWidth="1"/>
    <col min="12298" max="12298" width="10" style="253" customWidth="1"/>
    <col min="12299" max="12299" width="10.42578125" style="253" customWidth="1"/>
    <col min="12300" max="12300" width="8.7109375" style="253" customWidth="1"/>
    <col min="12301" max="12301" width="0" style="253" hidden="1" customWidth="1"/>
    <col min="12302" max="12302" width="10.140625" style="253" bestFit="1" customWidth="1"/>
    <col min="12303" max="12303" width="10.140625" style="253" customWidth="1"/>
    <col min="12304" max="12304" width="0" style="253" hidden="1" customWidth="1"/>
    <col min="12305" max="12305" width="10" style="253" customWidth="1"/>
    <col min="12306" max="12306" width="12.85546875" style="253" customWidth="1"/>
    <col min="12307" max="12545" width="9.140625" style="253"/>
    <col min="12546" max="12546" width="4.140625" style="253" customWidth="1"/>
    <col min="12547" max="12547" width="25.5703125" style="253" customWidth="1"/>
    <col min="12548" max="12548" width="0" style="253" hidden="1" customWidth="1"/>
    <col min="12549" max="12549" width="9.140625" style="253" bestFit="1" customWidth="1"/>
    <col min="12550" max="12550" width="9.140625" style="253" customWidth="1"/>
    <col min="12551" max="12551" width="8.85546875" style="253" customWidth="1"/>
    <col min="12552" max="12553" width="10.7109375" style="253" customWidth="1"/>
    <col min="12554" max="12554" width="10" style="253" customWidth="1"/>
    <col min="12555" max="12555" width="10.42578125" style="253" customWidth="1"/>
    <col min="12556" max="12556" width="8.7109375" style="253" customWidth="1"/>
    <col min="12557" max="12557" width="0" style="253" hidden="1" customWidth="1"/>
    <col min="12558" max="12558" width="10.140625" style="253" bestFit="1" customWidth="1"/>
    <col min="12559" max="12559" width="10.140625" style="253" customWidth="1"/>
    <col min="12560" max="12560" width="0" style="253" hidden="1" customWidth="1"/>
    <col min="12561" max="12561" width="10" style="253" customWidth="1"/>
    <col min="12562" max="12562" width="12.85546875" style="253" customWidth="1"/>
    <col min="12563" max="12801" width="9.140625" style="253"/>
    <col min="12802" max="12802" width="4.140625" style="253" customWidth="1"/>
    <col min="12803" max="12803" width="25.5703125" style="253" customWidth="1"/>
    <col min="12804" max="12804" width="0" style="253" hidden="1" customWidth="1"/>
    <col min="12805" max="12805" width="9.140625" style="253" bestFit="1" customWidth="1"/>
    <col min="12806" max="12806" width="9.140625" style="253" customWidth="1"/>
    <col min="12807" max="12807" width="8.85546875" style="253" customWidth="1"/>
    <col min="12808" max="12809" width="10.7109375" style="253" customWidth="1"/>
    <col min="12810" max="12810" width="10" style="253" customWidth="1"/>
    <col min="12811" max="12811" width="10.42578125" style="253" customWidth="1"/>
    <col min="12812" max="12812" width="8.7109375" style="253" customWidth="1"/>
    <col min="12813" max="12813" width="0" style="253" hidden="1" customWidth="1"/>
    <col min="12814" max="12814" width="10.140625" style="253" bestFit="1" customWidth="1"/>
    <col min="12815" max="12815" width="10.140625" style="253" customWidth="1"/>
    <col min="12816" max="12816" width="0" style="253" hidden="1" customWidth="1"/>
    <col min="12817" max="12817" width="10" style="253" customWidth="1"/>
    <col min="12818" max="12818" width="12.85546875" style="253" customWidth="1"/>
    <col min="12819" max="13057" width="9.140625" style="253"/>
    <col min="13058" max="13058" width="4.140625" style="253" customWidth="1"/>
    <col min="13059" max="13059" width="25.5703125" style="253" customWidth="1"/>
    <col min="13060" max="13060" width="0" style="253" hidden="1" customWidth="1"/>
    <col min="13061" max="13061" width="9.140625" style="253" bestFit="1" customWidth="1"/>
    <col min="13062" max="13062" width="9.140625" style="253" customWidth="1"/>
    <col min="13063" max="13063" width="8.85546875" style="253" customWidth="1"/>
    <col min="13064" max="13065" width="10.7109375" style="253" customWidth="1"/>
    <col min="13066" max="13066" width="10" style="253" customWidth="1"/>
    <col min="13067" max="13067" width="10.42578125" style="253" customWidth="1"/>
    <col min="13068" max="13068" width="8.7109375" style="253" customWidth="1"/>
    <col min="13069" max="13069" width="0" style="253" hidden="1" customWidth="1"/>
    <col min="13070" max="13070" width="10.140625" style="253" bestFit="1" customWidth="1"/>
    <col min="13071" max="13071" width="10.140625" style="253" customWidth="1"/>
    <col min="13072" max="13072" width="0" style="253" hidden="1" customWidth="1"/>
    <col min="13073" max="13073" width="10" style="253" customWidth="1"/>
    <col min="13074" max="13074" width="12.85546875" style="253" customWidth="1"/>
    <col min="13075" max="13313" width="9.140625" style="253"/>
    <col min="13314" max="13314" width="4.140625" style="253" customWidth="1"/>
    <col min="13315" max="13315" width="25.5703125" style="253" customWidth="1"/>
    <col min="13316" max="13316" width="0" style="253" hidden="1" customWidth="1"/>
    <col min="13317" max="13317" width="9.140625" style="253" bestFit="1" customWidth="1"/>
    <col min="13318" max="13318" width="9.140625" style="253" customWidth="1"/>
    <col min="13319" max="13319" width="8.85546875" style="253" customWidth="1"/>
    <col min="13320" max="13321" width="10.7109375" style="253" customWidth="1"/>
    <col min="13322" max="13322" width="10" style="253" customWidth="1"/>
    <col min="13323" max="13323" width="10.42578125" style="253" customWidth="1"/>
    <col min="13324" max="13324" width="8.7109375" style="253" customWidth="1"/>
    <col min="13325" max="13325" width="0" style="253" hidden="1" customWidth="1"/>
    <col min="13326" max="13326" width="10.140625" style="253" bestFit="1" customWidth="1"/>
    <col min="13327" max="13327" width="10.140625" style="253" customWidth="1"/>
    <col min="13328" max="13328" width="0" style="253" hidden="1" customWidth="1"/>
    <col min="13329" max="13329" width="10" style="253" customWidth="1"/>
    <col min="13330" max="13330" width="12.85546875" style="253" customWidth="1"/>
    <col min="13331" max="13569" width="9.140625" style="253"/>
    <col min="13570" max="13570" width="4.140625" style="253" customWidth="1"/>
    <col min="13571" max="13571" width="25.5703125" style="253" customWidth="1"/>
    <col min="13572" max="13572" width="0" style="253" hidden="1" customWidth="1"/>
    <col min="13573" max="13573" width="9.140625" style="253" bestFit="1" customWidth="1"/>
    <col min="13574" max="13574" width="9.140625" style="253" customWidth="1"/>
    <col min="13575" max="13575" width="8.85546875" style="253" customWidth="1"/>
    <col min="13576" max="13577" width="10.7109375" style="253" customWidth="1"/>
    <col min="13578" max="13578" width="10" style="253" customWidth="1"/>
    <col min="13579" max="13579" width="10.42578125" style="253" customWidth="1"/>
    <col min="13580" max="13580" width="8.7109375" style="253" customWidth="1"/>
    <col min="13581" max="13581" width="0" style="253" hidden="1" customWidth="1"/>
    <col min="13582" max="13582" width="10.140625" style="253" bestFit="1" customWidth="1"/>
    <col min="13583" max="13583" width="10.140625" style="253" customWidth="1"/>
    <col min="13584" max="13584" width="0" style="253" hidden="1" customWidth="1"/>
    <col min="13585" max="13585" width="10" style="253" customWidth="1"/>
    <col min="13586" max="13586" width="12.85546875" style="253" customWidth="1"/>
    <col min="13587" max="13825" width="9.140625" style="253"/>
    <col min="13826" max="13826" width="4.140625" style="253" customWidth="1"/>
    <col min="13827" max="13827" width="25.5703125" style="253" customWidth="1"/>
    <col min="13828" max="13828" width="0" style="253" hidden="1" customWidth="1"/>
    <col min="13829" max="13829" width="9.140625" style="253" bestFit="1" customWidth="1"/>
    <col min="13830" max="13830" width="9.140625" style="253" customWidth="1"/>
    <col min="13831" max="13831" width="8.85546875" style="253" customWidth="1"/>
    <col min="13832" max="13833" width="10.7109375" style="253" customWidth="1"/>
    <col min="13834" max="13834" width="10" style="253" customWidth="1"/>
    <col min="13835" max="13835" width="10.42578125" style="253" customWidth="1"/>
    <col min="13836" max="13836" width="8.7109375" style="253" customWidth="1"/>
    <col min="13837" max="13837" width="0" style="253" hidden="1" customWidth="1"/>
    <col min="13838" max="13838" width="10.140625" style="253" bestFit="1" customWidth="1"/>
    <col min="13839" max="13839" width="10.140625" style="253" customWidth="1"/>
    <col min="13840" max="13840" width="0" style="253" hidden="1" customWidth="1"/>
    <col min="13841" max="13841" width="10" style="253" customWidth="1"/>
    <col min="13842" max="13842" width="12.85546875" style="253" customWidth="1"/>
    <col min="13843" max="14081" width="9.140625" style="253"/>
    <col min="14082" max="14082" width="4.140625" style="253" customWidth="1"/>
    <col min="14083" max="14083" width="25.5703125" style="253" customWidth="1"/>
    <col min="14084" max="14084" width="0" style="253" hidden="1" customWidth="1"/>
    <col min="14085" max="14085" width="9.140625" style="253" bestFit="1" customWidth="1"/>
    <col min="14086" max="14086" width="9.140625" style="253" customWidth="1"/>
    <col min="14087" max="14087" width="8.85546875" style="253" customWidth="1"/>
    <col min="14088" max="14089" width="10.7109375" style="253" customWidth="1"/>
    <col min="14090" max="14090" width="10" style="253" customWidth="1"/>
    <col min="14091" max="14091" width="10.42578125" style="253" customWidth="1"/>
    <col min="14092" max="14092" width="8.7109375" style="253" customWidth="1"/>
    <col min="14093" max="14093" width="0" style="253" hidden="1" customWidth="1"/>
    <col min="14094" max="14094" width="10.140625" style="253" bestFit="1" customWidth="1"/>
    <col min="14095" max="14095" width="10.140625" style="253" customWidth="1"/>
    <col min="14096" max="14096" width="0" style="253" hidden="1" customWidth="1"/>
    <col min="14097" max="14097" width="10" style="253" customWidth="1"/>
    <col min="14098" max="14098" width="12.85546875" style="253" customWidth="1"/>
    <col min="14099" max="14337" width="9.140625" style="253"/>
    <col min="14338" max="14338" width="4.140625" style="253" customWidth="1"/>
    <col min="14339" max="14339" width="25.5703125" style="253" customWidth="1"/>
    <col min="14340" max="14340" width="0" style="253" hidden="1" customWidth="1"/>
    <col min="14341" max="14341" width="9.140625" style="253" bestFit="1" customWidth="1"/>
    <col min="14342" max="14342" width="9.140625" style="253" customWidth="1"/>
    <col min="14343" max="14343" width="8.85546875" style="253" customWidth="1"/>
    <col min="14344" max="14345" width="10.7109375" style="253" customWidth="1"/>
    <col min="14346" max="14346" width="10" style="253" customWidth="1"/>
    <col min="14347" max="14347" width="10.42578125" style="253" customWidth="1"/>
    <col min="14348" max="14348" width="8.7109375" style="253" customWidth="1"/>
    <col min="14349" max="14349" width="0" style="253" hidden="1" customWidth="1"/>
    <col min="14350" max="14350" width="10.140625" style="253" bestFit="1" customWidth="1"/>
    <col min="14351" max="14351" width="10.140625" style="253" customWidth="1"/>
    <col min="14352" max="14352" width="0" style="253" hidden="1" customWidth="1"/>
    <col min="14353" max="14353" width="10" style="253" customWidth="1"/>
    <col min="14354" max="14354" width="12.85546875" style="253" customWidth="1"/>
    <col min="14355" max="14593" width="9.140625" style="253"/>
    <col min="14594" max="14594" width="4.140625" style="253" customWidth="1"/>
    <col min="14595" max="14595" width="25.5703125" style="253" customWidth="1"/>
    <col min="14596" max="14596" width="0" style="253" hidden="1" customWidth="1"/>
    <col min="14597" max="14597" width="9.140625" style="253" bestFit="1" customWidth="1"/>
    <col min="14598" max="14598" width="9.140625" style="253" customWidth="1"/>
    <col min="14599" max="14599" width="8.85546875" style="253" customWidth="1"/>
    <col min="14600" max="14601" width="10.7109375" style="253" customWidth="1"/>
    <col min="14602" max="14602" width="10" style="253" customWidth="1"/>
    <col min="14603" max="14603" width="10.42578125" style="253" customWidth="1"/>
    <col min="14604" max="14604" width="8.7109375" style="253" customWidth="1"/>
    <col min="14605" max="14605" width="0" style="253" hidden="1" customWidth="1"/>
    <col min="14606" max="14606" width="10.140625" style="253" bestFit="1" customWidth="1"/>
    <col min="14607" max="14607" width="10.140625" style="253" customWidth="1"/>
    <col min="14608" max="14608" width="0" style="253" hidden="1" customWidth="1"/>
    <col min="14609" max="14609" width="10" style="253" customWidth="1"/>
    <col min="14610" max="14610" width="12.85546875" style="253" customWidth="1"/>
    <col min="14611" max="14849" width="9.140625" style="253"/>
    <col min="14850" max="14850" width="4.140625" style="253" customWidth="1"/>
    <col min="14851" max="14851" width="25.5703125" style="253" customWidth="1"/>
    <col min="14852" max="14852" width="0" style="253" hidden="1" customWidth="1"/>
    <col min="14853" max="14853" width="9.140625" style="253" bestFit="1" customWidth="1"/>
    <col min="14854" max="14854" width="9.140625" style="253" customWidth="1"/>
    <col min="14855" max="14855" width="8.85546875" style="253" customWidth="1"/>
    <col min="14856" max="14857" width="10.7109375" style="253" customWidth="1"/>
    <col min="14858" max="14858" width="10" style="253" customWidth="1"/>
    <col min="14859" max="14859" width="10.42578125" style="253" customWidth="1"/>
    <col min="14860" max="14860" width="8.7109375" style="253" customWidth="1"/>
    <col min="14861" max="14861" width="0" style="253" hidden="1" customWidth="1"/>
    <col min="14862" max="14862" width="10.140625" style="253" bestFit="1" customWidth="1"/>
    <col min="14863" max="14863" width="10.140625" style="253" customWidth="1"/>
    <col min="14864" max="14864" width="0" style="253" hidden="1" customWidth="1"/>
    <col min="14865" max="14865" width="10" style="253" customWidth="1"/>
    <col min="14866" max="14866" width="12.85546875" style="253" customWidth="1"/>
    <col min="14867" max="15105" width="9.140625" style="253"/>
    <col min="15106" max="15106" width="4.140625" style="253" customWidth="1"/>
    <col min="15107" max="15107" width="25.5703125" style="253" customWidth="1"/>
    <col min="15108" max="15108" width="0" style="253" hidden="1" customWidth="1"/>
    <col min="15109" max="15109" width="9.140625" style="253" bestFit="1" customWidth="1"/>
    <col min="15110" max="15110" width="9.140625" style="253" customWidth="1"/>
    <col min="15111" max="15111" width="8.85546875" style="253" customWidth="1"/>
    <col min="15112" max="15113" width="10.7109375" style="253" customWidth="1"/>
    <col min="15114" max="15114" width="10" style="253" customWidth="1"/>
    <col min="15115" max="15115" width="10.42578125" style="253" customWidth="1"/>
    <col min="15116" max="15116" width="8.7109375" style="253" customWidth="1"/>
    <col min="15117" max="15117" width="0" style="253" hidden="1" customWidth="1"/>
    <col min="15118" max="15118" width="10.140625" style="253" bestFit="1" customWidth="1"/>
    <col min="15119" max="15119" width="10.140625" style="253" customWidth="1"/>
    <col min="15120" max="15120" width="0" style="253" hidden="1" customWidth="1"/>
    <col min="15121" max="15121" width="10" style="253" customWidth="1"/>
    <col min="15122" max="15122" width="12.85546875" style="253" customWidth="1"/>
    <col min="15123" max="15361" width="9.140625" style="253"/>
    <col min="15362" max="15362" width="4.140625" style="253" customWidth="1"/>
    <col min="15363" max="15363" width="25.5703125" style="253" customWidth="1"/>
    <col min="15364" max="15364" width="0" style="253" hidden="1" customWidth="1"/>
    <col min="15365" max="15365" width="9.140625" style="253" bestFit="1" customWidth="1"/>
    <col min="15366" max="15366" width="9.140625" style="253" customWidth="1"/>
    <col min="15367" max="15367" width="8.85546875" style="253" customWidth="1"/>
    <col min="15368" max="15369" width="10.7109375" style="253" customWidth="1"/>
    <col min="15370" max="15370" width="10" style="253" customWidth="1"/>
    <col min="15371" max="15371" width="10.42578125" style="253" customWidth="1"/>
    <col min="15372" max="15372" width="8.7109375" style="253" customWidth="1"/>
    <col min="15373" max="15373" width="0" style="253" hidden="1" customWidth="1"/>
    <col min="15374" max="15374" width="10.140625" style="253" bestFit="1" customWidth="1"/>
    <col min="15375" max="15375" width="10.140625" style="253" customWidth="1"/>
    <col min="15376" max="15376" width="0" style="253" hidden="1" customWidth="1"/>
    <col min="15377" max="15377" width="10" style="253" customWidth="1"/>
    <col min="15378" max="15378" width="12.85546875" style="253" customWidth="1"/>
    <col min="15379" max="15617" width="9.140625" style="253"/>
    <col min="15618" max="15618" width="4.140625" style="253" customWidth="1"/>
    <col min="15619" max="15619" width="25.5703125" style="253" customWidth="1"/>
    <col min="15620" max="15620" width="0" style="253" hidden="1" customWidth="1"/>
    <col min="15621" max="15621" width="9.140625" style="253" bestFit="1" customWidth="1"/>
    <col min="15622" max="15622" width="9.140625" style="253" customWidth="1"/>
    <col min="15623" max="15623" width="8.85546875" style="253" customWidth="1"/>
    <col min="15624" max="15625" width="10.7109375" style="253" customWidth="1"/>
    <col min="15626" max="15626" width="10" style="253" customWidth="1"/>
    <col min="15627" max="15627" width="10.42578125" style="253" customWidth="1"/>
    <col min="15628" max="15628" width="8.7109375" style="253" customWidth="1"/>
    <col min="15629" max="15629" width="0" style="253" hidden="1" customWidth="1"/>
    <col min="15630" max="15630" width="10.140625" style="253" bestFit="1" customWidth="1"/>
    <col min="15631" max="15631" width="10.140625" style="253" customWidth="1"/>
    <col min="15632" max="15632" width="0" style="253" hidden="1" customWidth="1"/>
    <col min="15633" max="15633" width="10" style="253" customWidth="1"/>
    <col min="15634" max="15634" width="12.85546875" style="253" customWidth="1"/>
    <col min="15635" max="15873" width="9.140625" style="253"/>
    <col min="15874" max="15874" width="4.140625" style="253" customWidth="1"/>
    <col min="15875" max="15875" width="25.5703125" style="253" customWidth="1"/>
    <col min="15876" max="15876" width="0" style="253" hidden="1" customWidth="1"/>
    <col min="15877" max="15877" width="9.140625" style="253" bestFit="1" customWidth="1"/>
    <col min="15878" max="15878" width="9.140625" style="253" customWidth="1"/>
    <col min="15879" max="15879" width="8.85546875" style="253" customWidth="1"/>
    <col min="15880" max="15881" width="10.7109375" style="253" customWidth="1"/>
    <col min="15882" max="15882" width="10" style="253" customWidth="1"/>
    <col min="15883" max="15883" width="10.42578125" style="253" customWidth="1"/>
    <col min="15884" max="15884" width="8.7109375" style="253" customWidth="1"/>
    <col min="15885" max="15885" width="0" style="253" hidden="1" customWidth="1"/>
    <col min="15886" max="15886" width="10.140625" style="253" bestFit="1" customWidth="1"/>
    <col min="15887" max="15887" width="10.140625" style="253" customWidth="1"/>
    <col min="15888" max="15888" width="0" style="253" hidden="1" customWidth="1"/>
    <col min="15889" max="15889" width="10" style="253" customWidth="1"/>
    <col min="15890" max="15890" width="12.85546875" style="253" customWidth="1"/>
    <col min="15891" max="16129" width="9.140625" style="253"/>
    <col min="16130" max="16130" width="4.140625" style="253" customWidth="1"/>
    <col min="16131" max="16131" width="25.5703125" style="253" customWidth="1"/>
    <col min="16132" max="16132" width="0" style="253" hidden="1" customWidth="1"/>
    <col min="16133" max="16133" width="9.140625" style="253" bestFit="1" customWidth="1"/>
    <col min="16134" max="16134" width="9.140625" style="253" customWidth="1"/>
    <col min="16135" max="16135" width="8.85546875" style="253" customWidth="1"/>
    <col min="16136" max="16137" width="10.7109375" style="253" customWidth="1"/>
    <col min="16138" max="16138" width="10" style="253" customWidth="1"/>
    <col min="16139" max="16139" width="10.42578125" style="253" customWidth="1"/>
    <col min="16140" max="16140" width="8.7109375" style="253" customWidth="1"/>
    <col min="16141" max="16141" width="0" style="253" hidden="1" customWidth="1"/>
    <col min="16142" max="16142" width="10.140625" style="253" bestFit="1" customWidth="1"/>
    <col min="16143" max="16143" width="10.140625" style="253" customWidth="1"/>
    <col min="16144" max="16144" width="0" style="253" hidden="1" customWidth="1"/>
    <col min="16145" max="16145" width="10" style="253" customWidth="1"/>
    <col min="16146" max="16146" width="12.85546875" style="253" customWidth="1"/>
    <col min="16147" max="16384" width="9.140625" style="253"/>
  </cols>
  <sheetData>
    <row r="1" spans="2:22" ht="20.25">
      <c r="B1" s="654" t="s">
        <v>605</v>
      </c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  <c r="R1" s="774"/>
    </row>
    <row r="3" spans="2:22" s="331" customFormat="1" ht="63">
      <c r="B3" s="328" t="s">
        <v>606</v>
      </c>
      <c r="C3" s="329" t="s">
        <v>607</v>
      </c>
      <c r="D3" s="329" t="s">
        <v>615</v>
      </c>
      <c r="E3" s="329" t="s">
        <v>583</v>
      </c>
      <c r="F3" s="329" t="s">
        <v>607</v>
      </c>
      <c r="G3" s="329" t="s">
        <v>582</v>
      </c>
      <c r="H3" s="329" t="s">
        <v>608</v>
      </c>
      <c r="I3" s="329" t="s">
        <v>609</v>
      </c>
      <c r="J3" s="329" t="s">
        <v>585</v>
      </c>
      <c r="K3" s="329" t="s">
        <v>610</v>
      </c>
      <c r="L3" s="792" t="s">
        <v>611</v>
      </c>
      <c r="M3" s="793"/>
      <c r="N3" s="330" t="s">
        <v>184</v>
      </c>
      <c r="O3" s="680" t="s">
        <v>965</v>
      </c>
      <c r="P3" s="330" t="s">
        <v>581</v>
      </c>
      <c r="Q3" s="329" t="s">
        <v>612</v>
      </c>
      <c r="R3" s="328" t="s">
        <v>208</v>
      </c>
    </row>
    <row r="4" spans="2:22" ht="30" hidden="1" customHeight="1">
      <c r="B4" s="332" t="s">
        <v>382</v>
      </c>
      <c r="C4" s="259"/>
      <c r="D4" s="259"/>
      <c r="E4" s="259"/>
      <c r="F4" s="259"/>
      <c r="G4" s="259"/>
      <c r="H4" s="259"/>
      <c r="I4" s="259"/>
      <c r="J4" s="259"/>
      <c r="K4" s="333"/>
      <c r="L4" s="334"/>
      <c r="M4" s="334"/>
      <c r="N4" s="334"/>
      <c r="O4" s="269"/>
      <c r="P4" s="269"/>
      <c r="Q4" s="259"/>
      <c r="R4" s="259">
        <f>SUM(E4:Q4)</f>
        <v>0</v>
      </c>
    </row>
    <row r="5" spans="2:22" ht="30" hidden="1" customHeight="1">
      <c r="B5" s="332" t="s">
        <v>572</v>
      </c>
      <c r="C5" s="259"/>
      <c r="D5" s="259"/>
      <c r="E5" s="259"/>
      <c r="F5" s="259"/>
      <c r="G5" s="259"/>
      <c r="H5" s="259"/>
      <c r="I5" s="259"/>
      <c r="J5" s="259"/>
      <c r="K5" s="333"/>
      <c r="L5" s="334"/>
      <c r="M5" s="334"/>
      <c r="N5" s="334"/>
      <c r="O5" s="269"/>
      <c r="P5" s="269"/>
      <c r="Q5" s="259"/>
      <c r="R5" s="259">
        <f>SUM(E5:Q5)</f>
        <v>0</v>
      </c>
    </row>
    <row r="6" spans="2:22" s="340" customFormat="1" ht="35.1" customHeight="1">
      <c r="B6" s="335" t="s">
        <v>382</v>
      </c>
      <c r="C6" s="336"/>
      <c r="D6" s="336">
        <f>'הנדסה '!Z37</f>
        <v>488827</v>
      </c>
      <c r="E6" s="336"/>
      <c r="F6" s="336"/>
      <c r="G6" s="336"/>
      <c r="H6" s="336"/>
      <c r="I6" s="336"/>
      <c r="J6" s="336"/>
      <c r="K6" s="336"/>
      <c r="L6" s="336"/>
      <c r="M6" s="336"/>
      <c r="N6" s="338"/>
      <c r="O6" s="338"/>
      <c r="P6" s="338"/>
      <c r="Q6" s="336"/>
      <c r="R6" s="339">
        <f t="shared" ref="R6:R15" si="0">SUM(C6:Q6)</f>
        <v>488827</v>
      </c>
      <c r="U6" s="341"/>
      <c r="V6" s="341"/>
    </row>
    <row r="7" spans="2:22" s="340" customFormat="1" ht="35.1" customHeight="1">
      <c r="B7" s="335" t="s">
        <v>613</v>
      </c>
      <c r="C7" s="336"/>
      <c r="D7" s="336">
        <f>'החברה לפיתוח'!Z73+'החברה לפיתוח'!Z97+'החברה לפיתוח'!Z99+'החברה לפיתוח'!Z110+'החברה לפיתוח'!Z115+'החברה לפיתוח'!Z106-1625000</f>
        <v>124426919.06976745</v>
      </c>
      <c r="E7" s="336"/>
      <c r="F7" s="336"/>
      <c r="G7" s="336">
        <f>'החברה לפיתוח'!Z56+'החברה לפיתוח'!Z101+'החברה לפיתוח'!Z102+'החברה לפיתוח'!Z109+'החברה לפיתוח'!Z112+1625000</f>
        <v>20982160</v>
      </c>
      <c r="H7" s="336"/>
      <c r="I7" s="336">
        <f>'החברה לפיתוח'!Z70+'החברה לפיתוח'!Z57</f>
        <v>14967661</v>
      </c>
      <c r="J7" s="336">
        <f>'החברה לפיתוח'!Z21</f>
        <v>12300000</v>
      </c>
      <c r="K7" s="336"/>
      <c r="L7" s="336"/>
      <c r="M7" s="336"/>
      <c r="N7" s="338">
        <f>'החברה לפיתוח'!Z10+'החברה לפיתוח'!Z69</f>
        <v>5936000</v>
      </c>
      <c r="O7" s="338"/>
      <c r="P7" s="338">
        <f>'החברה לפיתוח'!Z40</f>
        <v>8745387</v>
      </c>
      <c r="Q7" s="336"/>
      <c r="R7" s="339">
        <f t="shared" si="0"/>
        <v>187358127.06976745</v>
      </c>
      <c r="T7" s="339">
        <f>'החברה לפיתוח'!Z119</f>
        <v>187358127.06976745</v>
      </c>
      <c r="U7" s="342">
        <f>R7-T7</f>
        <v>0</v>
      </c>
      <c r="V7" s="342"/>
    </row>
    <row r="8" spans="2:22" s="340" customFormat="1" ht="35.1" customHeight="1">
      <c r="B8" s="335" t="s">
        <v>469</v>
      </c>
      <c r="C8" s="336"/>
      <c r="D8" s="336"/>
      <c r="E8" s="336"/>
      <c r="F8" s="336"/>
      <c r="G8" s="336">
        <f>'תבל  '!Z71</f>
        <v>9001300</v>
      </c>
      <c r="H8" s="336">
        <f>'תבל  '!Z56+'תבל  '!Z65</f>
        <v>1876000</v>
      </c>
      <c r="I8" s="336">
        <f>'תבל  '!Z46</f>
        <v>1000000</v>
      </c>
      <c r="J8" s="336"/>
      <c r="K8" s="336"/>
      <c r="L8" s="336"/>
      <c r="M8" s="336"/>
      <c r="N8" s="338"/>
      <c r="O8" s="338"/>
      <c r="P8" s="338"/>
      <c r="Q8" s="336"/>
      <c r="R8" s="339">
        <f t="shared" si="0"/>
        <v>11877300</v>
      </c>
      <c r="T8" s="339">
        <f>'תבל  '!Z77</f>
        <v>11877300</v>
      </c>
      <c r="U8" s="342">
        <f>R8-T8</f>
        <v>0</v>
      </c>
      <c r="V8" s="342"/>
    </row>
    <row r="9" spans="2:22" s="340" customFormat="1" ht="35.1" customHeight="1">
      <c r="B9" s="335" t="s">
        <v>616</v>
      </c>
      <c r="C9" s="336"/>
      <c r="D9" s="336"/>
      <c r="E9" s="336"/>
      <c r="F9" s="336"/>
      <c r="G9" s="336"/>
      <c r="H9" s="336"/>
      <c r="I9" s="336"/>
      <c r="J9" s="336"/>
      <c r="K9" s="336">
        <f>חינוך!Z7</f>
        <v>65137</v>
      </c>
      <c r="L9" s="336"/>
      <c r="M9" s="336"/>
      <c r="N9" s="338"/>
      <c r="O9" s="338"/>
      <c r="P9" s="338"/>
      <c r="Q9" s="336"/>
      <c r="R9" s="339">
        <f>SUM(C9:Q9)</f>
        <v>65137</v>
      </c>
      <c r="U9" s="341"/>
      <c r="V9" s="342"/>
    </row>
    <row r="10" spans="2:22" s="340" customFormat="1" ht="35.1" customHeight="1">
      <c r="B10" s="335" t="s">
        <v>479</v>
      </c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8">
        <f>'שאיפה '!Z26</f>
        <v>200000</v>
      </c>
      <c r="O10" s="338"/>
      <c r="P10" s="338"/>
      <c r="Q10" s="336"/>
      <c r="R10" s="339">
        <f t="shared" si="0"/>
        <v>200000</v>
      </c>
      <c r="U10" s="341"/>
      <c r="V10" s="342"/>
    </row>
    <row r="11" spans="2:22" s="340" customFormat="1" ht="35.1" customHeight="1">
      <c r="B11" s="335" t="s">
        <v>188</v>
      </c>
      <c r="C11" s="336"/>
      <c r="D11" s="336"/>
      <c r="E11" s="336"/>
      <c r="F11" s="336">
        <f>'איכות הסביבה'!Z16+'איכות הסביבה'!Z13</f>
        <v>1061058</v>
      </c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9">
        <f t="shared" si="0"/>
        <v>1061058</v>
      </c>
      <c r="U11" s="341"/>
      <c r="V11" s="341"/>
    </row>
    <row r="12" spans="2:22" s="340" customFormat="1" ht="35.1" customHeight="1">
      <c r="B12" s="335" t="s">
        <v>489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8"/>
      <c r="O12" s="338">
        <f>'רשות החופים'!Z39</f>
        <v>604000</v>
      </c>
      <c r="P12" s="338"/>
      <c r="Q12" s="336"/>
      <c r="R12" s="339">
        <f t="shared" si="0"/>
        <v>604000</v>
      </c>
      <c r="U12" s="341"/>
      <c r="V12" s="341"/>
    </row>
    <row r="13" spans="2:22" s="340" customFormat="1" ht="35.1" customHeight="1">
      <c r="B13" s="335" t="s">
        <v>614</v>
      </c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>
        <f>'החברה לתיירות '!Z10</f>
        <v>4800000</v>
      </c>
      <c r="N13" s="338">
        <f>'החברה לתיירות '!Z11</f>
        <v>1988999.9999999998</v>
      </c>
      <c r="O13" s="338"/>
      <c r="P13" s="338"/>
      <c r="Q13" s="336"/>
      <c r="R13" s="339">
        <f t="shared" si="0"/>
        <v>6789000</v>
      </c>
    </row>
    <row r="14" spans="2:22" s="340" customFormat="1" ht="35.1" customHeight="1">
      <c r="B14" s="335" t="s">
        <v>507</v>
      </c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8"/>
      <c r="O14" s="338"/>
      <c r="P14" s="338"/>
      <c r="Q14" s="336">
        <f>'שיפוצי בתים עמידר'!Z8</f>
        <v>13700000</v>
      </c>
      <c r="R14" s="339">
        <f t="shared" si="0"/>
        <v>13700000</v>
      </c>
    </row>
    <row r="15" spans="2:22" s="340" customFormat="1" ht="35.1" hidden="1" customHeight="1">
      <c r="B15" s="335" t="s">
        <v>227</v>
      </c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9">
        <f t="shared" si="0"/>
        <v>0</v>
      </c>
    </row>
    <row r="16" spans="2:22" s="340" customFormat="1" ht="35.1" customHeight="1">
      <c r="B16" s="343" t="s">
        <v>208</v>
      </c>
      <c r="C16" s="344">
        <f t="shared" ref="C16:R16" si="1">SUM(C4:C15)</f>
        <v>0</v>
      </c>
      <c r="D16" s="339">
        <f t="shared" si="1"/>
        <v>124915746.06976745</v>
      </c>
      <c r="E16" s="339">
        <f t="shared" si="1"/>
        <v>0</v>
      </c>
      <c r="F16" s="339">
        <f t="shared" si="1"/>
        <v>1061058</v>
      </c>
      <c r="G16" s="339">
        <f t="shared" si="1"/>
        <v>29983460</v>
      </c>
      <c r="H16" s="339">
        <f t="shared" si="1"/>
        <v>1876000</v>
      </c>
      <c r="I16" s="339">
        <f t="shared" si="1"/>
        <v>15967661</v>
      </c>
      <c r="J16" s="339">
        <f t="shared" si="1"/>
        <v>12300000</v>
      </c>
      <c r="K16" s="339">
        <f t="shared" si="1"/>
        <v>65137</v>
      </c>
      <c r="L16" s="339">
        <f t="shared" si="1"/>
        <v>0</v>
      </c>
      <c r="M16" s="339">
        <f t="shared" si="1"/>
        <v>4800000</v>
      </c>
      <c r="N16" s="345">
        <f t="shared" si="1"/>
        <v>8125000</v>
      </c>
      <c r="O16" s="339">
        <f>SUM(O4:O15)</f>
        <v>604000</v>
      </c>
      <c r="P16" s="339">
        <f t="shared" si="1"/>
        <v>8745387</v>
      </c>
      <c r="Q16" s="339">
        <f t="shared" si="1"/>
        <v>13700000</v>
      </c>
      <c r="R16" s="339">
        <f t="shared" si="1"/>
        <v>222143449.06976745</v>
      </c>
    </row>
    <row r="17" spans="2:22" s="255" customFormat="1">
      <c r="B17" s="253"/>
      <c r="C17" s="253"/>
      <c r="R17" s="253"/>
      <c r="S17" s="253"/>
      <c r="T17" s="253"/>
      <c r="U17" s="253"/>
      <c r="V17" s="253"/>
    </row>
    <row r="18" spans="2:22" s="255" customFormat="1">
      <c r="R18" s="253"/>
      <c r="S18" s="253"/>
      <c r="T18" s="253"/>
      <c r="U18" s="253"/>
      <c r="V18" s="253"/>
    </row>
    <row r="19" spans="2:22" s="255" customFormat="1" hidden="1">
      <c r="B19" s="253"/>
      <c r="N19" s="255">
        <f>N16+H16+F16+D16+K16+I16</f>
        <v>152010602.06976745</v>
      </c>
      <c r="R19" s="253"/>
      <c r="S19" s="253"/>
      <c r="T19" s="253"/>
      <c r="U19" s="253"/>
      <c r="V19" s="253"/>
    </row>
  </sheetData>
  <mergeCells count="1">
    <mergeCell ref="L3:M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zoomScaleNormal="100" workbookViewId="0">
      <selection activeCell="T10" sqref="T10"/>
    </sheetView>
  </sheetViews>
  <sheetFormatPr defaultRowHeight="12.75"/>
  <cols>
    <col min="1" max="16384" width="9.140625" style="674"/>
  </cols>
  <sheetData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6"/>
  <sheetViews>
    <sheetView rightToLeft="1" topLeftCell="A4" workbookViewId="0">
      <selection activeCell="T10" sqref="T10"/>
    </sheetView>
  </sheetViews>
  <sheetFormatPr defaultRowHeight="14.25"/>
  <cols>
    <col min="1" max="3" width="4.140625" style="709" customWidth="1"/>
    <col min="4" max="4" width="24.140625" style="709" customWidth="1"/>
    <col min="5" max="5" width="34.5703125" style="709" customWidth="1"/>
    <col min="6" max="6" width="5.71093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A3" s="708"/>
      <c r="C3" s="710" t="s">
        <v>382</v>
      </c>
      <c r="D3" s="708"/>
      <c r="E3" s="708"/>
      <c r="F3" s="708"/>
      <c r="G3" s="708"/>
      <c r="H3" s="708"/>
      <c r="I3" s="708"/>
      <c r="J3" s="708"/>
      <c r="K3" s="708"/>
      <c r="L3" s="708"/>
    </row>
    <row r="4" spans="1:17" ht="21" thickBot="1">
      <c r="A4" s="708"/>
      <c r="C4" s="710"/>
      <c r="D4" s="708"/>
      <c r="E4" s="708"/>
      <c r="F4" s="708"/>
      <c r="G4" s="708"/>
      <c r="H4" s="708"/>
      <c r="I4" s="708"/>
      <c r="J4" s="708"/>
      <c r="K4" s="708"/>
      <c r="L4" s="708"/>
    </row>
    <row r="5" spans="1:17" ht="16.5" thickBot="1">
      <c r="A5" s="708"/>
      <c r="B5" s="711" t="s">
        <v>455</v>
      </c>
      <c r="C5" s="708" t="s">
        <v>982</v>
      </c>
      <c r="D5" s="708"/>
      <c r="E5" s="708"/>
      <c r="F5" s="708"/>
      <c r="H5" s="712">
        <f>'הנדסה '!U103</f>
        <v>17142000</v>
      </c>
      <c r="I5" s="708"/>
      <c r="J5" s="708"/>
      <c r="K5" s="708"/>
      <c r="L5" s="708"/>
    </row>
    <row r="6" spans="1:17" ht="21" thickBot="1">
      <c r="A6" s="708"/>
      <c r="C6" s="710"/>
      <c r="D6" s="708"/>
      <c r="E6" s="708"/>
      <c r="F6" s="708"/>
      <c r="H6" s="708"/>
      <c r="I6" s="708"/>
      <c r="J6" s="708"/>
      <c r="K6" s="708"/>
      <c r="L6" s="708"/>
    </row>
    <row r="7" spans="1:17" ht="16.5" thickBot="1">
      <c r="B7" s="711" t="s">
        <v>455</v>
      </c>
      <c r="C7" s="708" t="s">
        <v>971</v>
      </c>
      <c r="D7" s="708"/>
      <c r="F7" s="708"/>
      <c r="H7" s="712">
        <f>'הנדסה '!A103</f>
        <v>89</v>
      </c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/>
      <c r="C8" s="708"/>
      <c r="D8" s="708"/>
      <c r="E8" s="708"/>
      <c r="F8" s="708"/>
      <c r="H8" s="708"/>
      <c r="I8" s="708"/>
      <c r="J8" s="708"/>
      <c r="K8" s="708"/>
      <c r="L8" s="708"/>
      <c r="M8" s="708"/>
      <c r="N8" s="708"/>
      <c r="O8" s="708"/>
      <c r="P8" s="708"/>
      <c r="Q8" s="708"/>
    </row>
    <row r="9" spans="1:17" ht="15.75">
      <c r="B9" s="711" t="s">
        <v>455</v>
      </c>
      <c r="C9" s="708" t="s">
        <v>972</v>
      </c>
      <c r="D9" s="708"/>
      <c r="E9" s="708"/>
      <c r="F9" s="708"/>
      <c r="G9" s="708"/>
      <c r="H9" s="708"/>
      <c r="I9" s="708"/>
      <c r="J9" s="708"/>
      <c r="K9" s="708"/>
      <c r="L9" s="708"/>
    </row>
    <row r="10" spans="1:17" ht="16.5" thickBot="1">
      <c r="B10" s="708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C11" s="794" t="s">
        <v>973</v>
      </c>
      <c r="D11" s="795"/>
      <c r="E11" s="803" t="s">
        <v>974</v>
      </c>
      <c r="F11" s="804"/>
      <c r="G11" s="805"/>
      <c r="H11" s="781" t="s">
        <v>987</v>
      </c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C12" s="796" t="s">
        <v>13</v>
      </c>
      <c r="D12" s="797"/>
      <c r="E12" s="809">
        <f>'הנדסה '!V103</f>
        <v>16653173</v>
      </c>
      <c r="F12" s="810"/>
      <c r="G12" s="811"/>
      <c r="H12" s="782">
        <f>E12/$E$14</f>
        <v>0.97148366584995915</v>
      </c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C13" s="796" t="s">
        <v>1151</v>
      </c>
      <c r="D13" s="797"/>
      <c r="E13" s="809">
        <f>'הנדסה '!Z103</f>
        <v>488827</v>
      </c>
      <c r="F13" s="810"/>
      <c r="G13" s="811"/>
      <c r="H13" s="782">
        <f>E13/$E$14</f>
        <v>2.8516334150040835E-2</v>
      </c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6.5" thickBot="1">
      <c r="C14" s="798" t="s">
        <v>208</v>
      </c>
      <c r="D14" s="799"/>
      <c r="E14" s="812">
        <f>SUM(E12:E13)</f>
        <v>17142000</v>
      </c>
      <c r="F14" s="813"/>
      <c r="G14" s="814"/>
      <c r="H14" s="783">
        <f>E14/$E$14*100</f>
        <v>100</v>
      </c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B15" s="711"/>
      <c r="C15" s="708"/>
      <c r="D15" s="708"/>
      <c r="E15" s="708"/>
      <c r="F15" s="708"/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 t="s">
        <v>455</v>
      </c>
      <c r="C16" s="708" t="s">
        <v>975</v>
      </c>
      <c r="D16" s="708"/>
      <c r="F16" s="708"/>
      <c r="H16" s="717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1:17" ht="16.5" thickBot="1">
      <c r="C17" s="708"/>
      <c r="D17" s="708"/>
      <c r="E17" s="708"/>
      <c r="F17" s="708"/>
      <c r="H17" s="708"/>
      <c r="I17" s="708"/>
      <c r="J17" s="708"/>
      <c r="K17" s="708"/>
      <c r="L17" s="708"/>
    </row>
    <row r="18" spans="1:17" ht="20.100000000000001" customHeight="1">
      <c r="A18" s="708"/>
      <c r="C18" s="719" t="s">
        <v>976</v>
      </c>
      <c r="D18" s="720"/>
      <c r="E18" s="800" t="s">
        <v>977</v>
      </c>
      <c r="F18" s="801"/>
      <c r="G18" s="802"/>
      <c r="H18" s="721" t="s">
        <v>974</v>
      </c>
      <c r="M18" s="708"/>
      <c r="N18" s="708"/>
      <c r="O18" s="708"/>
    </row>
    <row r="19" spans="1:17" ht="56.25" customHeight="1">
      <c r="A19" s="708"/>
      <c r="C19" s="722" t="s">
        <v>978</v>
      </c>
      <c r="D19" s="723"/>
      <c r="E19" s="806" t="s">
        <v>985</v>
      </c>
      <c r="F19" s="807"/>
      <c r="G19" s="808"/>
      <c r="H19" s="724">
        <f>'הנדסה '!U58</f>
        <v>12956000</v>
      </c>
      <c r="M19" s="708"/>
      <c r="N19" s="708"/>
      <c r="O19" s="708"/>
    </row>
    <row r="20" spans="1:17" ht="31.5" customHeight="1">
      <c r="A20" s="708"/>
      <c r="C20" s="722" t="s">
        <v>979</v>
      </c>
      <c r="D20" s="725"/>
      <c r="E20" s="725" t="s">
        <v>983</v>
      </c>
      <c r="F20" s="725"/>
      <c r="G20" s="735"/>
      <c r="H20" s="724">
        <f>'הנדסה '!U83</f>
        <v>1766000</v>
      </c>
      <c r="M20" s="708"/>
      <c r="N20" s="708"/>
      <c r="O20" s="708"/>
    </row>
    <row r="21" spans="1:17" ht="37.5" customHeight="1">
      <c r="A21" s="708"/>
      <c r="C21" s="722" t="s">
        <v>980</v>
      </c>
      <c r="D21" s="726"/>
      <c r="E21" s="806" t="s">
        <v>1142</v>
      </c>
      <c r="F21" s="807"/>
      <c r="G21" s="808"/>
      <c r="H21" s="724">
        <f>'הנדסה '!V101</f>
        <v>2420000</v>
      </c>
      <c r="L21" s="727"/>
      <c r="M21" s="708"/>
      <c r="N21" s="708"/>
      <c r="O21" s="708"/>
    </row>
    <row r="22" spans="1:17" ht="20.100000000000001" customHeight="1" thickBot="1">
      <c r="A22" s="708"/>
      <c r="C22" s="728" t="s">
        <v>208</v>
      </c>
      <c r="D22" s="729"/>
      <c r="E22" s="730"/>
      <c r="F22" s="731"/>
      <c r="G22" s="732"/>
      <c r="H22" s="733">
        <f>SUM(H19:H21)</f>
        <v>17142000</v>
      </c>
      <c r="M22" s="708"/>
      <c r="N22" s="708"/>
      <c r="O22" s="708"/>
    </row>
    <row r="23" spans="1:17" ht="15.75">
      <c r="B23" s="711"/>
      <c r="C23" s="708"/>
      <c r="D23" s="708"/>
      <c r="E23" s="708"/>
      <c r="F23" s="708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1:17" ht="15.75">
      <c r="A24" s="708"/>
      <c r="B24" s="708"/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1:17" ht="15.75">
      <c r="A25" s="734"/>
      <c r="B25" s="708"/>
      <c r="C25" s="708"/>
      <c r="D25" s="708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</row>
    <row r="26" spans="1:17" ht="15.75"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</row>
  </sheetData>
  <mergeCells count="11">
    <mergeCell ref="E19:G19"/>
    <mergeCell ref="E21:G21"/>
    <mergeCell ref="E12:G12"/>
    <mergeCell ref="E13:G13"/>
    <mergeCell ref="E14:G14"/>
    <mergeCell ref="C11:D11"/>
    <mergeCell ref="C12:D12"/>
    <mergeCell ref="C13:D13"/>
    <mergeCell ref="C14:D14"/>
    <mergeCell ref="E18:G18"/>
    <mergeCell ref="E11:G11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ME112"/>
  <sheetViews>
    <sheetView showZeros="0" rightToLeft="1" zoomScaleNormal="100" workbookViewId="0">
      <pane xSplit="3" ySplit="4" topLeftCell="D92" activePane="bottomRight" state="frozen"/>
      <selection activeCell="T10" sqref="T10"/>
      <selection pane="topRight" activeCell="T10" sqref="T10"/>
      <selection pane="bottomLeft" activeCell="T10" sqref="T10"/>
      <selection pane="bottomRight" activeCell="G1" sqref="G1:K1048576"/>
    </sheetView>
  </sheetViews>
  <sheetFormatPr defaultColWidth="14" defaultRowHeight="15"/>
  <cols>
    <col min="1" max="1" width="7.28515625" style="160" bestFit="1" customWidth="1"/>
    <col min="2" max="2" width="9.140625" style="624" customWidth="1"/>
    <col min="3" max="3" width="34.140625" style="160" customWidth="1"/>
    <col min="4" max="4" width="11.85546875" style="191" customWidth="1"/>
    <col min="5" max="6" width="12" style="191" customWidth="1"/>
    <col min="7" max="7" width="12.140625" style="191" hidden="1" customWidth="1"/>
    <col min="8" max="8" width="14" style="191" hidden="1" customWidth="1"/>
    <col min="9" max="11" width="12.140625" style="191" hidden="1" customWidth="1"/>
    <col min="12" max="12" width="11.5703125" style="191" customWidth="1"/>
    <col min="13" max="13" width="10.7109375" style="191" customWidth="1"/>
    <col min="14" max="14" width="10.140625" style="629" customWidth="1"/>
    <col min="15" max="15" width="10.85546875" style="191" customWidth="1"/>
    <col min="16" max="19" width="12.140625" style="191" hidden="1" customWidth="1"/>
    <col min="20" max="20" width="10.28515625" style="192" customWidth="1"/>
    <col min="21" max="21" width="10.140625" style="160" customWidth="1"/>
    <col min="22" max="22" width="10.42578125" style="159" customWidth="1"/>
    <col min="23" max="23" width="9.42578125" style="193" hidden="1" customWidth="1"/>
    <col min="24" max="24" width="4.85546875" style="160" hidden="1" customWidth="1"/>
    <col min="25" max="25" width="8.42578125" style="160" hidden="1" customWidth="1"/>
    <col min="26" max="26" width="7.5703125" style="160" customWidth="1"/>
    <col min="27" max="27" width="10.85546875" style="160" hidden="1" customWidth="1"/>
    <col min="28" max="28" width="11.5703125" style="160" customWidth="1"/>
    <col min="29" max="29" width="10.85546875" style="157" customWidth="1"/>
    <col min="30" max="30" width="12.85546875" style="157" customWidth="1"/>
    <col min="31" max="31" width="17.28515625" style="157" customWidth="1"/>
    <col min="32" max="34" width="18.28515625" style="160" customWidth="1"/>
    <col min="35" max="1018" width="14" style="160"/>
    <col min="1019" max="16384" width="14" style="158"/>
  </cols>
  <sheetData>
    <row r="2" spans="1:1019" ht="20.25">
      <c r="A2" s="668" t="s">
        <v>382</v>
      </c>
      <c r="B2" s="156"/>
      <c r="C2" s="156"/>
      <c r="D2" s="156"/>
      <c r="E2" s="649"/>
      <c r="F2" s="156"/>
      <c r="G2" s="648"/>
      <c r="H2" s="156"/>
      <c r="I2" s="156"/>
      <c r="J2" s="156"/>
      <c r="K2" s="156"/>
      <c r="L2" s="156"/>
      <c r="M2" s="156"/>
      <c r="N2" s="156"/>
      <c r="O2" s="649"/>
      <c r="P2" s="179"/>
      <c r="Q2" s="156"/>
      <c r="R2" s="156"/>
      <c r="S2" s="156"/>
      <c r="T2" s="156"/>
      <c r="U2" s="156"/>
      <c r="V2" s="156"/>
      <c r="W2" s="156"/>
      <c r="X2" s="156"/>
      <c r="Y2" s="156"/>
      <c r="Z2" s="156"/>
      <c r="AB2" s="157"/>
    </row>
    <row r="3" spans="1:1019">
      <c r="D3" s="640"/>
      <c r="E3" s="162"/>
      <c r="F3" s="162"/>
      <c r="G3" s="162"/>
      <c r="H3" s="162"/>
      <c r="I3" s="162"/>
      <c r="J3" s="162"/>
      <c r="K3" s="162"/>
      <c r="L3" s="162"/>
      <c r="M3" s="162"/>
      <c r="N3" s="626"/>
      <c r="O3" s="162"/>
      <c r="P3" s="162"/>
      <c r="Q3" s="162"/>
      <c r="R3" s="162"/>
      <c r="S3" s="162"/>
      <c r="T3" s="162"/>
      <c r="U3" s="641"/>
      <c r="V3" s="641"/>
      <c r="W3" s="165"/>
      <c r="X3" s="163"/>
      <c r="Y3" s="163"/>
      <c r="Z3" s="163"/>
      <c r="AB3" s="157"/>
    </row>
    <row r="4" spans="1:1019" s="167" customFormat="1" ht="75">
      <c r="A4" s="166" t="s">
        <v>0</v>
      </c>
      <c r="B4" s="188" t="s">
        <v>1</v>
      </c>
      <c r="C4" s="166" t="s">
        <v>2</v>
      </c>
      <c r="D4" s="166" t="s">
        <v>3</v>
      </c>
      <c r="E4" s="166" t="s">
        <v>4</v>
      </c>
      <c r="F4" s="166" t="s">
        <v>5</v>
      </c>
      <c r="G4" s="166" t="s">
        <v>6</v>
      </c>
      <c r="H4" s="166" t="s">
        <v>7</v>
      </c>
      <c r="I4" s="166" t="s">
        <v>9</v>
      </c>
      <c r="J4" s="166" t="s">
        <v>423</v>
      </c>
      <c r="K4" s="166" t="s">
        <v>10</v>
      </c>
      <c r="L4" s="166" t="s">
        <v>11</v>
      </c>
      <c r="M4" s="166" t="s">
        <v>414</v>
      </c>
      <c r="N4" s="188" t="s">
        <v>463</v>
      </c>
      <c r="O4" s="166" t="s">
        <v>416</v>
      </c>
      <c r="P4" s="166" t="s">
        <v>12</v>
      </c>
      <c r="Q4" s="166" t="s">
        <v>417</v>
      </c>
      <c r="R4" s="166" t="s">
        <v>418</v>
      </c>
      <c r="S4" s="166" t="s">
        <v>419</v>
      </c>
      <c r="T4" s="166" t="s">
        <v>420</v>
      </c>
      <c r="U4" s="166" t="s">
        <v>464</v>
      </c>
      <c r="V4" s="166" t="s">
        <v>13</v>
      </c>
      <c r="W4" s="166" t="s">
        <v>14</v>
      </c>
      <c r="X4" s="166" t="s">
        <v>15</v>
      </c>
      <c r="Y4" s="166" t="s">
        <v>914</v>
      </c>
      <c r="Z4" s="166" t="s">
        <v>184</v>
      </c>
      <c r="AA4" s="639" t="s">
        <v>16</v>
      </c>
      <c r="AB4" s="157"/>
      <c r="AC4" s="157"/>
      <c r="AD4" s="157"/>
      <c r="AE4" s="157"/>
      <c r="AME4" s="158"/>
    </row>
    <row r="5" spans="1:1019">
      <c r="A5" s="168"/>
      <c r="B5" s="175"/>
      <c r="C5" s="173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87"/>
      <c r="O5" s="169"/>
      <c r="P5" s="169"/>
      <c r="Q5" s="169"/>
      <c r="R5" s="169"/>
      <c r="S5" s="169"/>
      <c r="T5" s="169"/>
      <c r="U5" s="169"/>
      <c r="V5" s="169"/>
      <c r="W5" s="171"/>
      <c r="X5" s="169"/>
      <c r="Y5" s="169"/>
      <c r="Z5" s="168"/>
      <c r="AA5" s="659"/>
      <c r="AB5" s="157"/>
    </row>
    <row r="6" spans="1:1019">
      <c r="A6" s="168">
        <f t="shared" ref="A6:A57" si="0">A5+1</f>
        <v>1</v>
      </c>
      <c r="B6" s="175">
        <v>179</v>
      </c>
      <c r="C6" s="168" t="s">
        <v>465</v>
      </c>
      <c r="D6" s="169">
        <v>3000000</v>
      </c>
      <c r="E6" s="169">
        <v>3000000</v>
      </c>
      <c r="F6" s="169">
        <f t="shared" ref="F6:F57" si="1">D6-E6</f>
        <v>0</v>
      </c>
      <c r="G6" s="169">
        <v>2970250</v>
      </c>
      <c r="H6" s="169">
        <v>2641510.9700000002</v>
      </c>
      <c r="I6" s="169"/>
      <c r="J6" s="169">
        <v>94175.58</v>
      </c>
      <c r="K6" s="169">
        <f t="shared" ref="K6:K30" si="2">SUM(I6:J6)</f>
        <v>94175.58</v>
      </c>
      <c r="L6" s="169">
        <f t="shared" ref="L6:L51" si="3">H6+K6</f>
        <v>2735686.5500000003</v>
      </c>
      <c r="M6" s="169">
        <f>P6+S6-200000</f>
        <v>34563.449999999721</v>
      </c>
      <c r="N6" s="187">
        <f>200000-100000</f>
        <v>100000</v>
      </c>
      <c r="O6" s="169">
        <f>D6-L6-M6-N6</f>
        <v>129750</v>
      </c>
      <c r="P6" s="169">
        <f t="shared" ref="P6:P51" si="4">G6-L6</f>
        <v>234563.44999999972</v>
      </c>
      <c r="Q6" s="169"/>
      <c r="R6" s="169"/>
      <c r="S6" s="169">
        <f t="shared" ref="S6:S30" si="5">SUM(Q6:R6)</f>
        <v>0</v>
      </c>
      <c r="T6" s="169">
        <f t="shared" ref="T6:T51" si="6">P6-M6+S6</f>
        <v>200000</v>
      </c>
      <c r="U6" s="169">
        <f t="shared" ref="U6:U57" si="7">N6-T6</f>
        <v>-100000</v>
      </c>
      <c r="V6" s="169">
        <f t="shared" ref="V6:V57" si="8">U6-Z6-W6-Y6</f>
        <v>-100000</v>
      </c>
      <c r="W6" s="171"/>
      <c r="X6" s="169"/>
      <c r="Y6" s="169"/>
      <c r="Z6" s="168"/>
      <c r="AA6" s="659">
        <v>732000</v>
      </c>
      <c r="AB6" s="157"/>
    </row>
    <row r="7" spans="1:1019">
      <c r="A7" s="168">
        <f t="shared" si="0"/>
        <v>2</v>
      </c>
      <c r="B7" s="175">
        <v>304</v>
      </c>
      <c r="C7" s="168" t="s">
        <v>79</v>
      </c>
      <c r="D7" s="169">
        <v>54950000</v>
      </c>
      <c r="E7" s="169">
        <v>54950000</v>
      </c>
      <c r="F7" s="169">
        <f t="shared" si="1"/>
        <v>0</v>
      </c>
      <c r="G7" s="169">
        <v>54950000</v>
      </c>
      <c r="H7" s="169">
        <v>54780522.609999999</v>
      </c>
      <c r="I7" s="169">
        <v>149074.13</v>
      </c>
      <c r="J7" s="169"/>
      <c r="K7" s="169">
        <f t="shared" si="2"/>
        <v>149074.13</v>
      </c>
      <c r="L7" s="169">
        <f t="shared" si="3"/>
        <v>54929596.740000002</v>
      </c>
      <c r="M7" s="169">
        <f t="shared" ref="M7:M13" si="9">P7+S7</f>
        <v>20403.259999997914</v>
      </c>
      <c r="N7" s="627">
        <v>0</v>
      </c>
      <c r="O7" s="169">
        <f t="shared" ref="O7:O57" si="10">D7-L7-M7-N7</f>
        <v>0</v>
      </c>
      <c r="P7" s="169">
        <f t="shared" si="4"/>
        <v>20403.259999997914</v>
      </c>
      <c r="Q7" s="169"/>
      <c r="R7" s="169"/>
      <c r="S7" s="169">
        <f t="shared" si="5"/>
        <v>0</v>
      </c>
      <c r="T7" s="169">
        <f t="shared" si="6"/>
        <v>0</v>
      </c>
      <c r="U7" s="169">
        <f t="shared" si="7"/>
        <v>0</v>
      </c>
      <c r="V7" s="169">
        <f t="shared" si="8"/>
        <v>0</v>
      </c>
      <c r="W7" s="171"/>
      <c r="X7" s="169"/>
      <c r="Y7" s="169"/>
      <c r="Z7" s="168"/>
      <c r="AA7" s="659">
        <v>746000</v>
      </c>
      <c r="AB7" s="157"/>
    </row>
    <row r="8" spans="1:1019">
      <c r="A8" s="168">
        <f t="shared" si="0"/>
        <v>3</v>
      </c>
      <c r="B8" s="175">
        <v>507</v>
      </c>
      <c r="C8" s="168" t="s">
        <v>61</v>
      </c>
      <c r="D8" s="169">
        <f>1810000+500000</f>
        <v>2310000</v>
      </c>
      <c r="E8" s="169">
        <v>1810000</v>
      </c>
      <c r="F8" s="169">
        <f t="shared" si="1"/>
        <v>500000</v>
      </c>
      <c r="G8" s="169">
        <v>1665000</v>
      </c>
      <c r="H8" s="169">
        <v>1653104.23</v>
      </c>
      <c r="I8" s="169"/>
      <c r="J8" s="169"/>
      <c r="K8" s="169">
        <f t="shared" si="2"/>
        <v>0</v>
      </c>
      <c r="L8" s="169">
        <f t="shared" si="3"/>
        <v>1653104.23</v>
      </c>
      <c r="M8" s="169">
        <f t="shared" si="9"/>
        <v>11895.770000000019</v>
      </c>
      <c r="N8" s="187">
        <f>300000-200000</f>
        <v>100000</v>
      </c>
      <c r="O8" s="169">
        <f t="shared" si="10"/>
        <v>545000</v>
      </c>
      <c r="P8" s="169">
        <f t="shared" si="4"/>
        <v>11895.770000000019</v>
      </c>
      <c r="Q8" s="169"/>
      <c r="R8" s="169"/>
      <c r="S8" s="169">
        <f t="shared" si="5"/>
        <v>0</v>
      </c>
      <c r="T8" s="169">
        <f t="shared" si="6"/>
        <v>0</v>
      </c>
      <c r="U8" s="169">
        <f t="shared" si="7"/>
        <v>100000</v>
      </c>
      <c r="V8" s="169">
        <f t="shared" si="8"/>
        <v>100000</v>
      </c>
      <c r="W8" s="171"/>
      <c r="X8" s="169"/>
      <c r="Y8" s="169"/>
      <c r="Z8" s="168"/>
      <c r="AA8" s="659">
        <v>742000</v>
      </c>
      <c r="AB8" s="157"/>
      <c r="AG8" s="174"/>
      <c r="AH8" s="174"/>
      <c r="AI8" s="174"/>
      <c r="AJ8" s="174"/>
      <c r="AK8" s="174"/>
    </row>
    <row r="9" spans="1:1019">
      <c r="A9" s="168">
        <f t="shared" si="0"/>
        <v>4</v>
      </c>
      <c r="B9" s="175">
        <v>546</v>
      </c>
      <c r="C9" s="168" t="s">
        <v>62</v>
      </c>
      <c r="D9" s="169">
        <v>5850000</v>
      </c>
      <c r="E9" s="169">
        <v>5850000</v>
      </c>
      <c r="F9" s="169">
        <f t="shared" si="1"/>
        <v>0</v>
      </c>
      <c r="G9" s="169">
        <v>3550000</v>
      </c>
      <c r="H9" s="169">
        <v>2895703.4</v>
      </c>
      <c r="I9" s="169"/>
      <c r="J9" s="169">
        <v>18052.75</v>
      </c>
      <c r="K9" s="169">
        <f t="shared" si="2"/>
        <v>18052.75</v>
      </c>
      <c r="L9" s="169">
        <f t="shared" si="3"/>
        <v>2913756.15</v>
      </c>
      <c r="M9" s="169">
        <f>P9+S9-600000</f>
        <v>36243.850000000093</v>
      </c>
      <c r="N9" s="187">
        <f>600000-600000</f>
        <v>0</v>
      </c>
      <c r="O9" s="169">
        <f t="shared" si="10"/>
        <v>2900000</v>
      </c>
      <c r="P9" s="169">
        <f t="shared" si="4"/>
        <v>636243.85000000009</v>
      </c>
      <c r="Q9" s="169"/>
      <c r="R9" s="169"/>
      <c r="S9" s="169">
        <f t="shared" si="5"/>
        <v>0</v>
      </c>
      <c r="T9" s="169">
        <f t="shared" si="6"/>
        <v>600000</v>
      </c>
      <c r="U9" s="169">
        <f t="shared" si="7"/>
        <v>-600000</v>
      </c>
      <c r="V9" s="169">
        <f t="shared" si="8"/>
        <v>-600000</v>
      </c>
      <c r="W9" s="171"/>
      <c r="X9" s="169"/>
      <c r="Y9" s="169"/>
      <c r="Z9" s="168"/>
      <c r="AA9" s="659">
        <v>742000</v>
      </c>
      <c r="AB9" s="157"/>
    </row>
    <row r="10" spans="1:1019">
      <c r="A10" s="168">
        <f t="shared" si="0"/>
        <v>5</v>
      </c>
      <c r="B10" s="175">
        <v>592</v>
      </c>
      <c r="C10" s="168" t="s">
        <v>34</v>
      </c>
      <c r="D10" s="169">
        <f>40720000+14173000</f>
        <v>54893000</v>
      </c>
      <c r="E10" s="169">
        <v>40720000</v>
      </c>
      <c r="F10" s="169">
        <f t="shared" si="1"/>
        <v>14173000</v>
      </c>
      <c r="G10" s="169">
        <v>18420000</v>
      </c>
      <c r="H10" s="169">
        <v>17302170.350000001</v>
      </c>
      <c r="I10" s="169">
        <v>178639.73</v>
      </c>
      <c r="J10" s="169">
        <v>24794.65</v>
      </c>
      <c r="K10" s="169">
        <f t="shared" si="2"/>
        <v>203434.38</v>
      </c>
      <c r="L10" s="169">
        <f t="shared" si="3"/>
        <v>17505604.73</v>
      </c>
      <c r="M10" s="169">
        <f t="shared" si="9"/>
        <v>914395.26999999955</v>
      </c>
      <c r="N10" s="187">
        <f>3500000+460000-3960000</f>
        <v>0</v>
      </c>
      <c r="O10" s="169">
        <f t="shared" si="10"/>
        <v>36473000</v>
      </c>
      <c r="P10" s="169">
        <f t="shared" si="4"/>
        <v>914395.26999999955</v>
      </c>
      <c r="Q10" s="169"/>
      <c r="R10" s="169"/>
      <c r="S10" s="169">
        <f t="shared" si="5"/>
        <v>0</v>
      </c>
      <c r="T10" s="169">
        <f t="shared" si="6"/>
        <v>0</v>
      </c>
      <c r="U10" s="169">
        <f t="shared" si="7"/>
        <v>0</v>
      </c>
      <c r="V10" s="169">
        <f t="shared" si="8"/>
        <v>0</v>
      </c>
      <c r="W10" s="171"/>
      <c r="X10" s="169"/>
      <c r="Y10" s="169"/>
      <c r="Z10" s="168"/>
      <c r="AA10" s="659">
        <v>742000</v>
      </c>
      <c r="AB10" s="157"/>
      <c r="AG10" s="174"/>
      <c r="AH10" s="174"/>
      <c r="AI10" s="174"/>
      <c r="AJ10" s="174"/>
      <c r="AK10" s="174"/>
    </row>
    <row r="11" spans="1:1019">
      <c r="A11" s="168">
        <f t="shared" si="0"/>
        <v>6</v>
      </c>
      <c r="B11" s="175">
        <v>608</v>
      </c>
      <c r="C11" s="168" t="s">
        <v>42</v>
      </c>
      <c r="D11" s="169">
        <f>7300000+1000000</f>
        <v>8300000</v>
      </c>
      <c r="E11" s="169">
        <v>7300000</v>
      </c>
      <c r="F11" s="169">
        <f t="shared" si="1"/>
        <v>1000000</v>
      </c>
      <c r="G11" s="169">
        <v>5300000</v>
      </c>
      <c r="H11" s="169">
        <v>5071852.38</v>
      </c>
      <c r="I11" s="169"/>
      <c r="J11" s="169">
        <v>131164.42000000001</v>
      </c>
      <c r="K11" s="169">
        <f t="shared" si="2"/>
        <v>131164.42000000001</v>
      </c>
      <c r="L11" s="169">
        <f t="shared" si="3"/>
        <v>5203016.8</v>
      </c>
      <c r="M11" s="169">
        <f t="shared" si="9"/>
        <v>96983.200000000186</v>
      </c>
      <c r="N11" s="187">
        <f>1500000-750000</f>
        <v>750000</v>
      </c>
      <c r="O11" s="169">
        <f t="shared" si="10"/>
        <v>2250000</v>
      </c>
      <c r="P11" s="169">
        <f t="shared" si="4"/>
        <v>96983.200000000186</v>
      </c>
      <c r="Q11" s="169"/>
      <c r="R11" s="169"/>
      <c r="S11" s="169">
        <f t="shared" si="5"/>
        <v>0</v>
      </c>
      <c r="T11" s="169">
        <f t="shared" si="6"/>
        <v>0</v>
      </c>
      <c r="U11" s="169">
        <f t="shared" si="7"/>
        <v>750000</v>
      </c>
      <c r="V11" s="169">
        <f t="shared" si="8"/>
        <v>750000</v>
      </c>
      <c r="W11" s="171"/>
      <c r="X11" s="169"/>
      <c r="Y11" s="169"/>
      <c r="Z11" s="168"/>
      <c r="AA11" s="659">
        <v>745000</v>
      </c>
      <c r="AB11" s="157"/>
      <c r="AF11" s="164"/>
    </row>
    <row r="12" spans="1:1019" s="174" customFormat="1">
      <c r="A12" s="168">
        <f t="shared" si="0"/>
        <v>7</v>
      </c>
      <c r="B12" s="175">
        <v>626</v>
      </c>
      <c r="C12" s="168" t="s">
        <v>1066</v>
      </c>
      <c r="D12" s="169">
        <v>20025000</v>
      </c>
      <c r="E12" s="169">
        <v>20025000</v>
      </c>
      <c r="F12" s="169">
        <f t="shared" si="1"/>
        <v>0</v>
      </c>
      <c r="G12" s="169">
        <v>14525000</v>
      </c>
      <c r="H12" s="169">
        <v>13520762.77</v>
      </c>
      <c r="I12" s="169">
        <v>151233.85999999999</v>
      </c>
      <c r="J12" s="169">
        <v>94680.29</v>
      </c>
      <c r="K12" s="169">
        <f t="shared" si="2"/>
        <v>245914.14999999997</v>
      </c>
      <c r="L12" s="169">
        <f t="shared" si="3"/>
        <v>13766676.92</v>
      </c>
      <c r="M12" s="169">
        <f>P12+S12-500000</f>
        <v>258323.08000000007</v>
      </c>
      <c r="N12" s="187">
        <f>1500000-1000000</f>
        <v>500000</v>
      </c>
      <c r="O12" s="169">
        <f t="shared" si="10"/>
        <v>5500000</v>
      </c>
      <c r="P12" s="169">
        <f t="shared" si="4"/>
        <v>758323.08000000007</v>
      </c>
      <c r="Q12" s="169"/>
      <c r="R12" s="169"/>
      <c r="S12" s="169">
        <f t="shared" si="5"/>
        <v>0</v>
      </c>
      <c r="T12" s="169">
        <f t="shared" si="6"/>
        <v>500000</v>
      </c>
      <c r="U12" s="169">
        <f t="shared" si="7"/>
        <v>0</v>
      </c>
      <c r="V12" s="169">
        <f t="shared" si="8"/>
        <v>0</v>
      </c>
      <c r="W12" s="171"/>
      <c r="X12" s="169"/>
      <c r="Y12" s="169"/>
      <c r="Z12" s="168"/>
      <c r="AA12" s="659">
        <v>732000</v>
      </c>
      <c r="AB12" s="157"/>
      <c r="AC12" s="157"/>
      <c r="AD12" s="157"/>
      <c r="AE12" s="157"/>
      <c r="AF12" s="172"/>
      <c r="AG12" s="172"/>
      <c r="AH12" s="172"/>
      <c r="AI12" s="172"/>
      <c r="AJ12" s="172"/>
      <c r="AK12" s="172"/>
      <c r="AME12" s="158"/>
    </row>
    <row r="13" spans="1:1019" s="172" customFormat="1">
      <c r="A13" s="168">
        <f t="shared" si="0"/>
        <v>8</v>
      </c>
      <c r="B13" s="175">
        <v>631</v>
      </c>
      <c r="C13" s="168" t="s">
        <v>80</v>
      </c>
      <c r="D13" s="169">
        <f>7505000+1500000</f>
        <v>9005000</v>
      </c>
      <c r="E13" s="169">
        <v>7505000</v>
      </c>
      <c r="F13" s="169">
        <f t="shared" si="1"/>
        <v>1500000</v>
      </c>
      <c r="G13" s="169">
        <v>7105000</v>
      </c>
      <c r="H13" s="169">
        <v>7030689.3200000003</v>
      </c>
      <c r="I13" s="169"/>
      <c r="J13" s="169"/>
      <c r="K13" s="169">
        <f t="shared" si="2"/>
        <v>0</v>
      </c>
      <c r="L13" s="169">
        <f t="shared" si="3"/>
        <v>7030689.3200000003</v>
      </c>
      <c r="M13" s="169">
        <f t="shared" si="9"/>
        <v>74310.679999999702</v>
      </c>
      <c r="N13" s="187">
        <f>1500000-1000000</f>
        <v>500000</v>
      </c>
      <c r="O13" s="169">
        <f t="shared" si="10"/>
        <v>1400000</v>
      </c>
      <c r="P13" s="169">
        <f t="shared" si="4"/>
        <v>74310.679999999702</v>
      </c>
      <c r="Q13" s="169"/>
      <c r="R13" s="169"/>
      <c r="S13" s="169">
        <f t="shared" si="5"/>
        <v>0</v>
      </c>
      <c r="T13" s="169">
        <f t="shared" si="6"/>
        <v>0</v>
      </c>
      <c r="U13" s="169">
        <f t="shared" si="7"/>
        <v>500000</v>
      </c>
      <c r="V13" s="169">
        <f t="shared" si="8"/>
        <v>500000</v>
      </c>
      <c r="W13" s="171"/>
      <c r="X13" s="169"/>
      <c r="Y13" s="169"/>
      <c r="Z13" s="168"/>
      <c r="AA13" s="659">
        <v>742000</v>
      </c>
      <c r="AB13" s="157"/>
      <c r="AC13" s="157"/>
      <c r="AD13" s="157"/>
      <c r="AE13" s="157"/>
      <c r="AME13" s="158"/>
    </row>
    <row r="14" spans="1:1019" s="172" customFormat="1" ht="15" customHeight="1">
      <c r="A14" s="168">
        <f t="shared" si="0"/>
        <v>9</v>
      </c>
      <c r="B14" s="175">
        <v>638</v>
      </c>
      <c r="C14" s="168" t="s">
        <v>63</v>
      </c>
      <c r="D14" s="169">
        <v>7000000</v>
      </c>
      <c r="E14" s="169">
        <v>7000000</v>
      </c>
      <c r="F14" s="169">
        <f t="shared" si="1"/>
        <v>0</v>
      </c>
      <c r="G14" s="169">
        <v>4600000</v>
      </c>
      <c r="H14" s="169">
        <v>3454838.96</v>
      </c>
      <c r="I14" s="169">
        <v>74548.7</v>
      </c>
      <c r="J14" s="169"/>
      <c r="K14" s="169">
        <f t="shared" si="2"/>
        <v>74548.7</v>
      </c>
      <c r="L14" s="169">
        <f t="shared" si="3"/>
        <v>3529387.66</v>
      </c>
      <c r="M14" s="169">
        <f>P14+S14-1000000</f>
        <v>70612.339999999851</v>
      </c>
      <c r="N14" s="187">
        <v>1500000</v>
      </c>
      <c r="O14" s="169">
        <f t="shared" si="10"/>
        <v>1900000</v>
      </c>
      <c r="P14" s="169">
        <f t="shared" si="4"/>
        <v>1070612.3399999999</v>
      </c>
      <c r="Q14" s="169"/>
      <c r="R14" s="169"/>
      <c r="S14" s="169">
        <f t="shared" si="5"/>
        <v>0</v>
      </c>
      <c r="T14" s="169">
        <f t="shared" si="6"/>
        <v>1000000</v>
      </c>
      <c r="U14" s="169">
        <f t="shared" si="7"/>
        <v>500000</v>
      </c>
      <c r="V14" s="169">
        <f t="shared" si="8"/>
        <v>500000</v>
      </c>
      <c r="W14" s="171"/>
      <c r="X14" s="169"/>
      <c r="Y14" s="169"/>
      <c r="Z14" s="168"/>
      <c r="AA14" s="659">
        <v>742000</v>
      </c>
      <c r="AB14" s="157"/>
      <c r="AC14" s="157"/>
      <c r="AD14" s="157"/>
      <c r="AE14" s="157"/>
      <c r="AME14" s="158"/>
    </row>
    <row r="15" spans="1:1019" s="172" customFormat="1">
      <c r="A15" s="168">
        <f t="shared" si="0"/>
        <v>10</v>
      </c>
      <c r="B15" s="175">
        <v>1018</v>
      </c>
      <c r="C15" s="168" t="s">
        <v>35</v>
      </c>
      <c r="D15" s="169">
        <v>31900000</v>
      </c>
      <c r="E15" s="169">
        <v>31900000</v>
      </c>
      <c r="F15" s="169">
        <f t="shared" si="1"/>
        <v>0</v>
      </c>
      <c r="G15" s="169">
        <v>6100000</v>
      </c>
      <c r="H15" s="169">
        <v>3059081.79</v>
      </c>
      <c r="I15" s="169">
        <v>84192.99</v>
      </c>
      <c r="J15" s="169">
        <v>4969.17</v>
      </c>
      <c r="K15" s="169">
        <f t="shared" si="2"/>
        <v>89162.16</v>
      </c>
      <c r="L15" s="169">
        <f t="shared" si="3"/>
        <v>3148243.95</v>
      </c>
      <c r="M15" s="169">
        <f>P15+S15-2000000</f>
        <v>951756.04999999981</v>
      </c>
      <c r="N15" s="187">
        <f>2000000-1000000</f>
        <v>1000000</v>
      </c>
      <c r="O15" s="169">
        <f t="shared" si="10"/>
        <v>26800000</v>
      </c>
      <c r="P15" s="169">
        <f t="shared" si="4"/>
        <v>2951756.05</v>
      </c>
      <c r="Q15" s="169"/>
      <c r="R15" s="169"/>
      <c r="S15" s="169">
        <f t="shared" si="5"/>
        <v>0</v>
      </c>
      <c r="T15" s="169">
        <f t="shared" si="6"/>
        <v>2000000</v>
      </c>
      <c r="U15" s="169">
        <f t="shared" si="7"/>
        <v>-1000000</v>
      </c>
      <c r="V15" s="169">
        <f t="shared" si="8"/>
        <v>-1000000</v>
      </c>
      <c r="W15" s="171"/>
      <c r="X15" s="169"/>
      <c r="Y15" s="169"/>
      <c r="Z15" s="168"/>
      <c r="AA15" s="659">
        <v>742000</v>
      </c>
      <c r="AB15" s="157"/>
      <c r="AC15" s="157"/>
      <c r="AD15" s="157"/>
      <c r="AE15" s="157"/>
      <c r="AME15" s="158"/>
    </row>
    <row r="16" spans="1:1019" s="174" customFormat="1">
      <c r="A16" s="168">
        <f t="shared" si="0"/>
        <v>11</v>
      </c>
      <c r="B16" s="175">
        <v>1060</v>
      </c>
      <c r="C16" s="168" t="s">
        <v>81</v>
      </c>
      <c r="D16" s="169">
        <f>2085000-1235000-125000</f>
        <v>725000</v>
      </c>
      <c r="E16" s="169">
        <v>2085000</v>
      </c>
      <c r="F16" s="169">
        <f t="shared" si="1"/>
        <v>-1360000</v>
      </c>
      <c r="G16" s="169">
        <v>850000</v>
      </c>
      <c r="H16" s="169">
        <v>718557.75</v>
      </c>
      <c r="I16" s="169"/>
      <c r="J16" s="169">
        <v>6318</v>
      </c>
      <c r="K16" s="169">
        <f t="shared" si="2"/>
        <v>6318</v>
      </c>
      <c r="L16" s="169">
        <f t="shared" si="3"/>
        <v>724875.75</v>
      </c>
      <c r="M16" s="169">
        <f>P16+S16-125000</f>
        <v>124.25</v>
      </c>
      <c r="N16" s="627">
        <v>0</v>
      </c>
      <c r="O16" s="169">
        <f t="shared" si="10"/>
        <v>0</v>
      </c>
      <c r="P16" s="169">
        <f t="shared" si="4"/>
        <v>125124.25</v>
      </c>
      <c r="Q16" s="169"/>
      <c r="R16" s="169"/>
      <c r="S16" s="169">
        <f t="shared" si="5"/>
        <v>0</v>
      </c>
      <c r="T16" s="169">
        <f t="shared" si="6"/>
        <v>125000</v>
      </c>
      <c r="U16" s="169">
        <f t="shared" si="7"/>
        <v>-125000</v>
      </c>
      <c r="V16" s="169">
        <f t="shared" si="8"/>
        <v>-125000</v>
      </c>
      <c r="W16" s="171"/>
      <c r="X16" s="169"/>
      <c r="Y16" s="169"/>
      <c r="Z16" s="168"/>
      <c r="AA16" s="659">
        <v>760000</v>
      </c>
      <c r="AB16" s="157"/>
      <c r="AC16" s="157"/>
      <c r="AD16" s="157"/>
      <c r="AE16" s="157"/>
      <c r="AF16" s="172"/>
      <c r="AG16" s="172"/>
      <c r="AH16" s="172"/>
      <c r="AI16" s="172"/>
      <c r="AJ16" s="172"/>
      <c r="AK16" s="172"/>
      <c r="AME16" s="158"/>
    </row>
    <row r="17" spans="1:1019" s="172" customFormat="1">
      <c r="A17" s="168">
        <f t="shared" si="0"/>
        <v>12</v>
      </c>
      <c r="B17" s="175">
        <v>1097</v>
      </c>
      <c r="C17" s="175" t="s">
        <v>64</v>
      </c>
      <c r="D17" s="169">
        <f>1630000+2000000-2000000</f>
        <v>1630000</v>
      </c>
      <c r="E17" s="169">
        <v>1630000</v>
      </c>
      <c r="F17" s="169">
        <f t="shared" si="1"/>
        <v>0</v>
      </c>
      <c r="G17" s="169">
        <v>1630000</v>
      </c>
      <c r="H17" s="169">
        <v>1566884.61</v>
      </c>
      <c r="I17" s="169"/>
      <c r="J17" s="169">
        <v>63113.34</v>
      </c>
      <c r="K17" s="169">
        <f t="shared" si="2"/>
        <v>63113.34</v>
      </c>
      <c r="L17" s="169">
        <f t="shared" si="3"/>
        <v>1629997.9500000002</v>
      </c>
      <c r="M17" s="169">
        <f t="shared" ref="M17:M23" si="11">P17+S17</f>
        <v>2.0499999998137355</v>
      </c>
      <c r="N17" s="187">
        <f>1000000-1000000</f>
        <v>0</v>
      </c>
      <c r="O17" s="169">
        <f t="shared" si="10"/>
        <v>0</v>
      </c>
      <c r="P17" s="169">
        <f t="shared" si="4"/>
        <v>2.0499999998137355</v>
      </c>
      <c r="Q17" s="169"/>
      <c r="R17" s="169"/>
      <c r="S17" s="169">
        <f t="shared" si="5"/>
        <v>0</v>
      </c>
      <c r="T17" s="169">
        <f t="shared" si="6"/>
        <v>0</v>
      </c>
      <c r="U17" s="169">
        <f t="shared" si="7"/>
        <v>0</v>
      </c>
      <c r="V17" s="169">
        <f t="shared" si="8"/>
        <v>0</v>
      </c>
      <c r="W17" s="171"/>
      <c r="X17" s="169"/>
      <c r="Y17" s="169"/>
      <c r="Z17" s="168"/>
      <c r="AA17" s="659">
        <v>742000</v>
      </c>
      <c r="AB17" s="157"/>
      <c r="AC17" s="157"/>
      <c r="AD17" s="157"/>
      <c r="AE17" s="157"/>
      <c r="AG17" s="174"/>
      <c r="AH17" s="174"/>
      <c r="AI17" s="174"/>
      <c r="AJ17" s="174"/>
      <c r="AK17" s="174"/>
      <c r="AME17" s="158"/>
    </row>
    <row r="18" spans="1:1019">
      <c r="A18" s="168">
        <f t="shared" si="0"/>
        <v>13</v>
      </c>
      <c r="B18" s="175">
        <v>1129</v>
      </c>
      <c r="C18" s="175" t="s">
        <v>43</v>
      </c>
      <c r="D18" s="169">
        <f>5500000+1500000</f>
        <v>7000000</v>
      </c>
      <c r="E18" s="169">
        <v>5500000</v>
      </c>
      <c r="F18" s="169">
        <f t="shared" si="1"/>
        <v>1500000</v>
      </c>
      <c r="G18" s="169">
        <v>5491771</v>
      </c>
      <c r="H18" s="169">
        <v>5015424.54</v>
      </c>
      <c r="I18" s="169"/>
      <c r="J18" s="169">
        <v>108575.5</v>
      </c>
      <c r="K18" s="169">
        <f t="shared" si="2"/>
        <v>108575.5</v>
      </c>
      <c r="L18" s="169">
        <f t="shared" si="3"/>
        <v>5124000.04</v>
      </c>
      <c r="M18" s="169">
        <f t="shared" si="11"/>
        <v>367770.95999999996</v>
      </c>
      <c r="N18" s="187">
        <f>1000000-500000</f>
        <v>500000</v>
      </c>
      <c r="O18" s="169">
        <f t="shared" si="10"/>
        <v>1008229</v>
      </c>
      <c r="P18" s="169">
        <f t="shared" si="4"/>
        <v>367770.95999999996</v>
      </c>
      <c r="Q18" s="169"/>
      <c r="R18" s="169"/>
      <c r="S18" s="169">
        <f t="shared" si="5"/>
        <v>0</v>
      </c>
      <c r="T18" s="169">
        <f t="shared" si="6"/>
        <v>0</v>
      </c>
      <c r="U18" s="169">
        <f t="shared" si="7"/>
        <v>500000</v>
      </c>
      <c r="V18" s="169">
        <f t="shared" si="8"/>
        <v>500000</v>
      </c>
      <c r="W18" s="171"/>
      <c r="X18" s="169"/>
      <c r="Y18" s="169"/>
      <c r="Z18" s="168"/>
      <c r="AA18" s="659">
        <v>742000</v>
      </c>
      <c r="AB18" s="157"/>
      <c r="AF18" s="172"/>
    </row>
    <row r="19" spans="1:1019" s="174" customFormat="1">
      <c r="A19" s="168">
        <f t="shared" si="0"/>
        <v>14</v>
      </c>
      <c r="B19" s="175">
        <v>1130</v>
      </c>
      <c r="C19" s="175" t="s">
        <v>44</v>
      </c>
      <c r="D19" s="169">
        <f>13881894+2118106</f>
        <v>16000000</v>
      </c>
      <c r="E19" s="169">
        <v>13881894</v>
      </c>
      <c r="F19" s="169">
        <f t="shared" si="1"/>
        <v>2118106</v>
      </c>
      <c r="G19" s="169">
        <f>12191894+690000</f>
        <v>12881894</v>
      </c>
      <c r="H19" s="169">
        <v>10175732.01</v>
      </c>
      <c r="I19" s="169">
        <v>4625</v>
      </c>
      <c r="J19" s="169">
        <v>1688007.72</v>
      </c>
      <c r="K19" s="169">
        <f t="shared" si="2"/>
        <v>1692632.72</v>
      </c>
      <c r="L19" s="169">
        <f t="shared" si="3"/>
        <v>11868364.73</v>
      </c>
      <c r="M19" s="169">
        <f t="shared" si="11"/>
        <v>1013529.2699999996</v>
      </c>
      <c r="N19" s="187">
        <f>2000000-1000000</f>
        <v>1000000</v>
      </c>
      <c r="O19" s="169">
        <f t="shared" si="10"/>
        <v>2118106</v>
      </c>
      <c r="P19" s="169">
        <f t="shared" si="4"/>
        <v>1013529.2699999996</v>
      </c>
      <c r="Q19" s="169"/>
      <c r="R19" s="169"/>
      <c r="S19" s="169">
        <f t="shared" si="5"/>
        <v>0</v>
      </c>
      <c r="T19" s="169">
        <f t="shared" si="6"/>
        <v>0</v>
      </c>
      <c r="U19" s="169">
        <f t="shared" si="7"/>
        <v>1000000</v>
      </c>
      <c r="V19" s="169">
        <f t="shared" si="8"/>
        <v>1000000</v>
      </c>
      <c r="W19" s="171"/>
      <c r="X19" s="169"/>
      <c r="Y19" s="169"/>
      <c r="Z19" s="168"/>
      <c r="AA19" s="659">
        <v>742000</v>
      </c>
      <c r="AB19" s="157"/>
      <c r="AC19" s="157"/>
      <c r="AD19" s="157"/>
      <c r="AE19" s="157"/>
      <c r="AF19" s="164"/>
      <c r="AG19" s="172"/>
      <c r="AH19" s="172"/>
      <c r="AI19" s="172"/>
      <c r="AJ19" s="172"/>
      <c r="AK19" s="172"/>
      <c r="AME19" s="158"/>
    </row>
    <row r="20" spans="1:1019">
      <c r="A20" s="168">
        <f t="shared" si="0"/>
        <v>15</v>
      </c>
      <c r="B20" s="175">
        <v>1220</v>
      </c>
      <c r="C20" s="168" t="s">
        <v>45</v>
      </c>
      <c r="D20" s="169">
        <f>5600000+1400000</f>
        <v>7000000</v>
      </c>
      <c r="E20" s="169">
        <v>5600000</v>
      </c>
      <c r="F20" s="169">
        <f t="shared" si="1"/>
        <v>1400000</v>
      </c>
      <c r="G20" s="169">
        <v>5100000</v>
      </c>
      <c r="H20" s="169">
        <v>4106025.27</v>
      </c>
      <c r="I20" s="169">
        <v>51249.4</v>
      </c>
      <c r="J20" s="169">
        <v>598009.31999999995</v>
      </c>
      <c r="K20" s="169">
        <f t="shared" si="2"/>
        <v>649258.72</v>
      </c>
      <c r="L20" s="169">
        <f t="shared" si="3"/>
        <v>4755283.99</v>
      </c>
      <c r="M20" s="169">
        <f t="shared" si="11"/>
        <v>344716.00999999978</v>
      </c>
      <c r="N20" s="187">
        <f>1000000-500000</f>
        <v>500000</v>
      </c>
      <c r="O20" s="169">
        <f t="shared" si="10"/>
        <v>1400000</v>
      </c>
      <c r="P20" s="169">
        <f t="shared" si="4"/>
        <v>344716.00999999978</v>
      </c>
      <c r="Q20" s="169"/>
      <c r="R20" s="169"/>
      <c r="S20" s="169">
        <f t="shared" si="5"/>
        <v>0</v>
      </c>
      <c r="T20" s="169">
        <f t="shared" si="6"/>
        <v>0</v>
      </c>
      <c r="U20" s="169">
        <f t="shared" si="7"/>
        <v>500000</v>
      </c>
      <c r="V20" s="169">
        <f t="shared" si="8"/>
        <v>500000</v>
      </c>
      <c r="W20" s="171"/>
      <c r="X20" s="169"/>
      <c r="Y20" s="169"/>
      <c r="Z20" s="168"/>
      <c r="AA20" s="659">
        <v>732000</v>
      </c>
      <c r="AB20" s="157"/>
      <c r="AF20" s="172"/>
      <c r="AG20" s="172"/>
      <c r="AH20" s="172"/>
      <c r="AI20" s="172"/>
      <c r="AJ20" s="172"/>
      <c r="AK20" s="172"/>
    </row>
    <row r="21" spans="1:1019" s="174" customFormat="1">
      <c r="A21" s="168">
        <f t="shared" si="0"/>
        <v>16</v>
      </c>
      <c r="B21" s="175">
        <v>1268</v>
      </c>
      <c r="C21" s="168" t="s">
        <v>65</v>
      </c>
      <c r="D21" s="169">
        <v>10800000</v>
      </c>
      <c r="E21" s="169">
        <v>10800000</v>
      </c>
      <c r="F21" s="169">
        <f t="shared" si="1"/>
        <v>0</v>
      </c>
      <c r="G21" s="169">
        <v>10800000</v>
      </c>
      <c r="H21" s="169">
        <v>10764946.49</v>
      </c>
      <c r="I21" s="169"/>
      <c r="J21" s="169">
        <v>19091.88</v>
      </c>
      <c r="K21" s="169">
        <f t="shared" si="2"/>
        <v>19091.88</v>
      </c>
      <c r="L21" s="169">
        <f t="shared" si="3"/>
        <v>10784038.370000001</v>
      </c>
      <c r="M21" s="169">
        <f t="shared" si="11"/>
        <v>15961.629999998957</v>
      </c>
      <c r="N21" s="627">
        <v>0</v>
      </c>
      <c r="O21" s="169">
        <f t="shared" si="10"/>
        <v>0</v>
      </c>
      <c r="P21" s="169">
        <f t="shared" si="4"/>
        <v>15961.629999998957</v>
      </c>
      <c r="Q21" s="169"/>
      <c r="R21" s="169"/>
      <c r="S21" s="169">
        <f t="shared" si="5"/>
        <v>0</v>
      </c>
      <c r="T21" s="169">
        <f t="shared" si="6"/>
        <v>0</v>
      </c>
      <c r="U21" s="169">
        <f t="shared" si="7"/>
        <v>0</v>
      </c>
      <c r="V21" s="169">
        <f t="shared" si="8"/>
        <v>0</v>
      </c>
      <c r="W21" s="171"/>
      <c r="X21" s="169"/>
      <c r="Y21" s="169"/>
      <c r="Z21" s="168"/>
      <c r="AA21" s="659">
        <v>813200</v>
      </c>
      <c r="AB21" s="157"/>
      <c r="AC21" s="157"/>
      <c r="AD21" s="157"/>
      <c r="AE21" s="157"/>
      <c r="AF21" s="172"/>
      <c r="AG21" s="172"/>
      <c r="AH21" s="172"/>
      <c r="AI21" s="172"/>
      <c r="AJ21" s="172"/>
      <c r="AK21" s="172"/>
      <c r="AME21" s="158"/>
    </row>
    <row r="22" spans="1:1019" s="172" customFormat="1">
      <c r="A22" s="168">
        <f t="shared" si="0"/>
        <v>17</v>
      </c>
      <c r="B22" s="175">
        <v>1314</v>
      </c>
      <c r="C22" s="168" t="s">
        <v>66</v>
      </c>
      <c r="D22" s="169">
        <v>3200000</v>
      </c>
      <c r="E22" s="169">
        <v>3200000</v>
      </c>
      <c r="F22" s="169">
        <f t="shared" si="1"/>
        <v>0</v>
      </c>
      <c r="G22" s="169">
        <v>400000</v>
      </c>
      <c r="H22" s="169">
        <v>359314.49</v>
      </c>
      <c r="I22" s="169"/>
      <c r="J22" s="169"/>
      <c r="K22" s="169">
        <f t="shared" si="2"/>
        <v>0</v>
      </c>
      <c r="L22" s="169">
        <f t="shared" si="3"/>
        <v>359314.49</v>
      </c>
      <c r="M22" s="169">
        <f t="shared" si="11"/>
        <v>40685.510000000009</v>
      </c>
      <c r="N22" s="187"/>
      <c r="O22" s="169">
        <f t="shared" si="10"/>
        <v>2800000</v>
      </c>
      <c r="P22" s="169">
        <f t="shared" si="4"/>
        <v>40685.510000000009</v>
      </c>
      <c r="Q22" s="169"/>
      <c r="R22" s="169"/>
      <c r="S22" s="169">
        <f t="shared" si="5"/>
        <v>0</v>
      </c>
      <c r="T22" s="169">
        <f t="shared" si="6"/>
        <v>0</v>
      </c>
      <c r="U22" s="169">
        <f t="shared" si="7"/>
        <v>0</v>
      </c>
      <c r="V22" s="169">
        <f t="shared" si="8"/>
        <v>0</v>
      </c>
      <c r="W22" s="171"/>
      <c r="X22" s="169"/>
      <c r="Y22" s="169"/>
      <c r="Z22" s="168"/>
      <c r="AA22" s="659">
        <v>742000</v>
      </c>
      <c r="AB22" s="157"/>
      <c r="AC22" s="157"/>
      <c r="AD22" s="157"/>
      <c r="AE22" s="157"/>
      <c r="AME22" s="158"/>
    </row>
    <row r="23" spans="1:1019">
      <c r="A23" s="168">
        <f t="shared" si="0"/>
        <v>18</v>
      </c>
      <c r="B23" s="175">
        <v>1320</v>
      </c>
      <c r="C23" s="168" t="s">
        <v>922</v>
      </c>
      <c r="D23" s="169">
        <v>23500000</v>
      </c>
      <c r="E23" s="169">
        <v>23500000</v>
      </c>
      <c r="F23" s="169">
        <f t="shared" si="1"/>
        <v>0</v>
      </c>
      <c r="G23" s="169">
        <v>21700000</v>
      </c>
      <c r="H23" s="169">
        <v>21332933.5</v>
      </c>
      <c r="I23" s="169">
        <v>204226.2</v>
      </c>
      <c r="J23" s="169">
        <v>12607.92</v>
      </c>
      <c r="K23" s="169">
        <f t="shared" si="2"/>
        <v>216834.12000000002</v>
      </c>
      <c r="L23" s="169">
        <f t="shared" si="3"/>
        <v>21549767.620000001</v>
      </c>
      <c r="M23" s="169">
        <f t="shared" si="11"/>
        <v>150232.37999999896</v>
      </c>
      <c r="N23" s="187">
        <f>1800000-1800000</f>
        <v>0</v>
      </c>
      <c r="O23" s="169">
        <f t="shared" si="10"/>
        <v>1800000</v>
      </c>
      <c r="P23" s="169">
        <f t="shared" si="4"/>
        <v>150232.37999999896</v>
      </c>
      <c r="Q23" s="169"/>
      <c r="R23" s="169"/>
      <c r="S23" s="169">
        <f t="shared" si="5"/>
        <v>0</v>
      </c>
      <c r="T23" s="169">
        <f t="shared" si="6"/>
        <v>0</v>
      </c>
      <c r="U23" s="169">
        <f t="shared" si="7"/>
        <v>0</v>
      </c>
      <c r="V23" s="169">
        <f t="shared" si="8"/>
        <v>0</v>
      </c>
      <c r="W23" s="171"/>
      <c r="X23" s="169"/>
      <c r="Y23" s="169"/>
      <c r="Z23" s="168"/>
      <c r="AA23" s="659">
        <v>746000</v>
      </c>
      <c r="AB23" s="157"/>
      <c r="AF23" s="172"/>
      <c r="AG23" s="174"/>
      <c r="AH23" s="174"/>
      <c r="AI23" s="174"/>
      <c r="AJ23" s="174"/>
      <c r="AK23" s="174"/>
    </row>
    <row r="24" spans="1:1019" s="174" customFormat="1">
      <c r="A24" s="168">
        <f t="shared" si="0"/>
        <v>19</v>
      </c>
      <c r="B24" s="175">
        <v>1322</v>
      </c>
      <c r="C24" s="168" t="s">
        <v>47</v>
      </c>
      <c r="D24" s="169">
        <v>18500000</v>
      </c>
      <c r="E24" s="169">
        <v>18500000</v>
      </c>
      <c r="F24" s="169">
        <f t="shared" si="1"/>
        <v>0</v>
      </c>
      <c r="G24" s="169">
        <v>11400000</v>
      </c>
      <c r="H24" s="169">
        <v>9625168.5899999999</v>
      </c>
      <c r="I24" s="169">
        <v>133636.75</v>
      </c>
      <c r="J24" s="169">
        <v>13850.62</v>
      </c>
      <c r="K24" s="169">
        <f t="shared" si="2"/>
        <v>147487.37</v>
      </c>
      <c r="L24" s="169">
        <f t="shared" si="3"/>
        <v>9772655.959999999</v>
      </c>
      <c r="M24" s="169">
        <f>P24+S24-1500000</f>
        <v>127344.04000000097</v>
      </c>
      <c r="N24" s="187">
        <f>5000000-3500000</f>
        <v>1500000</v>
      </c>
      <c r="O24" s="169">
        <f t="shared" si="10"/>
        <v>7100000</v>
      </c>
      <c r="P24" s="169">
        <f t="shared" si="4"/>
        <v>1627344.040000001</v>
      </c>
      <c r="Q24" s="169"/>
      <c r="R24" s="169"/>
      <c r="S24" s="169">
        <f t="shared" si="5"/>
        <v>0</v>
      </c>
      <c r="T24" s="169">
        <f t="shared" si="6"/>
        <v>1500000</v>
      </c>
      <c r="U24" s="169">
        <f t="shared" si="7"/>
        <v>0</v>
      </c>
      <c r="V24" s="169">
        <f t="shared" si="8"/>
        <v>0</v>
      </c>
      <c r="W24" s="171"/>
      <c r="X24" s="169"/>
      <c r="Y24" s="169"/>
      <c r="Z24" s="168"/>
      <c r="AA24" s="659">
        <v>742000</v>
      </c>
      <c r="AB24" s="157"/>
      <c r="AC24" s="157"/>
      <c r="AD24" s="157"/>
      <c r="AE24" s="157"/>
      <c r="AF24" s="172"/>
      <c r="AG24" s="172"/>
      <c r="AH24" s="172"/>
      <c r="AI24" s="172"/>
      <c r="AJ24" s="172"/>
      <c r="AK24" s="172"/>
      <c r="AME24" s="158"/>
    </row>
    <row r="25" spans="1:1019" s="172" customFormat="1">
      <c r="A25" s="168">
        <f t="shared" si="0"/>
        <v>20</v>
      </c>
      <c r="B25" s="175">
        <v>1324</v>
      </c>
      <c r="C25" s="168" t="s">
        <v>904</v>
      </c>
      <c r="D25" s="169">
        <f>250000-70000</f>
        <v>180000</v>
      </c>
      <c r="E25" s="169">
        <v>250000</v>
      </c>
      <c r="F25" s="169">
        <f t="shared" si="1"/>
        <v>-70000</v>
      </c>
      <c r="G25" s="169">
        <v>180000</v>
      </c>
      <c r="H25" s="169">
        <v>120629.48</v>
      </c>
      <c r="I25" s="169"/>
      <c r="J25" s="169">
        <v>56544</v>
      </c>
      <c r="K25" s="169">
        <f t="shared" si="2"/>
        <v>56544</v>
      </c>
      <c r="L25" s="169">
        <f t="shared" si="3"/>
        <v>177173.47999999998</v>
      </c>
      <c r="M25" s="169">
        <f>P25+S25</f>
        <v>2826.5200000000186</v>
      </c>
      <c r="N25" s="627">
        <v>0</v>
      </c>
      <c r="O25" s="169">
        <f t="shared" si="10"/>
        <v>0</v>
      </c>
      <c r="P25" s="169">
        <f t="shared" si="4"/>
        <v>2826.5200000000186</v>
      </c>
      <c r="Q25" s="169"/>
      <c r="R25" s="169"/>
      <c r="S25" s="169">
        <f t="shared" si="5"/>
        <v>0</v>
      </c>
      <c r="T25" s="169">
        <f t="shared" si="6"/>
        <v>0</v>
      </c>
      <c r="U25" s="169">
        <f t="shared" si="7"/>
        <v>0</v>
      </c>
      <c r="V25" s="169">
        <f t="shared" si="8"/>
        <v>0</v>
      </c>
      <c r="W25" s="171"/>
      <c r="X25" s="169"/>
      <c r="Y25" s="169"/>
      <c r="Z25" s="168"/>
      <c r="AA25" s="659">
        <v>742000</v>
      </c>
      <c r="AB25" s="157"/>
      <c r="AC25" s="157"/>
      <c r="AD25" s="157"/>
      <c r="AE25" s="157"/>
      <c r="AG25" s="174"/>
      <c r="AH25" s="174"/>
      <c r="AI25" s="174"/>
      <c r="AJ25" s="174"/>
      <c r="AK25" s="174"/>
      <c r="AME25" s="158"/>
    </row>
    <row r="26" spans="1:1019" s="172" customFormat="1">
      <c r="A26" s="168">
        <f t="shared" si="0"/>
        <v>21</v>
      </c>
      <c r="B26" s="175">
        <v>1357</v>
      </c>
      <c r="C26" s="175" t="s">
        <v>69</v>
      </c>
      <c r="D26" s="169">
        <v>25000000</v>
      </c>
      <c r="E26" s="169">
        <v>25000000</v>
      </c>
      <c r="F26" s="169">
        <f t="shared" si="1"/>
        <v>0</v>
      </c>
      <c r="G26" s="169">
        <v>12612000</v>
      </c>
      <c r="H26" s="169">
        <v>12420746.140000001</v>
      </c>
      <c r="I26" s="169">
        <v>118498.13</v>
      </c>
      <c r="J26" s="169"/>
      <c r="K26" s="169">
        <f t="shared" si="2"/>
        <v>118498.13</v>
      </c>
      <c r="L26" s="169">
        <f t="shared" si="3"/>
        <v>12539244.270000001</v>
      </c>
      <c r="M26" s="169">
        <f>P26+S26-50000</f>
        <v>22755.729999998584</v>
      </c>
      <c r="N26" s="187">
        <f>700000-560000</f>
        <v>140000</v>
      </c>
      <c r="O26" s="169">
        <f t="shared" si="10"/>
        <v>12298000</v>
      </c>
      <c r="P26" s="169">
        <f t="shared" si="4"/>
        <v>72755.729999998584</v>
      </c>
      <c r="Q26" s="169"/>
      <c r="R26" s="169"/>
      <c r="S26" s="169">
        <f t="shared" si="5"/>
        <v>0</v>
      </c>
      <c r="T26" s="169">
        <f t="shared" si="6"/>
        <v>50000</v>
      </c>
      <c r="U26" s="169">
        <f t="shared" si="7"/>
        <v>90000</v>
      </c>
      <c r="V26" s="169">
        <f t="shared" si="8"/>
        <v>90000</v>
      </c>
      <c r="W26" s="171"/>
      <c r="X26" s="169"/>
      <c r="Y26" s="169"/>
      <c r="Z26" s="168"/>
      <c r="AA26" s="659">
        <v>829000</v>
      </c>
      <c r="AB26" s="157"/>
      <c r="AC26" s="157"/>
      <c r="AD26" s="157"/>
      <c r="AE26" s="157"/>
      <c r="AG26" s="174"/>
      <c r="AH26" s="174"/>
      <c r="AI26" s="174"/>
      <c r="AJ26" s="174"/>
      <c r="AK26" s="174"/>
      <c r="AME26" s="158"/>
    </row>
    <row r="27" spans="1:1019" s="172" customFormat="1">
      <c r="A27" s="168">
        <f t="shared" si="0"/>
        <v>22</v>
      </c>
      <c r="B27" s="175">
        <v>1363</v>
      </c>
      <c r="C27" s="168" t="s">
        <v>48</v>
      </c>
      <c r="D27" s="169">
        <f>14000000+1500000</f>
        <v>15500000</v>
      </c>
      <c r="E27" s="169">
        <v>14000000</v>
      </c>
      <c r="F27" s="169">
        <f t="shared" si="1"/>
        <v>1500000</v>
      </c>
      <c r="G27" s="169">
        <v>6050000</v>
      </c>
      <c r="H27" s="169">
        <v>855341.96</v>
      </c>
      <c r="I27" s="169">
        <v>106902.9</v>
      </c>
      <c r="J27" s="169">
        <v>423897.2</v>
      </c>
      <c r="K27" s="169">
        <f t="shared" si="2"/>
        <v>530800.1</v>
      </c>
      <c r="L27" s="169">
        <f t="shared" si="3"/>
        <v>1386142.06</v>
      </c>
      <c r="M27" s="169">
        <f>P27+S27-1500000</f>
        <v>3163857.9399999995</v>
      </c>
      <c r="N27" s="187">
        <f>9000000-7500000</f>
        <v>1500000</v>
      </c>
      <c r="O27" s="169">
        <f t="shared" si="10"/>
        <v>9450000</v>
      </c>
      <c r="P27" s="169">
        <f t="shared" si="4"/>
        <v>4663857.9399999995</v>
      </c>
      <c r="Q27" s="169"/>
      <c r="R27" s="169"/>
      <c r="S27" s="169">
        <f t="shared" si="5"/>
        <v>0</v>
      </c>
      <c r="T27" s="169">
        <f t="shared" si="6"/>
        <v>1500000</v>
      </c>
      <c r="U27" s="169">
        <f t="shared" si="7"/>
        <v>0</v>
      </c>
      <c r="V27" s="169">
        <f t="shared" si="8"/>
        <v>0</v>
      </c>
      <c r="W27" s="171"/>
      <c r="X27" s="169"/>
      <c r="Y27" s="169"/>
      <c r="Z27" s="168"/>
      <c r="AA27" s="659">
        <v>742000</v>
      </c>
      <c r="AB27" s="157"/>
      <c r="AC27" s="157"/>
      <c r="AD27" s="157"/>
      <c r="AE27" s="157"/>
      <c r="AG27" s="174"/>
      <c r="AH27" s="174"/>
      <c r="AI27" s="174"/>
      <c r="AJ27" s="174"/>
      <c r="AK27" s="174"/>
      <c r="AME27" s="158"/>
    </row>
    <row r="28" spans="1:1019">
      <c r="A28" s="168">
        <f t="shared" si="0"/>
        <v>23</v>
      </c>
      <c r="B28" s="175">
        <v>1366</v>
      </c>
      <c r="C28" s="168" t="s">
        <v>49</v>
      </c>
      <c r="D28" s="169">
        <v>1500000</v>
      </c>
      <c r="E28" s="169">
        <v>1500000</v>
      </c>
      <c r="F28" s="169">
        <f t="shared" si="1"/>
        <v>0</v>
      </c>
      <c r="G28" s="169">
        <v>950000</v>
      </c>
      <c r="H28" s="169">
        <v>708535.52</v>
      </c>
      <c r="I28" s="169"/>
      <c r="J28" s="169">
        <v>56617.1</v>
      </c>
      <c r="K28" s="169">
        <f t="shared" si="2"/>
        <v>56617.1</v>
      </c>
      <c r="L28" s="169">
        <f t="shared" si="3"/>
        <v>765152.62</v>
      </c>
      <c r="M28" s="169">
        <f>P28+S28-184000</f>
        <v>847.38000000000466</v>
      </c>
      <c r="N28" s="187">
        <v>150000</v>
      </c>
      <c r="O28" s="169">
        <f t="shared" si="10"/>
        <v>584000</v>
      </c>
      <c r="P28" s="169">
        <f t="shared" si="4"/>
        <v>184847.38</v>
      </c>
      <c r="Q28" s="169"/>
      <c r="R28" s="169"/>
      <c r="S28" s="169">
        <f t="shared" si="5"/>
        <v>0</v>
      </c>
      <c r="T28" s="169">
        <f t="shared" si="6"/>
        <v>184000</v>
      </c>
      <c r="U28" s="169">
        <f t="shared" si="7"/>
        <v>-34000</v>
      </c>
      <c r="V28" s="169">
        <f t="shared" si="8"/>
        <v>-34000</v>
      </c>
      <c r="W28" s="171"/>
      <c r="X28" s="169"/>
      <c r="Y28" s="169"/>
      <c r="Z28" s="168"/>
      <c r="AA28" s="659">
        <v>742000</v>
      </c>
      <c r="AB28" s="157"/>
      <c r="AF28" s="172"/>
    </row>
    <row r="29" spans="1:1019">
      <c r="A29" s="168">
        <f t="shared" si="0"/>
        <v>24</v>
      </c>
      <c r="B29" s="175">
        <v>1395</v>
      </c>
      <c r="C29" s="168" t="s">
        <v>70</v>
      </c>
      <c r="D29" s="169">
        <f>1761000-90000</f>
        <v>1671000</v>
      </c>
      <c r="E29" s="169">
        <v>1761000</v>
      </c>
      <c r="F29" s="169">
        <f t="shared" si="1"/>
        <v>-90000</v>
      </c>
      <c r="G29" s="169">
        <v>1761000</v>
      </c>
      <c r="H29" s="169">
        <v>1661606.84</v>
      </c>
      <c r="I29" s="169"/>
      <c r="J29" s="169">
        <v>4586.34</v>
      </c>
      <c r="K29" s="169">
        <f t="shared" si="2"/>
        <v>4586.34</v>
      </c>
      <c r="L29" s="169">
        <f t="shared" si="3"/>
        <v>1666193.1800000002</v>
      </c>
      <c r="M29" s="169">
        <f>P29+S29-90000</f>
        <v>4806.8199999998324</v>
      </c>
      <c r="N29" s="187">
        <f>90000-90000</f>
        <v>0</v>
      </c>
      <c r="O29" s="169">
        <f t="shared" si="10"/>
        <v>0</v>
      </c>
      <c r="P29" s="169">
        <f t="shared" si="4"/>
        <v>94806.819999999832</v>
      </c>
      <c r="Q29" s="169"/>
      <c r="R29" s="169"/>
      <c r="S29" s="169">
        <f t="shared" si="5"/>
        <v>0</v>
      </c>
      <c r="T29" s="169">
        <f t="shared" si="6"/>
        <v>90000</v>
      </c>
      <c r="U29" s="169">
        <f t="shared" si="7"/>
        <v>-90000</v>
      </c>
      <c r="V29" s="169">
        <f t="shared" si="8"/>
        <v>-90000</v>
      </c>
      <c r="W29" s="171"/>
      <c r="X29" s="169"/>
      <c r="Y29" s="169"/>
      <c r="Z29" s="168"/>
      <c r="AA29" s="659">
        <v>731000</v>
      </c>
      <c r="AB29" s="157"/>
      <c r="AF29" s="172"/>
    </row>
    <row r="30" spans="1:1019" s="174" customFormat="1">
      <c r="A30" s="168">
        <f t="shared" si="0"/>
        <v>25</v>
      </c>
      <c r="B30" s="175">
        <v>1457</v>
      </c>
      <c r="C30" s="168" t="s">
        <v>422</v>
      </c>
      <c r="D30" s="169">
        <v>1100000</v>
      </c>
      <c r="E30" s="169">
        <v>1100000</v>
      </c>
      <c r="F30" s="169">
        <f t="shared" si="1"/>
        <v>0</v>
      </c>
      <c r="G30" s="169">
        <v>430000</v>
      </c>
      <c r="H30" s="169">
        <v>145716.09</v>
      </c>
      <c r="I30" s="169"/>
      <c r="J30" s="169">
        <v>19485.759999999998</v>
      </c>
      <c r="K30" s="169">
        <f t="shared" si="2"/>
        <v>19485.759999999998</v>
      </c>
      <c r="L30" s="169">
        <f t="shared" si="3"/>
        <v>165201.85</v>
      </c>
      <c r="M30" s="169">
        <f>P30+S30</f>
        <v>264798.15000000002</v>
      </c>
      <c r="N30" s="187">
        <v>500000</v>
      </c>
      <c r="O30" s="169">
        <f t="shared" si="10"/>
        <v>170000</v>
      </c>
      <c r="P30" s="169">
        <f t="shared" si="4"/>
        <v>264798.15000000002</v>
      </c>
      <c r="Q30" s="169"/>
      <c r="R30" s="169"/>
      <c r="S30" s="169">
        <f t="shared" si="5"/>
        <v>0</v>
      </c>
      <c r="T30" s="169">
        <f t="shared" si="6"/>
        <v>0</v>
      </c>
      <c r="U30" s="169">
        <f t="shared" si="7"/>
        <v>500000</v>
      </c>
      <c r="V30" s="169">
        <f t="shared" si="8"/>
        <v>500000</v>
      </c>
      <c r="W30" s="171"/>
      <c r="X30" s="169"/>
      <c r="Y30" s="169"/>
      <c r="Z30" s="168"/>
      <c r="AA30" s="659">
        <v>742000</v>
      </c>
      <c r="AB30" s="157"/>
      <c r="AC30" s="157"/>
      <c r="AD30" s="157"/>
      <c r="AE30" s="157"/>
      <c r="AF30" s="172"/>
      <c r="AG30" s="172"/>
      <c r="AH30" s="172"/>
      <c r="AI30" s="172"/>
      <c r="AJ30" s="172"/>
      <c r="AK30" s="172"/>
      <c r="AME30" s="158"/>
    </row>
    <row r="31" spans="1:1019" s="174" customFormat="1">
      <c r="A31" s="168">
        <f t="shared" si="0"/>
        <v>26</v>
      </c>
      <c r="B31" s="175">
        <v>1511</v>
      </c>
      <c r="C31" s="170" t="s">
        <v>905</v>
      </c>
      <c r="D31" s="169">
        <v>960000</v>
      </c>
      <c r="E31" s="169">
        <v>960000</v>
      </c>
      <c r="F31" s="169">
        <f t="shared" si="1"/>
        <v>0</v>
      </c>
      <c r="G31" s="169">
        <v>100000</v>
      </c>
      <c r="H31" s="169">
        <v>17284</v>
      </c>
      <c r="I31" s="169"/>
      <c r="J31" s="169"/>
      <c r="K31" s="169">
        <f t="shared" ref="K31:K51" si="12">SUM(I31:J31)</f>
        <v>0</v>
      </c>
      <c r="L31" s="169">
        <f t="shared" si="3"/>
        <v>17284</v>
      </c>
      <c r="M31" s="169">
        <f>P31+S31</f>
        <v>82716</v>
      </c>
      <c r="N31" s="187"/>
      <c r="O31" s="169">
        <f t="shared" si="10"/>
        <v>860000</v>
      </c>
      <c r="P31" s="169">
        <f t="shared" si="4"/>
        <v>82716</v>
      </c>
      <c r="Q31" s="169"/>
      <c r="R31" s="169"/>
      <c r="S31" s="169">
        <f t="shared" ref="S31:S51" si="13">SUM(Q31:R31)</f>
        <v>0</v>
      </c>
      <c r="T31" s="169">
        <f t="shared" si="6"/>
        <v>0</v>
      </c>
      <c r="U31" s="169">
        <f t="shared" si="7"/>
        <v>0</v>
      </c>
      <c r="V31" s="169">
        <f t="shared" si="8"/>
        <v>0</v>
      </c>
      <c r="W31" s="171"/>
      <c r="X31" s="169"/>
      <c r="Y31" s="169"/>
      <c r="Z31" s="168"/>
      <c r="AA31" s="659">
        <v>742000</v>
      </c>
      <c r="AB31" s="157"/>
      <c r="AC31" s="157"/>
      <c r="AD31" s="157"/>
      <c r="AE31" s="157"/>
      <c r="AF31" s="172"/>
      <c r="AG31" s="172"/>
      <c r="AH31" s="172"/>
      <c r="AI31" s="172"/>
      <c r="AJ31" s="172"/>
      <c r="AK31" s="172"/>
      <c r="AME31" s="158"/>
    </row>
    <row r="32" spans="1:1019">
      <c r="A32" s="168">
        <f t="shared" si="0"/>
        <v>27</v>
      </c>
      <c r="B32" s="175">
        <v>1529</v>
      </c>
      <c r="C32" s="168" t="s">
        <v>71</v>
      </c>
      <c r="D32" s="169">
        <v>350000</v>
      </c>
      <c r="E32" s="169">
        <v>350000</v>
      </c>
      <c r="F32" s="169">
        <f t="shared" si="1"/>
        <v>0</v>
      </c>
      <c r="G32" s="169">
        <v>200000</v>
      </c>
      <c r="H32" s="169">
        <v>183866.55</v>
      </c>
      <c r="I32" s="169"/>
      <c r="J32" s="169"/>
      <c r="K32" s="169">
        <f t="shared" si="12"/>
        <v>0</v>
      </c>
      <c r="L32" s="169">
        <f t="shared" si="3"/>
        <v>183866.55</v>
      </c>
      <c r="M32" s="169">
        <f>P32+S32</f>
        <v>16133.450000000012</v>
      </c>
      <c r="N32" s="187">
        <f>150000-100000</f>
        <v>50000</v>
      </c>
      <c r="O32" s="169">
        <f t="shared" si="10"/>
        <v>100000</v>
      </c>
      <c r="P32" s="169">
        <f t="shared" si="4"/>
        <v>16133.450000000012</v>
      </c>
      <c r="Q32" s="169"/>
      <c r="R32" s="169"/>
      <c r="S32" s="169">
        <f t="shared" si="13"/>
        <v>0</v>
      </c>
      <c r="T32" s="169">
        <f t="shared" si="6"/>
        <v>0</v>
      </c>
      <c r="U32" s="169">
        <f t="shared" si="7"/>
        <v>50000</v>
      </c>
      <c r="V32" s="169">
        <f t="shared" si="8"/>
        <v>50000</v>
      </c>
      <c r="W32" s="171"/>
      <c r="X32" s="169"/>
      <c r="Y32" s="169"/>
      <c r="Z32" s="168"/>
      <c r="AA32" s="659">
        <v>760000</v>
      </c>
      <c r="AB32" s="157"/>
      <c r="AF32" s="172"/>
      <c r="AG32" s="172"/>
      <c r="AH32" s="172"/>
      <c r="AI32" s="172"/>
      <c r="AJ32" s="172"/>
      <c r="AK32" s="172"/>
    </row>
    <row r="33" spans="1:1019">
      <c r="A33" s="168">
        <f t="shared" si="0"/>
        <v>28</v>
      </c>
      <c r="B33" s="175">
        <v>1568</v>
      </c>
      <c r="C33" s="168" t="s">
        <v>72</v>
      </c>
      <c r="D33" s="169">
        <v>46375301</v>
      </c>
      <c r="E33" s="169">
        <v>46375301</v>
      </c>
      <c r="F33" s="169">
        <f t="shared" si="1"/>
        <v>0</v>
      </c>
      <c r="G33" s="169">
        <v>28875301</v>
      </c>
      <c r="H33" s="169">
        <v>27758685.309999999</v>
      </c>
      <c r="I33" s="169">
        <v>822126.24</v>
      </c>
      <c r="J33" s="169">
        <v>104522.48</v>
      </c>
      <c r="K33" s="169">
        <f t="shared" si="12"/>
        <v>926648.72</v>
      </c>
      <c r="L33" s="169">
        <f t="shared" si="3"/>
        <v>28685334.029999997</v>
      </c>
      <c r="M33" s="169">
        <f>P33+S33</f>
        <v>189966.97000000253</v>
      </c>
      <c r="N33" s="187">
        <f>17500000-17500000</f>
        <v>0</v>
      </c>
      <c r="O33" s="169">
        <f t="shared" si="10"/>
        <v>17500000</v>
      </c>
      <c r="P33" s="169">
        <f t="shared" si="4"/>
        <v>189966.97000000253</v>
      </c>
      <c r="Q33" s="169"/>
      <c r="R33" s="169"/>
      <c r="S33" s="169">
        <f t="shared" si="13"/>
        <v>0</v>
      </c>
      <c r="T33" s="169">
        <f t="shared" si="6"/>
        <v>0</v>
      </c>
      <c r="U33" s="169">
        <f t="shared" si="7"/>
        <v>0</v>
      </c>
      <c r="V33" s="169">
        <f t="shared" si="8"/>
        <v>0</v>
      </c>
      <c r="W33" s="171"/>
      <c r="X33" s="169"/>
      <c r="Y33" s="169"/>
      <c r="Z33" s="168"/>
      <c r="AA33" s="659">
        <v>746000</v>
      </c>
      <c r="AB33" s="157"/>
      <c r="AF33" s="172"/>
      <c r="AG33" s="172"/>
      <c r="AH33" s="172"/>
      <c r="AI33" s="172"/>
      <c r="AJ33" s="172"/>
      <c r="AK33" s="172"/>
    </row>
    <row r="34" spans="1:1019" s="172" customFormat="1">
      <c r="A34" s="168">
        <f t="shared" si="0"/>
        <v>29</v>
      </c>
      <c r="B34" s="175">
        <v>1576</v>
      </c>
      <c r="C34" s="168" t="s">
        <v>73</v>
      </c>
      <c r="D34" s="169">
        <v>1000000</v>
      </c>
      <c r="E34" s="169">
        <v>1000000</v>
      </c>
      <c r="F34" s="169">
        <f t="shared" si="1"/>
        <v>0</v>
      </c>
      <c r="G34" s="169">
        <v>500000</v>
      </c>
      <c r="H34" s="169">
        <v>354021.17</v>
      </c>
      <c r="I34" s="169">
        <v>44752</v>
      </c>
      <c r="J34" s="169"/>
      <c r="K34" s="169">
        <f t="shared" si="12"/>
        <v>44752</v>
      </c>
      <c r="L34" s="169">
        <f t="shared" si="3"/>
        <v>398773.17</v>
      </c>
      <c r="M34" s="169">
        <f>P34+S34-50000</f>
        <v>51226.830000000016</v>
      </c>
      <c r="N34" s="187"/>
      <c r="O34" s="169">
        <f t="shared" si="10"/>
        <v>550000</v>
      </c>
      <c r="P34" s="169">
        <f t="shared" si="4"/>
        <v>101226.83000000002</v>
      </c>
      <c r="Q34" s="169"/>
      <c r="R34" s="169"/>
      <c r="S34" s="169">
        <f t="shared" si="13"/>
        <v>0</v>
      </c>
      <c r="T34" s="169">
        <f t="shared" si="6"/>
        <v>50000</v>
      </c>
      <c r="U34" s="169">
        <f t="shared" si="7"/>
        <v>-50000</v>
      </c>
      <c r="V34" s="169">
        <f t="shared" si="8"/>
        <v>-50000</v>
      </c>
      <c r="W34" s="171"/>
      <c r="X34" s="169"/>
      <c r="Y34" s="169"/>
      <c r="Z34" s="168"/>
      <c r="AA34" s="659">
        <v>732000</v>
      </c>
      <c r="AB34" s="157"/>
      <c r="AC34" s="157"/>
      <c r="AD34" s="157"/>
      <c r="AE34" s="157"/>
      <c r="AME34" s="158"/>
    </row>
    <row r="35" spans="1:1019" s="172" customFormat="1">
      <c r="A35" s="168">
        <f t="shared" si="0"/>
        <v>30</v>
      </c>
      <c r="B35" s="175">
        <v>1587</v>
      </c>
      <c r="C35" s="168" t="s">
        <v>217</v>
      </c>
      <c r="D35" s="169">
        <v>34200000</v>
      </c>
      <c r="E35" s="169">
        <v>34200000</v>
      </c>
      <c r="F35" s="169">
        <f t="shared" si="1"/>
        <v>0</v>
      </c>
      <c r="G35" s="169">
        <v>10800000</v>
      </c>
      <c r="H35" s="169">
        <v>7933031.1699999999</v>
      </c>
      <c r="I35" s="169">
        <v>512415.18</v>
      </c>
      <c r="J35" s="169">
        <v>79670.53</v>
      </c>
      <c r="K35" s="169">
        <f t="shared" si="12"/>
        <v>592085.71</v>
      </c>
      <c r="L35" s="169">
        <f t="shared" si="3"/>
        <v>8525116.879999999</v>
      </c>
      <c r="M35" s="169">
        <f>P35+S35-1800000</f>
        <v>474883.12000000104</v>
      </c>
      <c r="N35" s="187">
        <f>10000000-8200000</f>
        <v>1800000</v>
      </c>
      <c r="O35" s="169">
        <f t="shared" si="10"/>
        <v>23400000</v>
      </c>
      <c r="P35" s="169">
        <f t="shared" si="4"/>
        <v>2274883.120000001</v>
      </c>
      <c r="Q35" s="169"/>
      <c r="R35" s="169"/>
      <c r="S35" s="169">
        <f t="shared" si="13"/>
        <v>0</v>
      </c>
      <c r="T35" s="169">
        <f t="shared" si="6"/>
        <v>1800000</v>
      </c>
      <c r="U35" s="169">
        <f t="shared" si="7"/>
        <v>0</v>
      </c>
      <c r="V35" s="169">
        <f t="shared" si="8"/>
        <v>0</v>
      </c>
      <c r="W35" s="171"/>
      <c r="X35" s="169"/>
      <c r="Y35" s="169"/>
      <c r="Z35" s="168"/>
      <c r="AA35" s="659">
        <v>742000</v>
      </c>
      <c r="AB35" s="157"/>
      <c r="AC35" s="157"/>
      <c r="AD35" s="157"/>
      <c r="AE35" s="157"/>
      <c r="AME35" s="158"/>
    </row>
    <row r="36" spans="1:1019" s="172" customFormat="1">
      <c r="A36" s="168">
        <f t="shared" si="0"/>
        <v>31</v>
      </c>
      <c r="B36" s="175">
        <v>1601</v>
      </c>
      <c r="C36" s="168" t="s">
        <v>53</v>
      </c>
      <c r="D36" s="169">
        <v>700000</v>
      </c>
      <c r="E36" s="169">
        <v>700000</v>
      </c>
      <c r="F36" s="169">
        <f t="shared" si="1"/>
        <v>0</v>
      </c>
      <c r="G36" s="169">
        <v>500000</v>
      </c>
      <c r="H36" s="169">
        <v>404174.79</v>
      </c>
      <c r="I36" s="169"/>
      <c r="J36" s="169">
        <v>67010.84</v>
      </c>
      <c r="K36" s="169">
        <f t="shared" si="12"/>
        <v>67010.84</v>
      </c>
      <c r="L36" s="169">
        <f t="shared" si="3"/>
        <v>471185.63</v>
      </c>
      <c r="M36" s="169">
        <f t="shared" ref="M36:M45" si="14">P36+S36</f>
        <v>28814.369999999995</v>
      </c>
      <c r="N36" s="187">
        <v>150000</v>
      </c>
      <c r="O36" s="169">
        <f t="shared" si="10"/>
        <v>50000</v>
      </c>
      <c r="P36" s="169">
        <f t="shared" si="4"/>
        <v>28814.369999999995</v>
      </c>
      <c r="Q36" s="169"/>
      <c r="R36" s="169"/>
      <c r="S36" s="169">
        <f t="shared" si="13"/>
        <v>0</v>
      </c>
      <c r="T36" s="169">
        <f t="shared" si="6"/>
        <v>0</v>
      </c>
      <c r="U36" s="169">
        <f t="shared" si="7"/>
        <v>150000</v>
      </c>
      <c r="V36" s="169">
        <f t="shared" si="8"/>
        <v>150000</v>
      </c>
      <c r="W36" s="171"/>
      <c r="X36" s="169"/>
      <c r="Y36" s="169"/>
      <c r="Z36" s="168"/>
      <c r="AA36" s="659">
        <v>742000</v>
      </c>
      <c r="AB36" s="157"/>
      <c r="AC36" s="157"/>
      <c r="AD36" s="157"/>
      <c r="AE36" s="157"/>
      <c r="AME36" s="158"/>
    </row>
    <row r="37" spans="1:1019" s="172" customFormat="1">
      <c r="A37" s="168">
        <f t="shared" si="0"/>
        <v>32</v>
      </c>
      <c r="B37" s="175">
        <v>1602</v>
      </c>
      <c r="C37" s="168" t="s">
        <v>1067</v>
      </c>
      <c r="D37" s="169">
        <v>34500000</v>
      </c>
      <c r="E37" s="169">
        <v>34500000</v>
      </c>
      <c r="F37" s="169">
        <f t="shared" si="1"/>
        <v>0</v>
      </c>
      <c r="G37" s="169">
        <v>34500000</v>
      </c>
      <c r="H37" s="169">
        <v>1793295.18</v>
      </c>
      <c r="I37" s="169">
        <v>29430679.43</v>
      </c>
      <c r="J37" s="169">
        <v>738138.81</v>
      </c>
      <c r="K37" s="169">
        <f t="shared" si="12"/>
        <v>30168818.239999998</v>
      </c>
      <c r="L37" s="169">
        <f t="shared" si="3"/>
        <v>31962113.419999998</v>
      </c>
      <c r="M37" s="169">
        <f t="shared" si="14"/>
        <v>2537886.5800000019</v>
      </c>
      <c r="N37" s="187"/>
      <c r="O37" s="169">
        <f t="shared" si="10"/>
        <v>0</v>
      </c>
      <c r="P37" s="169">
        <f t="shared" si="4"/>
        <v>2537886.5800000019</v>
      </c>
      <c r="Q37" s="169"/>
      <c r="R37" s="169"/>
      <c r="S37" s="169">
        <f t="shared" si="13"/>
        <v>0</v>
      </c>
      <c r="T37" s="169">
        <f t="shared" si="6"/>
        <v>0</v>
      </c>
      <c r="U37" s="169">
        <f t="shared" si="7"/>
        <v>0</v>
      </c>
      <c r="V37" s="169">
        <f t="shared" si="8"/>
        <v>-488827</v>
      </c>
      <c r="W37" s="171"/>
      <c r="X37" s="169"/>
      <c r="Y37" s="169"/>
      <c r="Z37" s="169">
        <v>488827</v>
      </c>
      <c r="AA37" s="659">
        <v>742000</v>
      </c>
      <c r="AB37" s="157"/>
      <c r="AC37" s="157"/>
      <c r="AD37" s="157"/>
      <c r="AE37" s="157"/>
      <c r="AME37" s="158"/>
    </row>
    <row r="38" spans="1:1019" s="15" customFormat="1">
      <c r="A38" s="168">
        <f t="shared" si="0"/>
        <v>33</v>
      </c>
      <c r="B38" s="13">
        <v>1606</v>
      </c>
      <c r="C38" s="13" t="s">
        <v>909</v>
      </c>
      <c r="D38" s="14">
        <v>1229574</v>
      </c>
      <c r="E38" s="14">
        <v>1229574</v>
      </c>
      <c r="F38" s="14">
        <f t="shared" si="1"/>
        <v>0</v>
      </c>
      <c r="G38" s="14">
        <v>1229574</v>
      </c>
      <c r="H38" s="14">
        <v>1228338</v>
      </c>
      <c r="I38" s="14"/>
      <c r="J38" s="14"/>
      <c r="K38" s="14">
        <f>SUM(I38:J38)</f>
        <v>0</v>
      </c>
      <c r="L38" s="14">
        <f t="shared" si="3"/>
        <v>1228338</v>
      </c>
      <c r="M38" s="14">
        <f t="shared" si="14"/>
        <v>1236</v>
      </c>
      <c r="N38" s="14"/>
      <c r="O38" s="14">
        <f t="shared" si="10"/>
        <v>0</v>
      </c>
      <c r="P38" s="14">
        <f t="shared" si="4"/>
        <v>1236</v>
      </c>
      <c r="Q38" s="14"/>
      <c r="R38" s="14"/>
      <c r="S38" s="14">
        <f t="shared" si="13"/>
        <v>0</v>
      </c>
      <c r="T38" s="14">
        <f t="shared" si="6"/>
        <v>0</v>
      </c>
      <c r="U38" s="14">
        <f t="shared" si="7"/>
        <v>0</v>
      </c>
      <c r="V38" s="14">
        <f t="shared" si="8"/>
        <v>0</v>
      </c>
      <c r="W38" s="14"/>
      <c r="X38" s="14"/>
      <c r="Y38" s="14"/>
      <c r="Z38" s="13"/>
      <c r="AA38" s="659">
        <v>829000</v>
      </c>
      <c r="AB38" s="157"/>
      <c r="AC38" s="157"/>
      <c r="AD38" s="157"/>
      <c r="AE38" s="157"/>
    </row>
    <row r="39" spans="1:1019" s="172" customFormat="1">
      <c r="A39" s="168">
        <f t="shared" si="0"/>
        <v>34</v>
      </c>
      <c r="B39" s="175">
        <v>1670</v>
      </c>
      <c r="C39" s="168" t="s">
        <v>218</v>
      </c>
      <c r="D39" s="169">
        <v>12500000</v>
      </c>
      <c r="E39" s="169">
        <v>12500000</v>
      </c>
      <c r="F39" s="169">
        <f t="shared" si="1"/>
        <v>0</v>
      </c>
      <c r="G39" s="169">
        <v>3800000</v>
      </c>
      <c r="H39" s="169">
        <v>143086</v>
      </c>
      <c r="I39" s="169">
        <v>57002.400000000001</v>
      </c>
      <c r="J39" s="169">
        <v>24018</v>
      </c>
      <c r="K39" s="169">
        <f t="shared" si="12"/>
        <v>81020.399999999994</v>
      </c>
      <c r="L39" s="169">
        <f t="shared" si="3"/>
        <v>224106.4</v>
      </c>
      <c r="M39" s="169">
        <f t="shared" si="14"/>
        <v>3575893.6</v>
      </c>
      <c r="N39" s="187">
        <f>4900000-4900000</f>
        <v>0</v>
      </c>
      <c r="O39" s="169">
        <f t="shared" si="10"/>
        <v>8700000</v>
      </c>
      <c r="P39" s="169">
        <f t="shared" si="4"/>
        <v>3575893.6</v>
      </c>
      <c r="Q39" s="169"/>
      <c r="R39" s="169"/>
      <c r="S39" s="169">
        <f t="shared" si="13"/>
        <v>0</v>
      </c>
      <c r="T39" s="169">
        <f t="shared" si="6"/>
        <v>0</v>
      </c>
      <c r="U39" s="169">
        <f t="shared" si="7"/>
        <v>0</v>
      </c>
      <c r="V39" s="169">
        <f t="shared" si="8"/>
        <v>0</v>
      </c>
      <c r="W39" s="171"/>
      <c r="X39" s="169"/>
      <c r="Y39" s="169"/>
      <c r="Z39" s="168"/>
      <c r="AA39" s="659">
        <v>742000</v>
      </c>
      <c r="AB39" s="157"/>
      <c r="AC39" s="157"/>
      <c r="AD39" s="157"/>
      <c r="AE39" s="157"/>
      <c r="AME39" s="158"/>
    </row>
    <row r="40" spans="1:1019">
      <c r="A40" s="168">
        <f t="shared" si="0"/>
        <v>35</v>
      </c>
      <c r="B40" s="175">
        <v>1719</v>
      </c>
      <c r="C40" s="168" t="s">
        <v>75</v>
      </c>
      <c r="D40" s="169">
        <f>1000000-515000</f>
        <v>485000</v>
      </c>
      <c r="E40" s="169">
        <v>1000000</v>
      </c>
      <c r="F40" s="169">
        <f t="shared" si="1"/>
        <v>-515000</v>
      </c>
      <c r="G40" s="169">
        <v>1000000</v>
      </c>
      <c r="H40" s="169">
        <v>482652.87</v>
      </c>
      <c r="I40" s="169"/>
      <c r="J40" s="169">
        <v>1899.06</v>
      </c>
      <c r="K40" s="169">
        <f t="shared" si="12"/>
        <v>1899.06</v>
      </c>
      <c r="L40" s="169">
        <f t="shared" si="3"/>
        <v>484551.93</v>
      </c>
      <c r="M40" s="169">
        <f>P40+S40-515000</f>
        <v>448.07000000000698</v>
      </c>
      <c r="N40" s="187"/>
      <c r="O40" s="169">
        <f t="shared" si="10"/>
        <v>0</v>
      </c>
      <c r="P40" s="169">
        <f t="shared" si="4"/>
        <v>515448.07</v>
      </c>
      <c r="Q40" s="169"/>
      <c r="R40" s="169"/>
      <c r="S40" s="169">
        <f t="shared" si="13"/>
        <v>0</v>
      </c>
      <c r="T40" s="169">
        <f t="shared" si="6"/>
        <v>515000</v>
      </c>
      <c r="U40" s="169">
        <f t="shared" si="7"/>
        <v>-515000</v>
      </c>
      <c r="V40" s="169">
        <f t="shared" si="8"/>
        <v>-515000</v>
      </c>
      <c r="W40" s="171"/>
      <c r="X40" s="169"/>
      <c r="Y40" s="169"/>
      <c r="Z40" s="168"/>
      <c r="AA40" s="659">
        <v>742000</v>
      </c>
      <c r="AB40" s="157"/>
      <c r="AF40" s="172"/>
    </row>
    <row r="41" spans="1:1019">
      <c r="A41" s="168">
        <f t="shared" si="0"/>
        <v>36</v>
      </c>
      <c r="B41" s="175">
        <v>1722</v>
      </c>
      <c r="C41" s="168" t="s">
        <v>55</v>
      </c>
      <c r="D41" s="169">
        <v>2400000</v>
      </c>
      <c r="E41" s="169">
        <v>2400000</v>
      </c>
      <c r="F41" s="169">
        <f t="shared" si="1"/>
        <v>0</v>
      </c>
      <c r="G41" s="169">
        <v>400000</v>
      </c>
      <c r="H41" s="169">
        <v>98067.4</v>
      </c>
      <c r="I41" s="169">
        <v>67052.7</v>
      </c>
      <c r="J41" s="169">
        <v>47158.73</v>
      </c>
      <c r="K41" s="169">
        <f t="shared" si="12"/>
        <v>114211.43</v>
      </c>
      <c r="L41" s="169">
        <f t="shared" si="3"/>
        <v>212278.83</v>
      </c>
      <c r="M41" s="169">
        <f>P41+S41-180000</f>
        <v>7721.1700000000128</v>
      </c>
      <c r="N41" s="187">
        <f>500000-500000+180000</f>
        <v>180000</v>
      </c>
      <c r="O41" s="169">
        <f t="shared" si="10"/>
        <v>2000000</v>
      </c>
      <c r="P41" s="169">
        <f t="shared" si="4"/>
        <v>187721.17</v>
      </c>
      <c r="Q41" s="169"/>
      <c r="R41" s="169"/>
      <c r="S41" s="169">
        <f t="shared" si="13"/>
        <v>0</v>
      </c>
      <c r="T41" s="169">
        <f t="shared" si="6"/>
        <v>180000</v>
      </c>
      <c r="U41" s="169">
        <f t="shared" si="7"/>
        <v>0</v>
      </c>
      <c r="V41" s="169">
        <f t="shared" si="8"/>
        <v>0</v>
      </c>
      <c r="W41" s="171"/>
      <c r="X41" s="169"/>
      <c r="Y41" s="169"/>
      <c r="Z41" s="168"/>
      <c r="AA41" s="659">
        <v>742000</v>
      </c>
      <c r="AB41" s="157"/>
      <c r="AF41" s="172"/>
    </row>
    <row r="42" spans="1:1019">
      <c r="A42" s="168">
        <f t="shared" si="0"/>
        <v>37</v>
      </c>
      <c r="B42" s="175">
        <v>1725</v>
      </c>
      <c r="C42" s="168" t="s">
        <v>56</v>
      </c>
      <c r="D42" s="169">
        <f>13700000-180000</f>
        <v>13520000</v>
      </c>
      <c r="E42" s="169">
        <v>13700000</v>
      </c>
      <c r="F42" s="169">
        <f t="shared" si="1"/>
        <v>-180000</v>
      </c>
      <c r="G42" s="169">
        <v>13700000</v>
      </c>
      <c r="H42" s="169">
        <v>13343609.32</v>
      </c>
      <c r="I42" s="169">
        <v>48702.71</v>
      </c>
      <c r="J42" s="169">
        <v>122599.34</v>
      </c>
      <c r="K42" s="169">
        <f t="shared" si="12"/>
        <v>171302.05</v>
      </c>
      <c r="L42" s="169">
        <f t="shared" si="3"/>
        <v>13514911.370000001</v>
      </c>
      <c r="M42" s="169">
        <f>P42+S42-180000</f>
        <v>5088.6299999989569</v>
      </c>
      <c r="N42" s="187"/>
      <c r="O42" s="169">
        <f t="shared" si="10"/>
        <v>0</v>
      </c>
      <c r="P42" s="169">
        <f t="shared" si="4"/>
        <v>185088.62999999896</v>
      </c>
      <c r="Q42" s="169"/>
      <c r="R42" s="169"/>
      <c r="S42" s="169">
        <f t="shared" si="13"/>
        <v>0</v>
      </c>
      <c r="T42" s="169">
        <f t="shared" si="6"/>
        <v>180000</v>
      </c>
      <c r="U42" s="169">
        <f t="shared" si="7"/>
        <v>-180000</v>
      </c>
      <c r="V42" s="169">
        <f t="shared" si="8"/>
        <v>-180000</v>
      </c>
      <c r="W42" s="171"/>
      <c r="X42" s="169"/>
      <c r="Y42" s="169"/>
      <c r="Z42" s="168"/>
      <c r="AA42" s="659">
        <v>742000</v>
      </c>
      <c r="AB42" s="157"/>
      <c r="AF42" s="172"/>
    </row>
    <row r="43" spans="1:1019">
      <c r="A43" s="168">
        <f t="shared" si="0"/>
        <v>38</v>
      </c>
      <c r="B43" s="175">
        <v>1744</v>
      </c>
      <c r="C43" s="168" t="s">
        <v>58</v>
      </c>
      <c r="D43" s="169">
        <v>13000000</v>
      </c>
      <c r="E43" s="169">
        <v>13000000</v>
      </c>
      <c r="F43" s="169">
        <f t="shared" si="1"/>
        <v>0</v>
      </c>
      <c r="G43" s="169">
        <v>7200000</v>
      </c>
      <c r="H43" s="169"/>
      <c r="I43" s="169"/>
      <c r="J43" s="169">
        <v>6122626.3799999999</v>
      </c>
      <c r="K43" s="169">
        <f t="shared" si="12"/>
        <v>6122626.3799999999</v>
      </c>
      <c r="L43" s="169">
        <f t="shared" si="3"/>
        <v>6122626.3799999999</v>
      </c>
      <c r="M43" s="169">
        <f t="shared" si="14"/>
        <v>1077373.6200000001</v>
      </c>
      <c r="N43" s="187">
        <f>5800000-2800000</f>
        <v>3000000</v>
      </c>
      <c r="O43" s="169">
        <f t="shared" si="10"/>
        <v>2800000</v>
      </c>
      <c r="P43" s="169">
        <f t="shared" si="4"/>
        <v>1077373.6200000001</v>
      </c>
      <c r="Q43" s="169"/>
      <c r="R43" s="169"/>
      <c r="S43" s="169">
        <f t="shared" si="13"/>
        <v>0</v>
      </c>
      <c r="T43" s="169">
        <f t="shared" si="6"/>
        <v>0</v>
      </c>
      <c r="U43" s="169">
        <f t="shared" si="7"/>
        <v>3000000</v>
      </c>
      <c r="V43" s="169">
        <f t="shared" si="8"/>
        <v>3000000</v>
      </c>
      <c r="W43" s="171"/>
      <c r="X43" s="169"/>
      <c r="Y43" s="169"/>
      <c r="Z43" s="168"/>
      <c r="AA43" s="659">
        <v>742000</v>
      </c>
      <c r="AB43" s="157"/>
      <c r="AF43" s="172"/>
    </row>
    <row r="44" spans="1:1019" s="177" customFormat="1">
      <c r="A44" s="168">
        <f t="shared" si="0"/>
        <v>39</v>
      </c>
      <c r="B44" s="175">
        <v>1746</v>
      </c>
      <c r="C44" s="168" t="s">
        <v>40</v>
      </c>
      <c r="D44" s="169">
        <v>55000000</v>
      </c>
      <c r="E44" s="169">
        <v>55000000</v>
      </c>
      <c r="F44" s="169">
        <f t="shared" si="1"/>
        <v>0</v>
      </c>
      <c r="G44" s="169">
        <v>0</v>
      </c>
      <c r="H44" s="169"/>
      <c r="I44" s="169"/>
      <c r="J44" s="169"/>
      <c r="K44" s="169">
        <f t="shared" si="12"/>
        <v>0</v>
      </c>
      <c r="L44" s="169">
        <f t="shared" si="3"/>
        <v>0</v>
      </c>
      <c r="M44" s="169">
        <f t="shared" si="14"/>
        <v>0</v>
      </c>
      <c r="N44" s="187">
        <f>5000000-5000000</f>
        <v>0</v>
      </c>
      <c r="O44" s="169">
        <f t="shared" si="10"/>
        <v>55000000</v>
      </c>
      <c r="P44" s="169">
        <f t="shared" si="4"/>
        <v>0</v>
      </c>
      <c r="Q44" s="169"/>
      <c r="R44" s="169"/>
      <c r="S44" s="169">
        <f t="shared" si="13"/>
        <v>0</v>
      </c>
      <c r="T44" s="169">
        <f t="shared" si="6"/>
        <v>0</v>
      </c>
      <c r="U44" s="169">
        <f t="shared" si="7"/>
        <v>0</v>
      </c>
      <c r="V44" s="169">
        <f t="shared" si="8"/>
        <v>0</v>
      </c>
      <c r="W44" s="171"/>
      <c r="X44" s="169"/>
      <c r="Y44" s="169"/>
      <c r="Z44" s="168"/>
      <c r="AA44" s="659">
        <v>742000</v>
      </c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AME44" s="158"/>
    </row>
    <row r="45" spans="1:1019" s="174" customFormat="1">
      <c r="A45" s="168">
        <f t="shared" si="0"/>
        <v>40</v>
      </c>
      <c r="B45" s="175">
        <v>1748</v>
      </c>
      <c r="C45" s="168" t="s">
        <v>57</v>
      </c>
      <c r="D45" s="169">
        <v>120000</v>
      </c>
      <c r="E45" s="169">
        <v>120000</v>
      </c>
      <c r="F45" s="169">
        <f t="shared" si="1"/>
        <v>0</v>
      </c>
      <c r="G45" s="169">
        <v>120000</v>
      </c>
      <c r="H45" s="169">
        <v>84042.86</v>
      </c>
      <c r="I45" s="169">
        <v>29280.55</v>
      </c>
      <c r="J45" s="169"/>
      <c r="K45" s="169">
        <f t="shared" si="12"/>
        <v>29280.55</v>
      </c>
      <c r="L45" s="169">
        <f t="shared" si="3"/>
        <v>113323.41</v>
      </c>
      <c r="M45" s="169">
        <f t="shared" si="14"/>
        <v>6676.5899999999965</v>
      </c>
      <c r="N45" s="187"/>
      <c r="O45" s="169">
        <f t="shared" si="10"/>
        <v>0</v>
      </c>
      <c r="P45" s="169">
        <f t="shared" si="4"/>
        <v>6676.5899999999965</v>
      </c>
      <c r="Q45" s="169"/>
      <c r="R45" s="169"/>
      <c r="S45" s="169">
        <f t="shared" si="13"/>
        <v>0</v>
      </c>
      <c r="T45" s="169">
        <f t="shared" si="6"/>
        <v>0</v>
      </c>
      <c r="U45" s="169">
        <f t="shared" si="7"/>
        <v>0</v>
      </c>
      <c r="V45" s="169">
        <f t="shared" si="8"/>
        <v>0</v>
      </c>
      <c r="W45" s="171"/>
      <c r="X45" s="169"/>
      <c r="Y45" s="169"/>
      <c r="Z45" s="168"/>
      <c r="AA45" s="659">
        <v>732000</v>
      </c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AME45" s="158"/>
    </row>
    <row r="46" spans="1:1019" s="172" customFormat="1">
      <c r="A46" s="168">
        <f t="shared" si="0"/>
        <v>41</v>
      </c>
      <c r="B46" s="175">
        <v>1804</v>
      </c>
      <c r="C46" s="168" t="s">
        <v>235</v>
      </c>
      <c r="D46" s="169">
        <f>200000-150000</f>
        <v>50000</v>
      </c>
      <c r="E46" s="169">
        <v>200000</v>
      </c>
      <c r="F46" s="169">
        <f t="shared" si="1"/>
        <v>-150000</v>
      </c>
      <c r="G46" s="169">
        <v>200000</v>
      </c>
      <c r="H46" s="169"/>
      <c r="I46" s="169"/>
      <c r="J46" s="169">
        <v>25745.85</v>
      </c>
      <c r="K46" s="169">
        <f t="shared" si="12"/>
        <v>25745.85</v>
      </c>
      <c r="L46" s="169">
        <f t="shared" si="3"/>
        <v>25745.85</v>
      </c>
      <c r="M46" s="169">
        <f>P46+S46-150000</f>
        <v>24254.149999999994</v>
      </c>
      <c r="N46" s="187">
        <f>150000-150000</f>
        <v>0</v>
      </c>
      <c r="O46" s="169">
        <f t="shared" si="10"/>
        <v>7.2759576141834259E-12</v>
      </c>
      <c r="P46" s="169">
        <f t="shared" si="4"/>
        <v>174254.15</v>
      </c>
      <c r="Q46" s="169"/>
      <c r="R46" s="169"/>
      <c r="S46" s="169">
        <f t="shared" si="13"/>
        <v>0</v>
      </c>
      <c r="T46" s="169">
        <f t="shared" si="6"/>
        <v>150000</v>
      </c>
      <c r="U46" s="169">
        <f t="shared" si="7"/>
        <v>-150000</v>
      </c>
      <c r="V46" s="169">
        <f t="shared" si="8"/>
        <v>-150000</v>
      </c>
      <c r="W46" s="171"/>
      <c r="X46" s="169"/>
      <c r="Y46" s="169"/>
      <c r="Z46" s="168"/>
      <c r="AA46" s="659">
        <v>742000</v>
      </c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AME46" s="158"/>
    </row>
    <row r="47" spans="1:1019" s="174" customFormat="1">
      <c r="A47" s="168">
        <f t="shared" si="0"/>
        <v>42</v>
      </c>
      <c r="B47" s="175">
        <v>1805</v>
      </c>
      <c r="C47" s="168" t="s">
        <v>236</v>
      </c>
      <c r="D47" s="169">
        <v>1000000</v>
      </c>
      <c r="E47" s="169">
        <v>1000000</v>
      </c>
      <c r="F47" s="169">
        <f t="shared" si="1"/>
        <v>0</v>
      </c>
      <c r="G47" s="169">
        <v>1000000</v>
      </c>
      <c r="H47" s="169">
        <v>2677</v>
      </c>
      <c r="I47" s="169"/>
      <c r="J47" s="169"/>
      <c r="K47" s="169">
        <f t="shared" si="12"/>
        <v>0</v>
      </c>
      <c r="L47" s="169">
        <f t="shared" si="3"/>
        <v>2677</v>
      </c>
      <c r="M47" s="169">
        <f>P47+S47-990000</f>
        <v>7323</v>
      </c>
      <c r="N47" s="187">
        <f>990000-890000</f>
        <v>100000</v>
      </c>
      <c r="O47" s="169">
        <f t="shared" si="10"/>
        <v>890000</v>
      </c>
      <c r="P47" s="169">
        <f t="shared" si="4"/>
        <v>997323</v>
      </c>
      <c r="Q47" s="169"/>
      <c r="R47" s="169"/>
      <c r="S47" s="169">
        <f t="shared" si="13"/>
        <v>0</v>
      </c>
      <c r="T47" s="169">
        <f t="shared" si="6"/>
        <v>990000</v>
      </c>
      <c r="U47" s="169">
        <f t="shared" si="7"/>
        <v>-890000</v>
      </c>
      <c r="V47" s="169">
        <f t="shared" si="8"/>
        <v>-890000</v>
      </c>
      <c r="W47" s="171"/>
      <c r="X47" s="169"/>
      <c r="Y47" s="169"/>
      <c r="Z47" s="168"/>
      <c r="AA47" s="659">
        <v>742000</v>
      </c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AME47" s="158"/>
    </row>
    <row r="48" spans="1:1019" s="172" customFormat="1">
      <c r="A48" s="168">
        <f t="shared" si="0"/>
        <v>43</v>
      </c>
      <c r="B48" s="175">
        <v>1826</v>
      </c>
      <c r="C48" s="168" t="s">
        <v>247</v>
      </c>
      <c r="D48" s="169">
        <v>1500000</v>
      </c>
      <c r="E48" s="169">
        <v>1500000</v>
      </c>
      <c r="F48" s="169">
        <f t="shared" si="1"/>
        <v>0</v>
      </c>
      <c r="G48" s="169">
        <v>200000</v>
      </c>
      <c r="H48" s="169"/>
      <c r="I48" s="169"/>
      <c r="J48" s="169">
        <v>11756.75</v>
      </c>
      <c r="K48" s="169">
        <f t="shared" si="12"/>
        <v>11756.75</v>
      </c>
      <c r="L48" s="169">
        <f t="shared" si="3"/>
        <v>11756.75</v>
      </c>
      <c r="M48" s="169">
        <f>P48+S48</f>
        <v>188243.25</v>
      </c>
      <c r="N48" s="187">
        <v>1300000</v>
      </c>
      <c r="O48" s="169">
        <f t="shared" si="10"/>
        <v>0</v>
      </c>
      <c r="P48" s="169">
        <f t="shared" si="4"/>
        <v>188243.25</v>
      </c>
      <c r="Q48" s="169"/>
      <c r="R48" s="169"/>
      <c r="S48" s="169">
        <f t="shared" si="13"/>
        <v>0</v>
      </c>
      <c r="T48" s="169">
        <f t="shared" si="6"/>
        <v>0</v>
      </c>
      <c r="U48" s="169">
        <f t="shared" si="7"/>
        <v>1300000</v>
      </c>
      <c r="V48" s="169">
        <f t="shared" si="8"/>
        <v>1300000</v>
      </c>
      <c r="W48" s="171"/>
      <c r="X48" s="169"/>
      <c r="Y48" s="169"/>
      <c r="Z48" s="168"/>
      <c r="AA48" s="659">
        <v>742000</v>
      </c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AME48" s="158"/>
    </row>
    <row r="49" spans="1:1019" s="176" customFormat="1">
      <c r="A49" s="168">
        <f t="shared" si="0"/>
        <v>44</v>
      </c>
      <c r="B49" s="175">
        <v>1872</v>
      </c>
      <c r="C49" s="168" t="s">
        <v>262</v>
      </c>
      <c r="D49" s="169">
        <v>1160000</v>
      </c>
      <c r="E49" s="169">
        <v>1160000</v>
      </c>
      <c r="F49" s="169">
        <f t="shared" si="1"/>
        <v>0</v>
      </c>
      <c r="G49" s="169">
        <v>1160000</v>
      </c>
      <c r="H49" s="169">
        <v>0</v>
      </c>
      <c r="I49" s="169"/>
      <c r="J49" s="169">
        <v>464921.15</v>
      </c>
      <c r="K49" s="169">
        <f t="shared" si="12"/>
        <v>464921.15</v>
      </c>
      <c r="L49" s="169">
        <f t="shared" si="3"/>
        <v>464921.15</v>
      </c>
      <c r="M49" s="169">
        <f>P49+S49-1000000+470000</f>
        <v>165078.84999999998</v>
      </c>
      <c r="N49" s="187">
        <f>1000000-470000</f>
        <v>530000</v>
      </c>
      <c r="O49" s="169">
        <f t="shared" si="10"/>
        <v>0</v>
      </c>
      <c r="P49" s="169">
        <f t="shared" si="4"/>
        <v>695078.85</v>
      </c>
      <c r="Q49" s="169"/>
      <c r="R49" s="169"/>
      <c r="S49" s="169">
        <f t="shared" si="13"/>
        <v>0</v>
      </c>
      <c r="T49" s="169">
        <f t="shared" si="6"/>
        <v>530000</v>
      </c>
      <c r="U49" s="169">
        <f t="shared" si="7"/>
        <v>0</v>
      </c>
      <c r="V49" s="169">
        <f t="shared" si="8"/>
        <v>0</v>
      </c>
      <c r="W49" s="171"/>
      <c r="X49" s="169"/>
      <c r="Y49" s="169"/>
      <c r="Z49" s="168"/>
      <c r="AA49" s="659">
        <v>742000</v>
      </c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AME49" s="158"/>
    </row>
    <row r="50" spans="1:1019">
      <c r="A50" s="168">
        <f t="shared" si="0"/>
        <v>45</v>
      </c>
      <c r="B50" s="175">
        <v>1882</v>
      </c>
      <c r="C50" s="168" t="s">
        <v>923</v>
      </c>
      <c r="D50" s="169">
        <v>14300000</v>
      </c>
      <c r="E50" s="169">
        <v>14300000</v>
      </c>
      <c r="F50" s="169">
        <f t="shared" si="1"/>
        <v>0</v>
      </c>
      <c r="G50" s="169">
        <v>200000</v>
      </c>
      <c r="H50" s="169"/>
      <c r="I50" s="169"/>
      <c r="J50" s="169"/>
      <c r="K50" s="169">
        <f t="shared" si="12"/>
        <v>0</v>
      </c>
      <c r="L50" s="169">
        <f t="shared" si="3"/>
        <v>0</v>
      </c>
      <c r="M50" s="169">
        <f>P50+S50</f>
        <v>200000</v>
      </c>
      <c r="N50" s="187">
        <f>1000000-500000+250000</f>
        <v>750000</v>
      </c>
      <c r="O50" s="169">
        <f t="shared" si="10"/>
        <v>13350000</v>
      </c>
      <c r="P50" s="169">
        <f t="shared" si="4"/>
        <v>200000</v>
      </c>
      <c r="Q50" s="169"/>
      <c r="R50" s="169"/>
      <c r="S50" s="169">
        <f t="shared" si="13"/>
        <v>0</v>
      </c>
      <c r="T50" s="169">
        <f t="shared" si="6"/>
        <v>0</v>
      </c>
      <c r="U50" s="169">
        <f t="shared" si="7"/>
        <v>750000</v>
      </c>
      <c r="V50" s="169">
        <f t="shared" si="8"/>
        <v>750000</v>
      </c>
      <c r="W50" s="171"/>
      <c r="X50" s="169"/>
      <c r="Y50" s="169"/>
      <c r="Z50" s="168"/>
      <c r="AA50" s="659">
        <v>742000</v>
      </c>
      <c r="AB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</row>
    <row r="51" spans="1:1019" s="172" customFormat="1">
      <c r="A51" s="168">
        <f t="shared" si="0"/>
        <v>46</v>
      </c>
      <c r="B51" s="175">
        <v>1943</v>
      </c>
      <c r="C51" s="168" t="s">
        <v>405</v>
      </c>
      <c r="D51" s="169">
        <f>5000000+1000000</f>
        <v>6000000</v>
      </c>
      <c r="E51" s="169">
        <v>5000000</v>
      </c>
      <c r="F51" s="169">
        <f t="shared" si="1"/>
        <v>1000000</v>
      </c>
      <c r="G51" s="169">
        <f>2500000+2500000</f>
        <v>5000000</v>
      </c>
      <c r="H51" s="169">
        <v>232617.1</v>
      </c>
      <c r="I51" s="169">
        <v>904842.99</v>
      </c>
      <c r="J51" s="169">
        <v>2904609.27</v>
      </c>
      <c r="K51" s="169">
        <f t="shared" si="12"/>
        <v>3809452.26</v>
      </c>
      <c r="L51" s="169">
        <f t="shared" si="3"/>
        <v>4042069.36</v>
      </c>
      <c r="M51" s="169">
        <f>P51+S51</f>
        <v>957930.64000000013</v>
      </c>
      <c r="N51" s="187">
        <f>1000000-500000</f>
        <v>500000</v>
      </c>
      <c r="O51" s="169">
        <f t="shared" si="10"/>
        <v>500000</v>
      </c>
      <c r="P51" s="169">
        <f t="shared" si="4"/>
        <v>957930.64000000013</v>
      </c>
      <c r="Q51" s="169"/>
      <c r="R51" s="169"/>
      <c r="S51" s="169">
        <f t="shared" si="13"/>
        <v>0</v>
      </c>
      <c r="T51" s="169">
        <f t="shared" si="6"/>
        <v>0</v>
      </c>
      <c r="U51" s="169">
        <f t="shared" si="7"/>
        <v>500000</v>
      </c>
      <c r="V51" s="169">
        <f t="shared" si="8"/>
        <v>500000</v>
      </c>
      <c r="W51" s="171"/>
      <c r="X51" s="169"/>
      <c r="Y51" s="169"/>
      <c r="Z51" s="168"/>
      <c r="AA51" s="659">
        <v>744000</v>
      </c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AME51" s="158"/>
    </row>
    <row r="52" spans="1:1019">
      <c r="A52" s="168">
        <f t="shared" si="0"/>
        <v>47</v>
      </c>
      <c r="B52" s="184">
        <v>2007</v>
      </c>
      <c r="C52" s="168" t="s">
        <v>916</v>
      </c>
      <c r="D52" s="169">
        <v>3000000</v>
      </c>
      <c r="E52" s="169"/>
      <c r="F52" s="169">
        <f t="shared" si="1"/>
        <v>3000000</v>
      </c>
      <c r="G52" s="169"/>
      <c r="H52" s="169"/>
      <c r="I52" s="169"/>
      <c r="J52" s="169"/>
      <c r="K52" s="169"/>
      <c r="L52" s="169"/>
      <c r="M52" s="169"/>
      <c r="N52" s="187">
        <f>1500000-1000000</f>
        <v>500000</v>
      </c>
      <c r="O52" s="169">
        <f t="shared" si="10"/>
        <v>2500000</v>
      </c>
      <c r="P52" s="169"/>
      <c r="Q52" s="169"/>
      <c r="R52" s="169"/>
      <c r="S52" s="169"/>
      <c r="T52" s="169"/>
      <c r="U52" s="169">
        <f t="shared" si="7"/>
        <v>500000</v>
      </c>
      <c r="V52" s="169">
        <f t="shared" si="8"/>
        <v>500000</v>
      </c>
      <c r="W52" s="171"/>
      <c r="X52" s="169"/>
      <c r="Y52" s="169"/>
      <c r="Z52" s="168"/>
      <c r="AA52" s="659">
        <v>742000</v>
      </c>
      <c r="AB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</row>
    <row r="53" spans="1:1019">
      <c r="A53" s="168">
        <f t="shared" si="0"/>
        <v>48</v>
      </c>
      <c r="B53" s="184">
        <v>2008</v>
      </c>
      <c r="C53" s="168" t="s">
        <v>917</v>
      </c>
      <c r="D53" s="169">
        <v>2500000</v>
      </c>
      <c r="E53" s="169"/>
      <c r="F53" s="169">
        <f t="shared" si="1"/>
        <v>2500000</v>
      </c>
      <c r="G53" s="169"/>
      <c r="H53" s="169"/>
      <c r="I53" s="169"/>
      <c r="J53" s="169"/>
      <c r="K53" s="169"/>
      <c r="L53" s="169"/>
      <c r="M53" s="169"/>
      <c r="N53" s="187">
        <v>2500000</v>
      </c>
      <c r="O53" s="169">
        <f t="shared" si="10"/>
        <v>0</v>
      </c>
      <c r="P53" s="169"/>
      <c r="Q53" s="169"/>
      <c r="R53" s="169"/>
      <c r="S53" s="169"/>
      <c r="T53" s="169"/>
      <c r="U53" s="169">
        <f t="shared" si="7"/>
        <v>2500000</v>
      </c>
      <c r="V53" s="169">
        <f t="shared" si="8"/>
        <v>2500000</v>
      </c>
      <c r="W53" s="171"/>
      <c r="X53" s="169"/>
      <c r="Y53" s="169"/>
      <c r="Z53" s="168"/>
      <c r="AA53" s="659">
        <v>742000</v>
      </c>
      <c r="AB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</row>
    <row r="54" spans="1:1019">
      <c r="A54" s="168">
        <f t="shared" si="0"/>
        <v>49</v>
      </c>
      <c r="B54" s="184">
        <v>2009</v>
      </c>
      <c r="C54" s="168" t="s">
        <v>918</v>
      </c>
      <c r="D54" s="169">
        <v>9000000</v>
      </c>
      <c r="E54" s="169"/>
      <c r="F54" s="169">
        <f t="shared" si="1"/>
        <v>9000000</v>
      </c>
      <c r="G54" s="169"/>
      <c r="H54" s="169"/>
      <c r="I54" s="169"/>
      <c r="J54" s="169"/>
      <c r="K54" s="169"/>
      <c r="L54" s="169"/>
      <c r="M54" s="169"/>
      <c r="N54" s="187">
        <f>1000000-250000-500000</f>
        <v>250000</v>
      </c>
      <c r="O54" s="169">
        <f t="shared" si="10"/>
        <v>8750000</v>
      </c>
      <c r="P54" s="169"/>
      <c r="Q54" s="169"/>
      <c r="R54" s="169"/>
      <c r="S54" s="169"/>
      <c r="T54" s="169"/>
      <c r="U54" s="169">
        <f t="shared" si="7"/>
        <v>250000</v>
      </c>
      <c r="V54" s="169">
        <f t="shared" si="8"/>
        <v>250000</v>
      </c>
      <c r="W54" s="171"/>
      <c r="X54" s="169"/>
      <c r="Y54" s="169"/>
      <c r="Z54" s="168"/>
      <c r="AA54" s="659">
        <v>742000</v>
      </c>
      <c r="AB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</row>
    <row r="55" spans="1:1019">
      <c r="A55" s="168">
        <f t="shared" si="0"/>
        <v>50</v>
      </c>
      <c r="B55" s="184">
        <v>2010</v>
      </c>
      <c r="C55" s="168" t="s">
        <v>919</v>
      </c>
      <c r="D55" s="169">
        <v>8000000</v>
      </c>
      <c r="E55" s="169"/>
      <c r="F55" s="169">
        <f t="shared" si="1"/>
        <v>8000000</v>
      </c>
      <c r="G55" s="169"/>
      <c r="H55" s="169"/>
      <c r="I55" s="169"/>
      <c r="J55" s="169"/>
      <c r="K55" s="169"/>
      <c r="L55" s="169"/>
      <c r="M55" s="169"/>
      <c r="N55" s="187">
        <f>1000000-250000</f>
        <v>750000</v>
      </c>
      <c r="O55" s="169">
        <f t="shared" si="10"/>
        <v>7250000</v>
      </c>
      <c r="P55" s="169"/>
      <c r="Q55" s="169"/>
      <c r="R55" s="169"/>
      <c r="S55" s="169"/>
      <c r="T55" s="169"/>
      <c r="U55" s="169">
        <f t="shared" si="7"/>
        <v>750000</v>
      </c>
      <c r="V55" s="169">
        <f t="shared" si="8"/>
        <v>750000</v>
      </c>
      <c r="W55" s="171"/>
      <c r="X55" s="169"/>
      <c r="Y55" s="169"/>
      <c r="Z55" s="168"/>
      <c r="AA55" s="659">
        <v>742000</v>
      </c>
      <c r="AB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</row>
    <row r="56" spans="1:1019">
      <c r="A56" s="168">
        <f t="shared" si="0"/>
        <v>51</v>
      </c>
      <c r="B56" s="184">
        <v>2011</v>
      </c>
      <c r="C56" s="168" t="s">
        <v>920</v>
      </c>
      <c r="D56" s="169">
        <v>80000000</v>
      </c>
      <c r="E56" s="169"/>
      <c r="F56" s="169">
        <f t="shared" si="1"/>
        <v>80000000</v>
      </c>
      <c r="G56" s="169"/>
      <c r="H56" s="169"/>
      <c r="I56" s="169"/>
      <c r="J56" s="169"/>
      <c r="K56" s="169"/>
      <c r="L56" s="169"/>
      <c r="M56" s="169"/>
      <c r="N56" s="187">
        <f>2000000-1000000+1000000</f>
        <v>2000000</v>
      </c>
      <c r="O56" s="169">
        <f t="shared" si="10"/>
        <v>78000000</v>
      </c>
      <c r="P56" s="169"/>
      <c r="Q56" s="169"/>
      <c r="R56" s="169"/>
      <c r="S56" s="169"/>
      <c r="T56" s="169"/>
      <c r="U56" s="169">
        <f t="shared" si="7"/>
        <v>2000000</v>
      </c>
      <c r="V56" s="169">
        <f t="shared" si="8"/>
        <v>2000000</v>
      </c>
      <c r="W56" s="171"/>
      <c r="X56" s="169"/>
      <c r="Y56" s="169"/>
      <c r="Z56" s="168"/>
      <c r="AA56" s="659">
        <v>742000</v>
      </c>
      <c r="AB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</row>
    <row r="57" spans="1:1019">
      <c r="A57" s="168">
        <f t="shared" si="0"/>
        <v>52</v>
      </c>
      <c r="B57" s="184">
        <v>2012</v>
      </c>
      <c r="C57" s="168" t="s">
        <v>921</v>
      </c>
      <c r="D57" s="169">
        <v>5000000</v>
      </c>
      <c r="E57" s="169"/>
      <c r="F57" s="169">
        <f t="shared" si="1"/>
        <v>5000000</v>
      </c>
      <c r="G57" s="169"/>
      <c r="H57" s="169"/>
      <c r="I57" s="169"/>
      <c r="J57" s="169"/>
      <c r="K57" s="169"/>
      <c r="L57" s="169"/>
      <c r="M57" s="169"/>
      <c r="N57" s="187">
        <f>1000000-500000</f>
        <v>500000</v>
      </c>
      <c r="O57" s="169">
        <f t="shared" si="10"/>
        <v>4500000</v>
      </c>
      <c r="P57" s="169"/>
      <c r="Q57" s="169"/>
      <c r="R57" s="169"/>
      <c r="S57" s="169"/>
      <c r="T57" s="169"/>
      <c r="U57" s="169">
        <f t="shared" si="7"/>
        <v>500000</v>
      </c>
      <c r="V57" s="169">
        <f t="shared" si="8"/>
        <v>500000</v>
      </c>
      <c r="W57" s="171"/>
      <c r="X57" s="169"/>
      <c r="Y57" s="169"/>
      <c r="Z57" s="168"/>
      <c r="AA57" s="659">
        <v>742000</v>
      </c>
      <c r="AB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</row>
    <row r="58" spans="1:1019" s="174" customFormat="1">
      <c r="A58" s="173">
        <f>A57</f>
        <v>52</v>
      </c>
      <c r="B58" s="183"/>
      <c r="C58" s="173" t="s">
        <v>208</v>
      </c>
      <c r="D58" s="179">
        <f t="shared" ref="D58:Z58" si="15">SUM(D6:D57)</f>
        <v>678388875</v>
      </c>
      <c r="E58" s="179">
        <f t="shared" si="15"/>
        <v>548562769</v>
      </c>
      <c r="F58" s="179">
        <f t="shared" si="15"/>
        <v>129826106</v>
      </c>
      <c r="G58" s="179">
        <f t="shared" si="15"/>
        <v>322106790</v>
      </c>
      <c r="H58" s="179">
        <f t="shared" si="15"/>
        <v>245047248.78000006</v>
      </c>
      <c r="I58" s="179">
        <f t="shared" si="15"/>
        <v>33173681.989999998</v>
      </c>
      <c r="J58" s="179">
        <f t="shared" si="15"/>
        <v>14153218.749999998</v>
      </c>
      <c r="K58" s="179">
        <f t="shared" si="15"/>
        <v>47326900.739999995</v>
      </c>
      <c r="L58" s="179">
        <f t="shared" si="15"/>
        <v>292374149.5200001</v>
      </c>
      <c r="M58" s="179">
        <f t="shared" si="15"/>
        <v>17588640.479999997</v>
      </c>
      <c r="N58" s="628">
        <f t="shared" si="15"/>
        <v>25100000</v>
      </c>
      <c r="O58" s="179">
        <f t="shared" si="15"/>
        <v>343326085</v>
      </c>
      <c r="P58" s="179">
        <f t="shared" si="15"/>
        <v>29732640.480000004</v>
      </c>
      <c r="Q58" s="179">
        <f t="shared" si="15"/>
        <v>0</v>
      </c>
      <c r="R58" s="179">
        <f t="shared" si="15"/>
        <v>0</v>
      </c>
      <c r="S58" s="179">
        <f t="shared" si="15"/>
        <v>0</v>
      </c>
      <c r="T58" s="179">
        <f t="shared" si="15"/>
        <v>12144000</v>
      </c>
      <c r="U58" s="179">
        <f t="shared" si="15"/>
        <v>12956000</v>
      </c>
      <c r="V58" s="179">
        <f t="shared" si="15"/>
        <v>12467173</v>
      </c>
      <c r="W58" s="166">
        <f t="shared" si="15"/>
        <v>0</v>
      </c>
      <c r="X58" s="179">
        <f t="shared" si="15"/>
        <v>0</v>
      </c>
      <c r="Y58" s="179">
        <f t="shared" si="15"/>
        <v>0</v>
      </c>
      <c r="Z58" s="179">
        <f t="shared" si="15"/>
        <v>488827</v>
      </c>
      <c r="AA58" s="180"/>
      <c r="AB58" s="157">
        <f>SUM(AB6:AB57)</f>
        <v>0</v>
      </c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AME58" s="158"/>
    </row>
    <row r="59" spans="1:1019">
      <c r="A59" s="173"/>
      <c r="B59" s="183"/>
      <c r="C59" s="173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628"/>
      <c r="O59" s="179"/>
      <c r="P59" s="179"/>
      <c r="Q59" s="179"/>
      <c r="R59" s="179"/>
      <c r="S59" s="179"/>
      <c r="T59" s="179"/>
      <c r="U59" s="179"/>
      <c r="V59" s="179"/>
      <c r="W59" s="166"/>
      <c r="X59" s="179"/>
      <c r="Y59" s="179"/>
      <c r="Z59" s="179"/>
      <c r="AA59" s="660"/>
      <c r="AB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</row>
    <row r="60" spans="1:1019">
      <c r="A60" s="168"/>
      <c r="B60" s="175"/>
      <c r="C60" s="173" t="s">
        <v>341</v>
      </c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87"/>
      <c r="O60" s="169"/>
      <c r="P60" s="169"/>
      <c r="Q60" s="169"/>
      <c r="R60" s="169"/>
      <c r="S60" s="169"/>
      <c r="T60" s="169"/>
      <c r="U60" s="169"/>
      <c r="V60" s="169"/>
      <c r="W60" s="171"/>
      <c r="X60" s="169"/>
      <c r="Y60" s="169"/>
      <c r="Z60" s="168"/>
      <c r="AA60" s="659"/>
      <c r="AB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</row>
    <row r="61" spans="1:1019">
      <c r="A61" s="168">
        <f>A58+1</f>
        <v>53</v>
      </c>
      <c r="B61" s="175">
        <v>1100</v>
      </c>
      <c r="C61" s="168" t="s">
        <v>17</v>
      </c>
      <c r="D61" s="169">
        <v>7000000</v>
      </c>
      <c r="E61" s="169">
        <v>7000000</v>
      </c>
      <c r="F61" s="169">
        <f t="shared" ref="F61:F80" si="16">D61-E61</f>
        <v>0</v>
      </c>
      <c r="G61" s="169">
        <v>5100000</v>
      </c>
      <c r="H61" s="169">
        <v>2694319.1</v>
      </c>
      <c r="I61" s="169">
        <v>1717532.41</v>
      </c>
      <c r="J61" s="169">
        <v>78334.31</v>
      </c>
      <c r="K61" s="169">
        <f t="shared" ref="K61:K80" si="17">SUM(I61:J61)</f>
        <v>1795866.72</v>
      </c>
      <c r="L61" s="169">
        <f t="shared" ref="L61:L80" si="18">H61+K61</f>
        <v>4490185.82</v>
      </c>
      <c r="M61" s="169">
        <f t="shared" ref="M61:M68" si="19">P61+S61</f>
        <v>609814.1799999997</v>
      </c>
      <c r="N61" s="187">
        <f>1000000-500000</f>
        <v>500000</v>
      </c>
      <c r="O61" s="169">
        <f t="shared" ref="O61:O80" si="20">D61-L61-M61-N61</f>
        <v>1400000</v>
      </c>
      <c r="P61" s="169">
        <f t="shared" ref="P61:P80" si="21">G61-L61</f>
        <v>609814.1799999997</v>
      </c>
      <c r="Q61" s="169"/>
      <c r="R61" s="169"/>
      <c r="S61" s="169">
        <f t="shared" ref="S61:S80" si="22">SUM(Q61:R61)</f>
        <v>0</v>
      </c>
      <c r="T61" s="169">
        <f t="shared" ref="T61:T80" si="23">P61-M61+S61</f>
        <v>0</v>
      </c>
      <c r="U61" s="169">
        <f t="shared" ref="U61:U78" si="24">N61-T61</f>
        <v>500000</v>
      </c>
      <c r="V61" s="169">
        <f t="shared" ref="V61:V82" si="25">U61-Z61-W61-Y61</f>
        <v>500000</v>
      </c>
      <c r="W61" s="171"/>
      <c r="X61" s="169"/>
      <c r="Y61" s="169"/>
      <c r="Z61" s="168"/>
      <c r="AA61" s="659">
        <v>732000</v>
      </c>
      <c r="AB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</row>
    <row r="62" spans="1:1019" s="172" customFormat="1">
      <c r="A62" s="168">
        <f>A61+1</f>
        <v>54</v>
      </c>
      <c r="B62" s="175">
        <v>1406</v>
      </c>
      <c r="C62" s="168" t="s">
        <v>259</v>
      </c>
      <c r="D62" s="169">
        <f>1100000+100000+100000</f>
        <v>1300000</v>
      </c>
      <c r="E62" s="169">
        <v>1100000</v>
      </c>
      <c r="F62" s="169">
        <f t="shared" si="16"/>
        <v>200000</v>
      </c>
      <c r="G62" s="169">
        <v>700000</v>
      </c>
      <c r="H62" s="169">
        <v>618204.25</v>
      </c>
      <c r="I62" s="169">
        <v>39996.51</v>
      </c>
      <c r="J62" s="169">
        <v>41682.480000000003</v>
      </c>
      <c r="K62" s="169">
        <f t="shared" si="17"/>
        <v>81678.990000000005</v>
      </c>
      <c r="L62" s="169">
        <f t="shared" si="18"/>
        <v>699883.24</v>
      </c>
      <c r="M62" s="169">
        <f t="shared" si="19"/>
        <v>116.76000000000931</v>
      </c>
      <c r="N62" s="187">
        <f>500000+100000</f>
        <v>600000</v>
      </c>
      <c r="O62" s="169">
        <f t="shared" si="20"/>
        <v>0</v>
      </c>
      <c r="P62" s="169">
        <f t="shared" si="21"/>
        <v>116.76000000000931</v>
      </c>
      <c r="Q62" s="169"/>
      <c r="R62" s="169"/>
      <c r="S62" s="169">
        <f t="shared" si="22"/>
        <v>0</v>
      </c>
      <c r="T62" s="169">
        <f t="shared" si="23"/>
        <v>0</v>
      </c>
      <c r="U62" s="169">
        <f t="shared" si="24"/>
        <v>600000</v>
      </c>
      <c r="V62" s="169">
        <f t="shared" si="25"/>
        <v>600000</v>
      </c>
      <c r="W62" s="171"/>
      <c r="X62" s="169"/>
      <c r="Y62" s="169"/>
      <c r="Z62" s="168"/>
      <c r="AA62" s="659">
        <v>732000</v>
      </c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AME62" s="158"/>
    </row>
    <row r="63" spans="1:1019" s="174" customFormat="1">
      <c r="A63" s="168">
        <f>A62+1</f>
        <v>55</v>
      </c>
      <c r="B63" s="175">
        <v>1407</v>
      </c>
      <c r="C63" s="168" t="s">
        <v>18</v>
      </c>
      <c r="D63" s="169">
        <f>4430000+465000</f>
        <v>4895000</v>
      </c>
      <c r="E63" s="169">
        <v>4430000</v>
      </c>
      <c r="F63" s="169">
        <f t="shared" si="16"/>
        <v>465000</v>
      </c>
      <c r="G63" s="169">
        <v>3395000</v>
      </c>
      <c r="H63" s="169">
        <v>2040854.84</v>
      </c>
      <c r="I63" s="169">
        <v>78453.42</v>
      </c>
      <c r="J63" s="169">
        <v>804381.62</v>
      </c>
      <c r="K63" s="169">
        <f t="shared" si="17"/>
        <v>882835.04</v>
      </c>
      <c r="L63" s="169">
        <f t="shared" si="18"/>
        <v>2923689.88</v>
      </c>
      <c r="M63" s="169">
        <f t="shared" si="19"/>
        <v>471310.12000000011</v>
      </c>
      <c r="N63" s="187">
        <f>1500000-500000-500000</f>
        <v>500000</v>
      </c>
      <c r="O63" s="169">
        <f t="shared" si="20"/>
        <v>1000000</v>
      </c>
      <c r="P63" s="169">
        <f t="shared" si="21"/>
        <v>471310.12000000011</v>
      </c>
      <c r="Q63" s="169"/>
      <c r="R63" s="169"/>
      <c r="S63" s="169">
        <f t="shared" si="22"/>
        <v>0</v>
      </c>
      <c r="T63" s="169">
        <f t="shared" si="23"/>
        <v>0</v>
      </c>
      <c r="U63" s="169">
        <f t="shared" si="24"/>
        <v>500000</v>
      </c>
      <c r="V63" s="169">
        <f t="shared" si="25"/>
        <v>500000</v>
      </c>
      <c r="W63" s="171"/>
      <c r="X63" s="169"/>
      <c r="Y63" s="169"/>
      <c r="Z63" s="168"/>
      <c r="AA63" s="659">
        <v>732000</v>
      </c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AME63" s="158"/>
    </row>
    <row r="64" spans="1:1019" s="176" customFormat="1">
      <c r="A64" s="168">
        <f>A63+1</f>
        <v>56</v>
      </c>
      <c r="B64" s="175">
        <v>1408</v>
      </c>
      <c r="C64" s="168" t="s">
        <v>19</v>
      </c>
      <c r="D64" s="169">
        <v>1000000</v>
      </c>
      <c r="E64" s="169">
        <v>1000000</v>
      </c>
      <c r="F64" s="169">
        <f t="shared" si="16"/>
        <v>0</v>
      </c>
      <c r="G64" s="169">
        <v>100000</v>
      </c>
      <c r="H64" s="169"/>
      <c r="I64" s="169"/>
      <c r="J64" s="169"/>
      <c r="K64" s="169">
        <f t="shared" si="17"/>
        <v>0</v>
      </c>
      <c r="L64" s="169">
        <f t="shared" si="18"/>
        <v>0</v>
      </c>
      <c r="M64" s="169">
        <f t="shared" si="19"/>
        <v>100000</v>
      </c>
      <c r="N64" s="187">
        <f>500000-400000</f>
        <v>100000</v>
      </c>
      <c r="O64" s="169">
        <f t="shared" si="20"/>
        <v>800000</v>
      </c>
      <c r="P64" s="169">
        <f t="shared" si="21"/>
        <v>100000</v>
      </c>
      <c r="Q64" s="169"/>
      <c r="R64" s="169"/>
      <c r="S64" s="169">
        <f t="shared" si="22"/>
        <v>0</v>
      </c>
      <c r="T64" s="169">
        <f t="shared" si="23"/>
        <v>0</v>
      </c>
      <c r="U64" s="169">
        <f t="shared" si="24"/>
        <v>100000</v>
      </c>
      <c r="V64" s="169">
        <f t="shared" si="25"/>
        <v>100000</v>
      </c>
      <c r="W64" s="171"/>
      <c r="X64" s="169"/>
      <c r="Y64" s="169"/>
      <c r="Z64" s="168"/>
      <c r="AA64" s="659">
        <v>732000</v>
      </c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AME64" s="158"/>
    </row>
    <row r="65" spans="1:1019" s="172" customFormat="1">
      <c r="A65" s="168">
        <f>A64+1</f>
        <v>57</v>
      </c>
      <c r="B65" s="175">
        <v>1464</v>
      </c>
      <c r="C65" s="168" t="s">
        <v>20</v>
      </c>
      <c r="D65" s="169">
        <v>200000</v>
      </c>
      <c r="E65" s="169">
        <v>200000</v>
      </c>
      <c r="F65" s="169">
        <f t="shared" si="16"/>
        <v>0</v>
      </c>
      <c r="G65" s="169">
        <v>20000</v>
      </c>
      <c r="H65" s="169">
        <v>17198.810000000001</v>
      </c>
      <c r="I65" s="169">
        <v>1445.98</v>
      </c>
      <c r="J65" s="169"/>
      <c r="K65" s="169">
        <f t="shared" si="17"/>
        <v>1445.98</v>
      </c>
      <c r="L65" s="169">
        <f t="shared" si="18"/>
        <v>18644.79</v>
      </c>
      <c r="M65" s="169">
        <f t="shared" si="19"/>
        <v>1355.2099999999991</v>
      </c>
      <c r="N65" s="187">
        <v>180000</v>
      </c>
      <c r="O65" s="169">
        <f t="shared" si="20"/>
        <v>0</v>
      </c>
      <c r="P65" s="169">
        <f t="shared" si="21"/>
        <v>1355.2099999999991</v>
      </c>
      <c r="Q65" s="169"/>
      <c r="R65" s="169"/>
      <c r="S65" s="169">
        <f t="shared" si="22"/>
        <v>0</v>
      </c>
      <c r="T65" s="169">
        <f t="shared" si="23"/>
        <v>0</v>
      </c>
      <c r="U65" s="169">
        <f t="shared" si="24"/>
        <v>180000</v>
      </c>
      <c r="V65" s="169">
        <f t="shared" si="25"/>
        <v>180000</v>
      </c>
      <c r="W65" s="171"/>
      <c r="X65" s="169"/>
      <c r="Y65" s="169"/>
      <c r="Z65" s="168"/>
      <c r="AA65" s="659">
        <v>732000</v>
      </c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AME65" s="158"/>
    </row>
    <row r="66" spans="1:1019" s="172" customFormat="1">
      <c r="A66" s="168">
        <f>A65+1</f>
        <v>58</v>
      </c>
      <c r="B66" s="175">
        <v>1551</v>
      </c>
      <c r="C66" s="168" t="s">
        <v>214</v>
      </c>
      <c r="D66" s="169">
        <f>6000000-4000000-1774760</f>
        <v>225240</v>
      </c>
      <c r="E66" s="169">
        <v>6000000</v>
      </c>
      <c r="F66" s="169">
        <f t="shared" si="16"/>
        <v>-5774760</v>
      </c>
      <c r="G66" s="169">
        <v>489240</v>
      </c>
      <c r="H66" s="169">
        <v>204671</v>
      </c>
      <c r="I66" s="169"/>
      <c r="J66" s="169">
        <v>19855</v>
      </c>
      <c r="K66" s="169">
        <f t="shared" si="17"/>
        <v>19855</v>
      </c>
      <c r="L66" s="169">
        <f t="shared" si="18"/>
        <v>224526</v>
      </c>
      <c r="M66" s="169">
        <f>P66+S66-264000</f>
        <v>714</v>
      </c>
      <c r="N66" s="187">
        <f>500000-500000</f>
        <v>0</v>
      </c>
      <c r="O66" s="169">
        <f t="shared" si="20"/>
        <v>0</v>
      </c>
      <c r="P66" s="169">
        <f t="shared" si="21"/>
        <v>264714</v>
      </c>
      <c r="Q66" s="169"/>
      <c r="R66" s="169"/>
      <c r="S66" s="169">
        <f t="shared" si="22"/>
        <v>0</v>
      </c>
      <c r="T66" s="169">
        <f t="shared" si="23"/>
        <v>264000</v>
      </c>
      <c r="U66" s="169">
        <f t="shared" si="24"/>
        <v>-264000</v>
      </c>
      <c r="V66" s="169">
        <f t="shared" si="25"/>
        <v>-264000</v>
      </c>
      <c r="W66" s="171"/>
      <c r="X66" s="169"/>
      <c r="Y66" s="169"/>
      <c r="Z66" s="168"/>
      <c r="AA66" s="659">
        <v>732000</v>
      </c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AME66" s="158"/>
    </row>
    <row r="67" spans="1:1019" s="172" customFormat="1">
      <c r="A67" s="168">
        <f t="shared" ref="A67:A82" si="26">A66+1</f>
        <v>59</v>
      </c>
      <c r="B67" s="175">
        <v>1619</v>
      </c>
      <c r="C67" s="168" t="s">
        <v>215</v>
      </c>
      <c r="D67" s="169">
        <v>200000</v>
      </c>
      <c r="E67" s="169">
        <v>200000</v>
      </c>
      <c r="F67" s="169">
        <f t="shared" si="16"/>
        <v>0</v>
      </c>
      <c r="G67" s="169">
        <v>200000</v>
      </c>
      <c r="H67" s="169">
        <v>56838</v>
      </c>
      <c r="I67" s="169"/>
      <c r="J67" s="169">
        <v>43949.9</v>
      </c>
      <c r="K67" s="169">
        <f t="shared" si="17"/>
        <v>43949.9</v>
      </c>
      <c r="L67" s="169">
        <f t="shared" si="18"/>
        <v>100787.9</v>
      </c>
      <c r="M67" s="169">
        <f t="shared" si="19"/>
        <v>99212.1</v>
      </c>
      <c r="N67" s="187"/>
      <c r="O67" s="169">
        <f t="shared" si="20"/>
        <v>0</v>
      </c>
      <c r="P67" s="169">
        <f t="shared" si="21"/>
        <v>99212.1</v>
      </c>
      <c r="Q67" s="169"/>
      <c r="R67" s="169"/>
      <c r="S67" s="169">
        <f t="shared" si="22"/>
        <v>0</v>
      </c>
      <c r="T67" s="169">
        <f t="shared" si="23"/>
        <v>0</v>
      </c>
      <c r="U67" s="169">
        <f t="shared" si="24"/>
        <v>0</v>
      </c>
      <c r="V67" s="169">
        <f t="shared" si="25"/>
        <v>0</v>
      </c>
      <c r="W67" s="171"/>
      <c r="X67" s="169"/>
      <c r="Y67" s="169"/>
      <c r="Z67" s="168"/>
      <c r="AA67" s="659">
        <v>732000</v>
      </c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AME67" s="158"/>
    </row>
    <row r="68" spans="1:1019" s="176" customFormat="1">
      <c r="A68" s="168">
        <f t="shared" si="26"/>
        <v>60</v>
      </c>
      <c r="B68" s="175">
        <v>1620</v>
      </c>
      <c r="C68" s="168" t="s">
        <v>22</v>
      </c>
      <c r="D68" s="169">
        <v>1000000</v>
      </c>
      <c r="E68" s="169">
        <v>1000000</v>
      </c>
      <c r="F68" s="169">
        <f t="shared" si="16"/>
        <v>0</v>
      </c>
      <c r="G68" s="169">
        <v>100000</v>
      </c>
      <c r="H68" s="169"/>
      <c r="I68" s="169"/>
      <c r="J68" s="169"/>
      <c r="K68" s="169">
        <f t="shared" si="17"/>
        <v>0</v>
      </c>
      <c r="L68" s="169">
        <f t="shared" si="18"/>
        <v>0</v>
      </c>
      <c r="M68" s="169">
        <f t="shared" si="19"/>
        <v>100000</v>
      </c>
      <c r="N68" s="187">
        <f>500000-500000</f>
        <v>0</v>
      </c>
      <c r="O68" s="169">
        <f t="shared" si="20"/>
        <v>900000</v>
      </c>
      <c r="P68" s="169">
        <f t="shared" si="21"/>
        <v>100000</v>
      </c>
      <c r="Q68" s="169"/>
      <c r="R68" s="169"/>
      <c r="S68" s="169">
        <f t="shared" si="22"/>
        <v>0</v>
      </c>
      <c r="T68" s="169">
        <f t="shared" si="23"/>
        <v>0</v>
      </c>
      <c r="U68" s="169">
        <f t="shared" si="24"/>
        <v>0</v>
      </c>
      <c r="V68" s="169">
        <f t="shared" si="25"/>
        <v>0</v>
      </c>
      <c r="W68" s="171"/>
      <c r="X68" s="169"/>
      <c r="Y68" s="169"/>
      <c r="Z68" s="168"/>
      <c r="AA68" s="659">
        <v>732000</v>
      </c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AME68" s="158"/>
    </row>
    <row r="69" spans="1:1019" s="172" customFormat="1">
      <c r="A69" s="168">
        <f t="shared" si="26"/>
        <v>61</v>
      </c>
      <c r="B69" s="175">
        <v>1701</v>
      </c>
      <c r="C69" s="168" t="s">
        <v>924</v>
      </c>
      <c r="D69" s="169">
        <f>750000+200000+300000</f>
        <v>1250000</v>
      </c>
      <c r="E69" s="169">
        <v>750000</v>
      </c>
      <c r="F69" s="169">
        <f t="shared" si="16"/>
        <v>500000</v>
      </c>
      <c r="G69" s="169">
        <v>750000</v>
      </c>
      <c r="H69" s="169">
        <v>90636</v>
      </c>
      <c r="I69" s="169"/>
      <c r="J69" s="169">
        <v>170125.44</v>
      </c>
      <c r="K69" s="169">
        <f t="shared" si="17"/>
        <v>170125.44</v>
      </c>
      <c r="L69" s="169">
        <f t="shared" si="18"/>
        <v>260761.44</v>
      </c>
      <c r="M69" s="169">
        <f>P69+S69-250000</f>
        <v>239238.56</v>
      </c>
      <c r="N69" s="187">
        <v>500000</v>
      </c>
      <c r="O69" s="169">
        <f t="shared" si="20"/>
        <v>250000</v>
      </c>
      <c r="P69" s="169">
        <f t="shared" si="21"/>
        <v>489238.56</v>
      </c>
      <c r="Q69" s="169"/>
      <c r="R69" s="169"/>
      <c r="S69" s="169">
        <f t="shared" si="22"/>
        <v>0</v>
      </c>
      <c r="T69" s="169">
        <f t="shared" si="23"/>
        <v>250000</v>
      </c>
      <c r="U69" s="169">
        <f t="shared" si="24"/>
        <v>250000</v>
      </c>
      <c r="V69" s="169">
        <f t="shared" si="25"/>
        <v>250000</v>
      </c>
      <c r="W69" s="171"/>
      <c r="X69" s="169"/>
      <c r="Y69" s="169"/>
      <c r="Z69" s="168"/>
      <c r="AA69" s="659">
        <v>732000</v>
      </c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AME69" s="158"/>
    </row>
    <row r="70" spans="1:1019" s="172" customFormat="1">
      <c r="A70" s="168">
        <f t="shared" si="26"/>
        <v>62</v>
      </c>
      <c r="B70" s="175">
        <v>1755</v>
      </c>
      <c r="C70" s="168" t="s">
        <v>32</v>
      </c>
      <c r="D70" s="169">
        <f>500000-300000</f>
        <v>200000</v>
      </c>
      <c r="E70" s="169">
        <v>500000</v>
      </c>
      <c r="F70" s="169">
        <f t="shared" si="16"/>
        <v>-300000</v>
      </c>
      <c r="G70" s="169">
        <v>500000</v>
      </c>
      <c r="H70" s="169">
        <v>69371.839999999997</v>
      </c>
      <c r="I70" s="169"/>
      <c r="J70" s="169">
        <v>21992.97</v>
      </c>
      <c r="K70" s="169">
        <f t="shared" si="17"/>
        <v>21992.97</v>
      </c>
      <c r="L70" s="169">
        <f t="shared" si="18"/>
        <v>91364.81</v>
      </c>
      <c r="M70" s="169">
        <f>P70+S70-300000</f>
        <v>108635.19</v>
      </c>
      <c r="N70" s="187"/>
      <c r="O70" s="169">
        <f t="shared" si="20"/>
        <v>0</v>
      </c>
      <c r="P70" s="169">
        <f t="shared" si="21"/>
        <v>408635.19</v>
      </c>
      <c r="Q70" s="169"/>
      <c r="R70" s="169"/>
      <c r="S70" s="169">
        <f t="shared" si="22"/>
        <v>0</v>
      </c>
      <c r="T70" s="169">
        <f t="shared" si="23"/>
        <v>300000</v>
      </c>
      <c r="U70" s="169">
        <f t="shared" si="24"/>
        <v>-300000</v>
      </c>
      <c r="V70" s="169">
        <f t="shared" si="25"/>
        <v>-300000</v>
      </c>
      <c r="W70" s="171"/>
      <c r="X70" s="169"/>
      <c r="Y70" s="169"/>
      <c r="Z70" s="168"/>
      <c r="AA70" s="659">
        <v>732000</v>
      </c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AME70" s="158"/>
    </row>
    <row r="71" spans="1:1019" s="172" customFormat="1" ht="30">
      <c r="A71" s="168">
        <f t="shared" si="26"/>
        <v>63</v>
      </c>
      <c r="B71" s="175">
        <v>1760</v>
      </c>
      <c r="C71" s="168" t="s">
        <v>1002</v>
      </c>
      <c r="D71" s="169">
        <f>500000+400000</f>
        <v>900000</v>
      </c>
      <c r="E71" s="169">
        <v>500000</v>
      </c>
      <c r="F71" s="169">
        <f t="shared" si="16"/>
        <v>400000</v>
      </c>
      <c r="G71" s="169">
        <v>300000</v>
      </c>
      <c r="H71" s="169">
        <v>38898</v>
      </c>
      <c r="I71" s="169"/>
      <c r="J71" s="169">
        <v>1228</v>
      </c>
      <c r="K71" s="169">
        <f t="shared" si="17"/>
        <v>1228</v>
      </c>
      <c r="L71" s="169">
        <f t="shared" si="18"/>
        <v>40126</v>
      </c>
      <c r="M71" s="169">
        <f>P71+S71</f>
        <v>259874</v>
      </c>
      <c r="N71" s="187">
        <f>200000-100000</f>
        <v>100000</v>
      </c>
      <c r="O71" s="169">
        <f t="shared" si="20"/>
        <v>500000</v>
      </c>
      <c r="P71" s="169">
        <f t="shared" si="21"/>
        <v>259874</v>
      </c>
      <c r="Q71" s="169"/>
      <c r="R71" s="169"/>
      <c r="S71" s="169">
        <f t="shared" si="22"/>
        <v>0</v>
      </c>
      <c r="T71" s="169">
        <f t="shared" si="23"/>
        <v>0</v>
      </c>
      <c r="U71" s="169">
        <f t="shared" si="24"/>
        <v>100000</v>
      </c>
      <c r="V71" s="169">
        <f t="shared" si="25"/>
        <v>100000</v>
      </c>
      <c r="W71" s="171"/>
      <c r="X71" s="169"/>
      <c r="Y71" s="169"/>
      <c r="Z71" s="168"/>
      <c r="AA71" s="659">
        <v>732000</v>
      </c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AME71" s="158"/>
    </row>
    <row r="72" spans="1:1019" s="176" customFormat="1">
      <c r="A72" s="168">
        <f t="shared" si="26"/>
        <v>64</v>
      </c>
      <c r="B72" s="175">
        <v>1762</v>
      </c>
      <c r="C72" s="168" t="s">
        <v>33</v>
      </c>
      <c r="D72" s="169">
        <v>500000</v>
      </c>
      <c r="E72" s="169">
        <v>500000</v>
      </c>
      <c r="F72" s="169">
        <f t="shared" si="16"/>
        <v>0</v>
      </c>
      <c r="G72" s="169">
        <v>100000</v>
      </c>
      <c r="H72" s="169">
        <v>0</v>
      </c>
      <c r="I72" s="169"/>
      <c r="J72" s="169">
        <v>11442.6</v>
      </c>
      <c r="K72" s="169">
        <f t="shared" si="17"/>
        <v>11442.6</v>
      </c>
      <c r="L72" s="169">
        <f t="shared" si="18"/>
        <v>11442.6</v>
      </c>
      <c r="M72" s="169">
        <f>P72+S72-80000</f>
        <v>8557.3999999999942</v>
      </c>
      <c r="N72" s="187">
        <v>80000</v>
      </c>
      <c r="O72" s="169">
        <f t="shared" si="20"/>
        <v>400000</v>
      </c>
      <c r="P72" s="169">
        <f t="shared" si="21"/>
        <v>88557.4</v>
      </c>
      <c r="Q72" s="169"/>
      <c r="R72" s="169"/>
      <c r="S72" s="169">
        <f t="shared" si="22"/>
        <v>0</v>
      </c>
      <c r="T72" s="169">
        <f t="shared" si="23"/>
        <v>80000</v>
      </c>
      <c r="U72" s="169">
        <f t="shared" si="24"/>
        <v>0</v>
      </c>
      <c r="V72" s="169">
        <f t="shared" si="25"/>
        <v>0</v>
      </c>
      <c r="W72" s="171"/>
      <c r="X72" s="169"/>
      <c r="Y72" s="169"/>
      <c r="Z72" s="168"/>
      <c r="AA72" s="659">
        <v>732000</v>
      </c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AME72" s="158"/>
    </row>
    <row r="73" spans="1:1019" s="172" customFormat="1">
      <c r="A73" s="168">
        <f t="shared" si="26"/>
        <v>65</v>
      </c>
      <c r="B73" s="175">
        <v>1799</v>
      </c>
      <c r="C73" s="168" t="s">
        <v>234</v>
      </c>
      <c r="D73" s="169">
        <v>1000000</v>
      </c>
      <c r="E73" s="169">
        <v>1000000</v>
      </c>
      <c r="F73" s="169">
        <f t="shared" si="16"/>
        <v>0</v>
      </c>
      <c r="G73" s="169">
        <v>500000</v>
      </c>
      <c r="H73" s="169">
        <v>24106</v>
      </c>
      <c r="I73" s="169"/>
      <c r="J73" s="169">
        <v>20567.86</v>
      </c>
      <c r="K73" s="169">
        <f t="shared" si="17"/>
        <v>20567.86</v>
      </c>
      <c r="L73" s="169">
        <f t="shared" si="18"/>
        <v>44673.86</v>
      </c>
      <c r="M73" s="169">
        <f>P73+S73-400000</f>
        <v>55326.140000000014</v>
      </c>
      <c r="N73" s="187">
        <f>400000-150000</f>
        <v>250000</v>
      </c>
      <c r="O73" s="169">
        <f t="shared" si="20"/>
        <v>650000</v>
      </c>
      <c r="P73" s="169">
        <f t="shared" si="21"/>
        <v>455326.14</v>
      </c>
      <c r="Q73" s="169"/>
      <c r="R73" s="169"/>
      <c r="S73" s="169">
        <f t="shared" si="22"/>
        <v>0</v>
      </c>
      <c r="T73" s="169">
        <f t="shared" si="23"/>
        <v>400000</v>
      </c>
      <c r="U73" s="169">
        <f t="shared" si="24"/>
        <v>-150000</v>
      </c>
      <c r="V73" s="169">
        <f t="shared" si="25"/>
        <v>-150000</v>
      </c>
      <c r="W73" s="171"/>
      <c r="X73" s="169"/>
      <c r="Y73" s="169"/>
      <c r="Z73" s="168"/>
      <c r="AA73" s="659">
        <v>732000</v>
      </c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ME73" s="158"/>
    </row>
    <row r="74" spans="1:1019" s="176" customFormat="1">
      <c r="A74" s="168">
        <f t="shared" si="26"/>
        <v>66</v>
      </c>
      <c r="B74" s="175">
        <v>1838</v>
      </c>
      <c r="C74" s="168" t="s">
        <v>251</v>
      </c>
      <c r="D74" s="169">
        <v>400000</v>
      </c>
      <c r="E74" s="169">
        <v>400000</v>
      </c>
      <c r="F74" s="169">
        <f t="shared" si="16"/>
        <v>0</v>
      </c>
      <c r="G74" s="169">
        <v>400000</v>
      </c>
      <c r="H74" s="169"/>
      <c r="I74" s="169"/>
      <c r="J74" s="169">
        <v>1168.83</v>
      </c>
      <c r="K74" s="169">
        <f t="shared" si="17"/>
        <v>1168.83</v>
      </c>
      <c r="L74" s="169">
        <f t="shared" si="18"/>
        <v>1168.83</v>
      </c>
      <c r="M74" s="169">
        <f>P74+S74-300000</f>
        <v>98831.169999999984</v>
      </c>
      <c r="N74" s="187">
        <f>300000-150000</f>
        <v>150000</v>
      </c>
      <c r="O74" s="169">
        <f t="shared" si="20"/>
        <v>150000</v>
      </c>
      <c r="P74" s="169">
        <f t="shared" si="21"/>
        <v>398831.17</v>
      </c>
      <c r="Q74" s="169"/>
      <c r="R74" s="169"/>
      <c r="S74" s="169">
        <f t="shared" si="22"/>
        <v>0</v>
      </c>
      <c r="T74" s="169">
        <f t="shared" si="23"/>
        <v>300000</v>
      </c>
      <c r="U74" s="169">
        <f t="shared" si="24"/>
        <v>-150000</v>
      </c>
      <c r="V74" s="169">
        <f t="shared" si="25"/>
        <v>-150000</v>
      </c>
      <c r="W74" s="171"/>
      <c r="X74" s="169"/>
      <c r="Y74" s="169"/>
      <c r="Z74" s="168"/>
      <c r="AA74" s="659">
        <v>732000</v>
      </c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ME74" s="158"/>
    </row>
    <row r="75" spans="1:1019">
      <c r="A75" s="168">
        <f t="shared" si="26"/>
        <v>67</v>
      </c>
      <c r="B75" s="175">
        <v>1839</v>
      </c>
      <c r="C75" s="168" t="s">
        <v>252</v>
      </c>
      <c r="D75" s="169">
        <v>150000</v>
      </c>
      <c r="E75" s="169">
        <v>150000</v>
      </c>
      <c r="F75" s="169">
        <f t="shared" si="16"/>
        <v>0</v>
      </c>
      <c r="G75" s="169">
        <v>150000</v>
      </c>
      <c r="H75" s="169"/>
      <c r="I75" s="169"/>
      <c r="J75" s="169"/>
      <c r="K75" s="169">
        <f t="shared" si="17"/>
        <v>0</v>
      </c>
      <c r="L75" s="169">
        <f t="shared" si="18"/>
        <v>0</v>
      </c>
      <c r="M75" s="169">
        <f>P75+S75-150000</f>
        <v>0</v>
      </c>
      <c r="N75" s="187">
        <v>150000</v>
      </c>
      <c r="O75" s="169">
        <f t="shared" si="20"/>
        <v>0</v>
      </c>
      <c r="P75" s="169">
        <f t="shared" si="21"/>
        <v>150000</v>
      </c>
      <c r="Q75" s="169"/>
      <c r="R75" s="169"/>
      <c r="S75" s="169">
        <f t="shared" si="22"/>
        <v>0</v>
      </c>
      <c r="T75" s="169">
        <f t="shared" si="23"/>
        <v>150000</v>
      </c>
      <c r="U75" s="169">
        <f t="shared" si="24"/>
        <v>0</v>
      </c>
      <c r="V75" s="169">
        <f t="shared" si="25"/>
        <v>0</v>
      </c>
      <c r="W75" s="171"/>
      <c r="X75" s="169"/>
      <c r="Y75" s="169"/>
      <c r="Z75" s="168"/>
      <c r="AA75" s="659">
        <v>732000</v>
      </c>
      <c r="AB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</row>
    <row r="76" spans="1:1019" s="177" customFormat="1" ht="30">
      <c r="A76" s="168">
        <f t="shared" si="26"/>
        <v>68</v>
      </c>
      <c r="B76" s="175">
        <v>1842</v>
      </c>
      <c r="C76" s="168" t="s">
        <v>1143</v>
      </c>
      <c r="D76" s="169">
        <v>800000</v>
      </c>
      <c r="E76" s="169">
        <v>800000</v>
      </c>
      <c r="F76" s="169">
        <f t="shared" si="16"/>
        <v>0</v>
      </c>
      <c r="G76" s="169">
        <v>300000</v>
      </c>
      <c r="H76" s="169"/>
      <c r="I76" s="169"/>
      <c r="J76" s="169"/>
      <c r="K76" s="169">
        <f t="shared" si="17"/>
        <v>0</v>
      </c>
      <c r="L76" s="169">
        <f t="shared" si="18"/>
        <v>0</v>
      </c>
      <c r="M76" s="169">
        <f>P76+S76-200000</f>
        <v>100000</v>
      </c>
      <c r="N76" s="187">
        <f>200000-100000</f>
        <v>100000</v>
      </c>
      <c r="O76" s="169">
        <f t="shared" si="20"/>
        <v>600000</v>
      </c>
      <c r="P76" s="169">
        <f t="shared" si="21"/>
        <v>300000</v>
      </c>
      <c r="Q76" s="169"/>
      <c r="R76" s="169"/>
      <c r="S76" s="169">
        <f t="shared" si="22"/>
        <v>0</v>
      </c>
      <c r="T76" s="169">
        <f t="shared" si="23"/>
        <v>200000</v>
      </c>
      <c r="U76" s="169">
        <f t="shared" si="24"/>
        <v>-100000</v>
      </c>
      <c r="V76" s="169">
        <f t="shared" si="25"/>
        <v>-100000</v>
      </c>
      <c r="W76" s="171"/>
      <c r="X76" s="169"/>
      <c r="Y76" s="169"/>
      <c r="Z76" s="168"/>
      <c r="AA76" s="659">
        <v>732000</v>
      </c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ME76" s="158"/>
    </row>
    <row r="77" spans="1:1019" s="172" customFormat="1">
      <c r="A77" s="168">
        <f t="shared" si="26"/>
        <v>69</v>
      </c>
      <c r="B77" s="175">
        <v>1937</v>
      </c>
      <c r="C77" s="168" t="s">
        <v>342</v>
      </c>
      <c r="D77" s="169">
        <f>450000+250000</f>
        <v>700000</v>
      </c>
      <c r="E77" s="169">
        <v>450000</v>
      </c>
      <c r="F77" s="169">
        <f t="shared" si="16"/>
        <v>250000</v>
      </c>
      <c r="G77" s="169">
        <v>450000</v>
      </c>
      <c r="H77" s="169"/>
      <c r="I77" s="169"/>
      <c r="J77" s="169">
        <v>87002.37</v>
      </c>
      <c r="K77" s="169">
        <f t="shared" si="17"/>
        <v>87002.37</v>
      </c>
      <c r="L77" s="169">
        <f t="shared" si="18"/>
        <v>87002.37</v>
      </c>
      <c r="M77" s="169">
        <f>P77+S77-250000</f>
        <v>112997.63</v>
      </c>
      <c r="N77" s="187">
        <v>250000</v>
      </c>
      <c r="O77" s="169">
        <f t="shared" si="20"/>
        <v>250000</v>
      </c>
      <c r="P77" s="169">
        <f t="shared" si="21"/>
        <v>362997.63</v>
      </c>
      <c r="Q77" s="169"/>
      <c r="R77" s="169"/>
      <c r="S77" s="169">
        <f t="shared" si="22"/>
        <v>0</v>
      </c>
      <c r="T77" s="169">
        <f t="shared" si="23"/>
        <v>250000</v>
      </c>
      <c r="U77" s="169">
        <f t="shared" si="24"/>
        <v>0</v>
      </c>
      <c r="V77" s="169">
        <f t="shared" si="25"/>
        <v>0</v>
      </c>
      <c r="W77" s="171"/>
      <c r="X77" s="169"/>
      <c r="Y77" s="169"/>
      <c r="Z77" s="168"/>
      <c r="AA77" s="659">
        <v>732000</v>
      </c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ME77" s="158"/>
    </row>
    <row r="78" spans="1:1019" s="176" customFormat="1">
      <c r="A78" s="168">
        <f t="shared" si="26"/>
        <v>70</v>
      </c>
      <c r="B78" s="175">
        <v>1950</v>
      </c>
      <c r="C78" s="182" t="s">
        <v>467</v>
      </c>
      <c r="D78" s="169">
        <v>500000</v>
      </c>
      <c r="E78" s="169">
        <v>500000</v>
      </c>
      <c r="F78" s="169">
        <f t="shared" si="16"/>
        <v>0</v>
      </c>
      <c r="G78" s="169"/>
      <c r="H78" s="169"/>
      <c r="I78" s="169"/>
      <c r="J78" s="169"/>
      <c r="K78" s="169">
        <f t="shared" si="17"/>
        <v>0</v>
      </c>
      <c r="L78" s="169">
        <f t="shared" si="18"/>
        <v>0</v>
      </c>
      <c r="M78" s="169">
        <f t="shared" ref="M78:M82" si="27">P78+S78</f>
        <v>0</v>
      </c>
      <c r="N78" s="187">
        <f>200000-100000</f>
        <v>100000</v>
      </c>
      <c r="O78" s="169">
        <f t="shared" si="20"/>
        <v>400000</v>
      </c>
      <c r="P78" s="169">
        <f t="shared" si="21"/>
        <v>0</v>
      </c>
      <c r="Q78" s="169"/>
      <c r="R78" s="169"/>
      <c r="S78" s="169">
        <f t="shared" si="22"/>
        <v>0</v>
      </c>
      <c r="T78" s="169">
        <f t="shared" si="23"/>
        <v>0</v>
      </c>
      <c r="U78" s="169">
        <f t="shared" si="24"/>
        <v>100000</v>
      </c>
      <c r="V78" s="169">
        <f t="shared" si="25"/>
        <v>100000</v>
      </c>
      <c r="W78" s="171"/>
      <c r="X78" s="169"/>
      <c r="Y78" s="169"/>
      <c r="Z78" s="168"/>
      <c r="AA78" s="659">
        <v>732000</v>
      </c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ME78" s="158"/>
    </row>
    <row r="79" spans="1:1019" s="174" customFormat="1">
      <c r="A79" s="168">
        <f t="shared" si="26"/>
        <v>71</v>
      </c>
      <c r="B79" s="175">
        <v>1951</v>
      </c>
      <c r="C79" s="168" t="s">
        <v>343</v>
      </c>
      <c r="D79" s="169">
        <v>300000</v>
      </c>
      <c r="E79" s="169">
        <v>300000</v>
      </c>
      <c r="F79" s="169">
        <f t="shared" si="16"/>
        <v>0</v>
      </c>
      <c r="G79" s="169">
        <v>160000</v>
      </c>
      <c r="H79" s="169">
        <v>123575</v>
      </c>
      <c r="I79" s="169">
        <v>35100</v>
      </c>
      <c r="J79" s="169"/>
      <c r="K79" s="169">
        <f t="shared" si="17"/>
        <v>35100</v>
      </c>
      <c r="L79" s="169">
        <f t="shared" si="18"/>
        <v>158675</v>
      </c>
      <c r="M79" s="169">
        <f t="shared" si="27"/>
        <v>1325</v>
      </c>
      <c r="N79" s="187"/>
      <c r="O79" s="169">
        <f t="shared" si="20"/>
        <v>140000</v>
      </c>
      <c r="P79" s="169">
        <f t="shared" si="21"/>
        <v>1325</v>
      </c>
      <c r="Q79" s="169"/>
      <c r="R79" s="169"/>
      <c r="S79" s="169">
        <f t="shared" si="22"/>
        <v>0</v>
      </c>
      <c r="T79" s="169">
        <f t="shared" si="23"/>
        <v>0</v>
      </c>
      <c r="U79" s="169"/>
      <c r="V79" s="169">
        <f t="shared" si="25"/>
        <v>0</v>
      </c>
      <c r="W79" s="171"/>
      <c r="X79" s="169"/>
      <c r="Y79" s="169"/>
      <c r="Z79" s="168"/>
      <c r="AA79" s="659">
        <v>732000</v>
      </c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ME79" s="158"/>
    </row>
    <row r="80" spans="1:1019" s="176" customFormat="1">
      <c r="A80" s="168">
        <f t="shared" si="26"/>
        <v>72</v>
      </c>
      <c r="B80" s="175">
        <v>1952</v>
      </c>
      <c r="C80" s="168" t="s">
        <v>402</v>
      </c>
      <c r="D80" s="169">
        <f>120000+80000</f>
        <v>200000</v>
      </c>
      <c r="E80" s="169">
        <v>120000</v>
      </c>
      <c r="F80" s="169">
        <f t="shared" si="16"/>
        <v>80000</v>
      </c>
      <c r="G80" s="169"/>
      <c r="H80" s="169"/>
      <c r="I80" s="169"/>
      <c r="J80" s="169"/>
      <c r="K80" s="169">
        <f t="shared" si="17"/>
        <v>0</v>
      </c>
      <c r="L80" s="169">
        <f t="shared" si="18"/>
        <v>0</v>
      </c>
      <c r="M80" s="169">
        <f t="shared" si="27"/>
        <v>0</v>
      </c>
      <c r="N80" s="187">
        <v>200000</v>
      </c>
      <c r="O80" s="169">
        <f t="shared" si="20"/>
        <v>0</v>
      </c>
      <c r="P80" s="169">
        <f t="shared" si="21"/>
        <v>0</v>
      </c>
      <c r="Q80" s="169"/>
      <c r="R80" s="169"/>
      <c r="S80" s="169">
        <f t="shared" si="22"/>
        <v>0</v>
      </c>
      <c r="T80" s="169">
        <f t="shared" si="23"/>
        <v>0</v>
      </c>
      <c r="U80" s="169">
        <f>N80-T80</f>
        <v>200000</v>
      </c>
      <c r="V80" s="169">
        <f t="shared" si="25"/>
        <v>200000</v>
      </c>
      <c r="W80" s="171"/>
      <c r="X80" s="169"/>
      <c r="Y80" s="169"/>
      <c r="Z80" s="168"/>
      <c r="AA80" s="659">
        <v>829000</v>
      </c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ME80" s="158"/>
    </row>
    <row r="81" spans="1:1019" s="172" customFormat="1">
      <c r="A81" s="168">
        <f t="shared" si="26"/>
        <v>73</v>
      </c>
      <c r="B81" s="184">
        <v>2013</v>
      </c>
      <c r="C81" s="168" t="s">
        <v>1034</v>
      </c>
      <c r="D81" s="169">
        <v>1250000</v>
      </c>
      <c r="E81" s="169"/>
      <c r="F81" s="169">
        <f>D81-E81</f>
        <v>1250000</v>
      </c>
      <c r="G81" s="169"/>
      <c r="H81" s="169"/>
      <c r="I81" s="169"/>
      <c r="J81" s="169"/>
      <c r="K81" s="169">
        <f>SUM(I81:J81)</f>
        <v>0</v>
      </c>
      <c r="L81" s="169">
        <f>H81+K81</f>
        <v>0</v>
      </c>
      <c r="M81" s="169">
        <f t="shared" si="27"/>
        <v>0</v>
      </c>
      <c r="N81" s="187">
        <f>250000-150000</f>
        <v>100000</v>
      </c>
      <c r="O81" s="169">
        <f>D81-L81-M81-N81</f>
        <v>1150000</v>
      </c>
      <c r="P81" s="169">
        <f>G81-L81</f>
        <v>0</v>
      </c>
      <c r="Q81" s="169"/>
      <c r="R81" s="169"/>
      <c r="S81" s="169">
        <f>SUM(Q81:R81)</f>
        <v>0</v>
      </c>
      <c r="T81" s="169">
        <f>P81-M81+S81</f>
        <v>0</v>
      </c>
      <c r="U81" s="169">
        <f>N81-T81</f>
        <v>100000</v>
      </c>
      <c r="V81" s="169">
        <f t="shared" si="25"/>
        <v>100000</v>
      </c>
      <c r="W81" s="171"/>
      <c r="X81" s="169"/>
      <c r="Y81" s="169"/>
      <c r="Z81" s="168"/>
      <c r="AA81" s="659">
        <v>732000</v>
      </c>
      <c r="AB81" s="157"/>
      <c r="AC81" s="157"/>
      <c r="AD81" s="157"/>
      <c r="AE81" s="157"/>
      <c r="AI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ME81" s="158"/>
    </row>
    <row r="82" spans="1:1019" s="172" customFormat="1">
      <c r="A82" s="168">
        <f t="shared" si="26"/>
        <v>74</v>
      </c>
      <c r="B82" s="184">
        <v>2014</v>
      </c>
      <c r="C82" s="168" t="s">
        <v>932</v>
      </c>
      <c r="D82" s="169">
        <v>100000</v>
      </c>
      <c r="E82" s="169"/>
      <c r="F82" s="169">
        <f>D82-E82</f>
        <v>100000</v>
      </c>
      <c r="G82" s="169"/>
      <c r="H82" s="169"/>
      <c r="I82" s="169"/>
      <c r="J82" s="169"/>
      <c r="K82" s="169">
        <f>SUM(I82:J82)</f>
        <v>0</v>
      </c>
      <c r="L82" s="169">
        <f>H82+K82</f>
        <v>0</v>
      </c>
      <c r="M82" s="169">
        <f t="shared" si="27"/>
        <v>0</v>
      </c>
      <c r="N82" s="187">
        <v>100000</v>
      </c>
      <c r="O82" s="169">
        <f>D82-L82-M82-N82</f>
        <v>0</v>
      </c>
      <c r="P82" s="169">
        <f>G82-L82</f>
        <v>0</v>
      </c>
      <c r="Q82" s="169"/>
      <c r="R82" s="169"/>
      <c r="S82" s="169">
        <f>SUM(Q82:R82)</f>
        <v>0</v>
      </c>
      <c r="T82" s="169">
        <f>P82-M82+S82</f>
        <v>0</v>
      </c>
      <c r="U82" s="169">
        <f>N82-T82</f>
        <v>100000</v>
      </c>
      <c r="V82" s="169">
        <f t="shared" si="25"/>
        <v>100000</v>
      </c>
      <c r="W82" s="171"/>
      <c r="X82" s="169"/>
      <c r="Y82" s="169"/>
      <c r="Z82" s="168"/>
      <c r="AA82" s="659">
        <v>732000</v>
      </c>
      <c r="AB82" s="157"/>
      <c r="AC82" s="157"/>
      <c r="AD82" s="157"/>
      <c r="AE82" s="157"/>
      <c r="AI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ME82" s="158"/>
    </row>
    <row r="83" spans="1:1019" s="174" customFormat="1">
      <c r="A83" s="173"/>
      <c r="B83" s="183"/>
      <c r="C83" s="173" t="s">
        <v>558</v>
      </c>
      <c r="D83" s="179">
        <f t="shared" ref="D83:Z83" si="28">SUM(D61:D82)</f>
        <v>24070240</v>
      </c>
      <c r="E83" s="179">
        <f t="shared" si="28"/>
        <v>26900000</v>
      </c>
      <c r="F83" s="179">
        <f t="shared" si="28"/>
        <v>-2829760</v>
      </c>
      <c r="G83" s="179">
        <f t="shared" si="28"/>
        <v>13714240</v>
      </c>
      <c r="H83" s="179">
        <f t="shared" si="28"/>
        <v>5978672.8399999999</v>
      </c>
      <c r="I83" s="179">
        <f t="shared" si="28"/>
        <v>1872528.3199999998</v>
      </c>
      <c r="J83" s="179">
        <f t="shared" si="28"/>
        <v>1301731.3800000004</v>
      </c>
      <c r="K83" s="179">
        <f t="shared" si="28"/>
        <v>3174259.7</v>
      </c>
      <c r="L83" s="179">
        <f t="shared" si="28"/>
        <v>9152932.5399999991</v>
      </c>
      <c r="M83" s="179">
        <f t="shared" si="28"/>
        <v>2367307.4599999995</v>
      </c>
      <c r="N83" s="179">
        <f t="shared" si="28"/>
        <v>3960000</v>
      </c>
      <c r="O83" s="179">
        <f t="shared" si="28"/>
        <v>8590000</v>
      </c>
      <c r="P83" s="179">
        <f t="shared" si="28"/>
        <v>4561307.46</v>
      </c>
      <c r="Q83" s="179">
        <f t="shared" si="28"/>
        <v>0</v>
      </c>
      <c r="R83" s="179">
        <f t="shared" si="28"/>
        <v>0</v>
      </c>
      <c r="S83" s="179">
        <f t="shared" si="28"/>
        <v>0</v>
      </c>
      <c r="T83" s="179">
        <f t="shared" si="28"/>
        <v>2194000</v>
      </c>
      <c r="U83" s="179">
        <f t="shared" si="28"/>
        <v>1766000</v>
      </c>
      <c r="V83" s="179">
        <f t="shared" si="28"/>
        <v>1766000</v>
      </c>
      <c r="W83" s="179">
        <f t="shared" si="28"/>
        <v>0</v>
      </c>
      <c r="X83" s="179">
        <f t="shared" si="28"/>
        <v>0</v>
      </c>
      <c r="Y83" s="179">
        <f t="shared" si="28"/>
        <v>0</v>
      </c>
      <c r="Z83" s="179">
        <f t="shared" si="28"/>
        <v>0</v>
      </c>
      <c r="AA83" s="180"/>
      <c r="AB83" s="157">
        <f>SUM(AB61:AB80)</f>
        <v>0</v>
      </c>
      <c r="AC83" s="157"/>
      <c r="AD83" s="157"/>
      <c r="AE83" s="157"/>
      <c r="AI83" s="157"/>
      <c r="AJ83" s="172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ME83" s="158"/>
    </row>
    <row r="84" spans="1:1019">
      <c r="A84" s="173"/>
      <c r="B84" s="183"/>
      <c r="C84" s="173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628"/>
      <c r="O84" s="179"/>
      <c r="P84" s="179"/>
      <c r="Q84" s="179"/>
      <c r="R84" s="179"/>
      <c r="S84" s="179"/>
      <c r="T84" s="179"/>
      <c r="U84" s="179"/>
      <c r="V84" s="179"/>
      <c r="W84" s="166"/>
      <c r="X84" s="179"/>
      <c r="Y84" s="179"/>
      <c r="Z84" s="179"/>
      <c r="AA84" s="180"/>
      <c r="AB84" s="157"/>
      <c r="AI84" s="181"/>
      <c r="AJ84" s="185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</row>
    <row r="85" spans="1:1019">
      <c r="A85" s="168"/>
      <c r="B85" s="175"/>
      <c r="C85" s="173" t="s">
        <v>24</v>
      </c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87"/>
      <c r="O85" s="169"/>
      <c r="P85" s="169"/>
      <c r="Q85" s="169"/>
      <c r="R85" s="169"/>
      <c r="S85" s="169"/>
      <c r="T85" s="169"/>
      <c r="U85" s="169"/>
      <c r="V85" s="169"/>
      <c r="W85" s="171"/>
      <c r="X85" s="169"/>
      <c r="Y85" s="169"/>
      <c r="Z85" s="168"/>
      <c r="AA85" s="659"/>
      <c r="AB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</row>
    <row r="86" spans="1:1019" s="174" customFormat="1">
      <c r="A86" s="168">
        <f>A82+1</f>
        <v>75</v>
      </c>
      <c r="B86" s="175">
        <v>1409</v>
      </c>
      <c r="C86" s="168" t="s">
        <v>345</v>
      </c>
      <c r="D86" s="169">
        <f>3500000+800000</f>
        <v>4300000</v>
      </c>
      <c r="E86" s="169">
        <v>3500000</v>
      </c>
      <c r="F86" s="169">
        <f>D86-E86</f>
        <v>800000</v>
      </c>
      <c r="G86" s="169">
        <v>3300000</v>
      </c>
      <c r="H86" s="169">
        <v>2261196.9500000002</v>
      </c>
      <c r="I86" s="169">
        <v>688781.13</v>
      </c>
      <c r="J86" s="169">
        <v>4560</v>
      </c>
      <c r="K86" s="169">
        <f t="shared" ref="K86:K100" si="29">SUM(I86:J86)</f>
        <v>693341.13</v>
      </c>
      <c r="L86" s="169">
        <f t="shared" ref="L86:L100" si="30">H86+K86</f>
        <v>2954538.08</v>
      </c>
      <c r="M86" s="169">
        <f>P86+S86</f>
        <v>345461.91999999993</v>
      </c>
      <c r="N86" s="187">
        <f>500000+700000-500000</f>
        <v>700000</v>
      </c>
      <c r="O86" s="169">
        <f>D86-L86-M86-N86</f>
        <v>300000</v>
      </c>
      <c r="P86" s="169">
        <f t="shared" ref="P86:P100" si="31">G86-L86</f>
        <v>345461.91999999993</v>
      </c>
      <c r="Q86" s="169"/>
      <c r="R86" s="169"/>
      <c r="S86" s="169">
        <f t="shared" ref="S86:S100" si="32">SUM(Q86:R86)</f>
        <v>0</v>
      </c>
      <c r="T86" s="169">
        <f t="shared" ref="T86:T100" si="33">P86-M86+S86</f>
        <v>0</v>
      </c>
      <c r="U86" s="169">
        <f t="shared" ref="U86:U100" si="34">N86-T86</f>
        <v>700000</v>
      </c>
      <c r="V86" s="169">
        <f t="shared" ref="V86:V100" si="35">U86-Z86-W86-Y86</f>
        <v>700000</v>
      </c>
      <c r="W86" s="171"/>
      <c r="X86" s="169"/>
      <c r="Y86" s="169"/>
      <c r="Z86" s="168"/>
      <c r="AA86" s="659">
        <v>732000</v>
      </c>
      <c r="AB86" s="157"/>
      <c r="AC86" s="157"/>
      <c r="AD86" s="157"/>
      <c r="AE86" s="157"/>
      <c r="AF86" s="172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ME86" s="158"/>
    </row>
    <row r="87" spans="1:1019">
      <c r="A87" s="168">
        <f t="shared" ref="A87:A100" si="36">A86+1</f>
        <v>76</v>
      </c>
      <c r="B87" s="175">
        <v>1466</v>
      </c>
      <c r="C87" s="168" t="s">
        <v>21</v>
      </c>
      <c r="D87" s="169">
        <f>1800000+400000</f>
        <v>2200000</v>
      </c>
      <c r="E87" s="169">
        <v>1800000</v>
      </c>
      <c r="F87" s="169">
        <f t="shared" ref="F87:F100" si="37">D87-E87</f>
        <v>400000</v>
      </c>
      <c r="G87" s="169">
        <v>1300000</v>
      </c>
      <c r="H87" s="169">
        <v>983288.89</v>
      </c>
      <c r="I87" s="169"/>
      <c r="J87" s="169">
        <v>94723.68</v>
      </c>
      <c r="K87" s="169">
        <f t="shared" si="29"/>
        <v>94723.68</v>
      </c>
      <c r="L87" s="169">
        <f t="shared" si="30"/>
        <v>1078012.57</v>
      </c>
      <c r="M87" s="169">
        <f>P87+S87</f>
        <v>221987.42999999993</v>
      </c>
      <c r="N87" s="187">
        <v>400000</v>
      </c>
      <c r="O87" s="169">
        <f t="shared" ref="O87:O100" si="38">D87-L87-M87-N87</f>
        <v>500000</v>
      </c>
      <c r="P87" s="169">
        <f t="shared" si="31"/>
        <v>221987.42999999993</v>
      </c>
      <c r="Q87" s="169"/>
      <c r="R87" s="169"/>
      <c r="S87" s="169">
        <f t="shared" si="32"/>
        <v>0</v>
      </c>
      <c r="T87" s="169">
        <f t="shared" si="33"/>
        <v>0</v>
      </c>
      <c r="U87" s="169">
        <f t="shared" si="34"/>
        <v>400000</v>
      </c>
      <c r="V87" s="169">
        <f t="shared" si="35"/>
        <v>400000</v>
      </c>
      <c r="W87" s="171"/>
      <c r="X87" s="169"/>
      <c r="Y87" s="169"/>
      <c r="Z87" s="168"/>
      <c r="AA87" s="659">
        <v>732000</v>
      </c>
      <c r="AB87" s="157"/>
      <c r="AF87" s="172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</row>
    <row r="88" spans="1:1019">
      <c r="A88" s="168">
        <f t="shared" si="36"/>
        <v>77</v>
      </c>
      <c r="B88" s="175">
        <v>1527</v>
      </c>
      <c r="C88" s="168" t="s">
        <v>401</v>
      </c>
      <c r="D88" s="169">
        <v>3000000</v>
      </c>
      <c r="E88" s="169">
        <v>3000000</v>
      </c>
      <c r="F88" s="169">
        <f t="shared" si="37"/>
        <v>0</v>
      </c>
      <c r="G88" s="169">
        <v>2000000</v>
      </c>
      <c r="H88" s="169">
        <v>815200.42</v>
      </c>
      <c r="I88" s="169"/>
      <c r="J88" s="169"/>
      <c r="K88" s="169">
        <f t="shared" si="29"/>
        <v>0</v>
      </c>
      <c r="L88" s="169">
        <f t="shared" si="30"/>
        <v>815200.42</v>
      </c>
      <c r="M88" s="169">
        <f>P88+S88-1000000</f>
        <v>184799.58000000007</v>
      </c>
      <c r="N88" s="187">
        <f>1000000-500000</f>
        <v>500000</v>
      </c>
      <c r="O88" s="169">
        <f t="shared" si="38"/>
        <v>1500000</v>
      </c>
      <c r="P88" s="169">
        <f t="shared" si="31"/>
        <v>1184799.58</v>
      </c>
      <c r="Q88" s="169"/>
      <c r="R88" s="169"/>
      <c r="S88" s="169">
        <f t="shared" si="32"/>
        <v>0</v>
      </c>
      <c r="T88" s="169">
        <f t="shared" si="33"/>
        <v>1000000</v>
      </c>
      <c r="U88" s="169">
        <f t="shared" si="34"/>
        <v>-500000</v>
      </c>
      <c r="V88" s="169">
        <f t="shared" si="35"/>
        <v>-500000</v>
      </c>
      <c r="W88" s="171"/>
      <c r="X88" s="169"/>
      <c r="Y88" s="169"/>
      <c r="Z88" s="168"/>
      <c r="AA88" s="659">
        <v>732000</v>
      </c>
      <c r="AB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</row>
    <row r="89" spans="1:1019">
      <c r="A89" s="168">
        <f t="shared" si="36"/>
        <v>78</v>
      </c>
      <c r="B89" s="175">
        <v>1660</v>
      </c>
      <c r="C89" s="168" t="s">
        <v>23</v>
      </c>
      <c r="D89" s="169">
        <v>2000000</v>
      </c>
      <c r="E89" s="169">
        <v>2000000</v>
      </c>
      <c r="F89" s="169">
        <f t="shared" si="37"/>
        <v>0</v>
      </c>
      <c r="G89" s="169">
        <v>150000</v>
      </c>
      <c r="H89" s="169">
        <v>85408</v>
      </c>
      <c r="I89" s="169"/>
      <c r="J89" s="169">
        <v>22522.5</v>
      </c>
      <c r="K89" s="169">
        <f t="shared" si="29"/>
        <v>22522.5</v>
      </c>
      <c r="L89" s="169">
        <f t="shared" si="30"/>
        <v>107930.5</v>
      </c>
      <c r="M89" s="169">
        <f>P89+S89</f>
        <v>42069.5</v>
      </c>
      <c r="N89" s="187">
        <f>1000000-500000</f>
        <v>500000</v>
      </c>
      <c r="O89" s="169">
        <f t="shared" si="38"/>
        <v>1350000</v>
      </c>
      <c r="P89" s="169">
        <f t="shared" si="31"/>
        <v>42069.5</v>
      </c>
      <c r="Q89" s="169"/>
      <c r="R89" s="169"/>
      <c r="S89" s="169">
        <f t="shared" si="32"/>
        <v>0</v>
      </c>
      <c r="T89" s="169">
        <f t="shared" si="33"/>
        <v>0</v>
      </c>
      <c r="U89" s="169">
        <f t="shared" si="34"/>
        <v>500000</v>
      </c>
      <c r="V89" s="169">
        <f t="shared" si="35"/>
        <v>500000</v>
      </c>
      <c r="W89" s="171"/>
      <c r="X89" s="169"/>
      <c r="Y89" s="169"/>
      <c r="Z89" s="168"/>
      <c r="AA89" s="659">
        <v>732000</v>
      </c>
      <c r="AB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</row>
    <row r="90" spans="1:1019" ht="15.75">
      <c r="A90" s="168">
        <f t="shared" si="36"/>
        <v>79</v>
      </c>
      <c r="B90" s="175">
        <v>1674</v>
      </c>
      <c r="C90" s="168" t="s">
        <v>468</v>
      </c>
      <c r="D90" s="169">
        <f>2000000+100000</f>
        <v>2100000</v>
      </c>
      <c r="E90" s="169">
        <v>2000000</v>
      </c>
      <c r="F90" s="169">
        <f t="shared" si="37"/>
        <v>100000</v>
      </c>
      <c r="G90" s="169">
        <v>1800000</v>
      </c>
      <c r="H90" s="169">
        <v>1150931.98</v>
      </c>
      <c r="I90" s="169">
        <v>351325.84</v>
      </c>
      <c r="J90" s="169">
        <v>265319.82</v>
      </c>
      <c r="K90" s="169">
        <f t="shared" si="29"/>
        <v>616645.66</v>
      </c>
      <c r="L90" s="169">
        <f t="shared" si="30"/>
        <v>1767577.6400000001</v>
      </c>
      <c r="M90" s="169">
        <f>P90+S90</f>
        <v>32422.35999999987</v>
      </c>
      <c r="N90" s="187">
        <v>300000</v>
      </c>
      <c r="O90" s="169">
        <f t="shared" si="38"/>
        <v>0</v>
      </c>
      <c r="P90" s="169">
        <f t="shared" si="31"/>
        <v>32422.35999999987</v>
      </c>
      <c r="Q90" s="169"/>
      <c r="R90" s="169"/>
      <c r="S90" s="169">
        <f t="shared" si="32"/>
        <v>0</v>
      </c>
      <c r="T90" s="169">
        <f t="shared" si="33"/>
        <v>0</v>
      </c>
      <c r="U90" s="169">
        <f t="shared" si="34"/>
        <v>300000</v>
      </c>
      <c r="V90" s="169">
        <f t="shared" si="35"/>
        <v>300000</v>
      </c>
      <c r="W90" s="171"/>
      <c r="X90" s="169"/>
      <c r="Y90" s="169"/>
      <c r="Z90" s="168"/>
      <c r="AA90" s="659">
        <v>732000</v>
      </c>
      <c r="AB90" s="157"/>
      <c r="AG90" s="186"/>
      <c r="AH90" s="186"/>
      <c r="AI90" s="186"/>
      <c r="AJ90" s="186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</row>
    <row r="91" spans="1:1019" s="186" customFormat="1" ht="15.75">
      <c r="A91" s="168">
        <f t="shared" si="36"/>
        <v>80</v>
      </c>
      <c r="B91" s="175">
        <v>1692</v>
      </c>
      <c r="C91" s="175" t="s">
        <v>25</v>
      </c>
      <c r="D91" s="169">
        <f>2000000+450000</f>
        <v>2450000</v>
      </c>
      <c r="E91" s="169">
        <f>2000000</f>
        <v>2000000</v>
      </c>
      <c r="F91" s="169">
        <f t="shared" si="37"/>
        <v>450000</v>
      </c>
      <c r="G91" s="169">
        <f>1439186</f>
        <v>1439186</v>
      </c>
      <c r="H91" s="169">
        <v>400068.92</v>
      </c>
      <c r="I91" s="169">
        <v>184795.04</v>
      </c>
      <c r="J91" s="169">
        <v>25740</v>
      </c>
      <c r="K91" s="169">
        <f t="shared" si="29"/>
        <v>210535.04000000001</v>
      </c>
      <c r="L91" s="169">
        <f t="shared" si="30"/>
        <v>610603.96</v>
      </c>
      <c r="M91" s="169">
        <f>P91+S91</f>
        <v>828582.04</v>
      </c>
      <c r="N91" s="187">
        <v>400000</v>
      </c>
      <c r="O91" s="169">
        <f t="shared" si="38"/>
        <v>610814</v>
      </c>
      <c r="P91" s="169">
        <f t="shared" si="31"/>
        <v>828582.04</v>
      </c>
      <c r="Q91" s="169"/>
      <c r="R91" s="169"/>
      <c r="S91" s="169">
        <f t="shared" si="32"/>
        <v>0</v>
      </c>
      <c r="T91" s="169">
        <f t="shared" si="33"/>
        <v>0</v>
      </c>
      <c r="U91" s="169">
        <f t="shared" si="34"/>
        <v>400000</v>
      </c>
      <c r="V91" s="169">
        <f t="shared" si="35"/>
        <v>400000</v>
      </c>
      <c r="W91" s="171"/>
      <c r="X91" s="169"/>
      <c r="Y91" s="169"/>
      <c r="Z91" s="168"/>
      <c r="AA91" s="659">
        <v>732000</v>
      </c>
      <c r="AB91" s="157"/>
      <c r="AC91" s="157"/>
      <c r="AD91" s="157"/>
      <c r="AE91" s="157"/>
      <c r="AF91" s="172"/>
      <c r="AG91" s="172"/>
      <c r="AH91" s="172"/>
      <c r="AI91" s="172"/>
      <c r="AJ91" s="172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ME91" s="158"/>
    </row>
    <row r="92" spans="1:1019" s="172" customFormat="1">
      <c r="A92" s="168">
        <f t="shared" si="36"/>
        <v>81</v>
      </c>
      <c r="B92" s="175">
        <v>1693</v>
      </c>
      <c r="C92" s="175" t="s">
        <v>260</v>
      </c>
      <c r="D92" s="169">
        <v>4500000</v>
      </c>
      <c r="E92" s="169">
        <v>4500000</v>
      </c>
      <c r="F92" s="169">
        <f t="shared" si="37"/>
        <v>0</v>
      </c>
      <c r="G92" s="169">
        <f>167478</f>
        <v>167478</v>
      </c>
      <c r="H92" s="169">
        <v>8570.73</v>
      </c>
      <c r="I92" s="169">
        <v>90305.279999999999</v>
      </c>
      <c r="J92" s="169">
        <v>55907.28</v>
      </c>
      <c r="K92" s="169">
        <f t="shared" si="29"/>
        <v>146212.56</v>
      </c>
      <c r="L92" s="169">
        <f t="shared" si="30"/>
        <v>154783.29</v>
      </c>
      <c r="M92" s="169">
        <f>P92+S92</f>
        <v>12694.709999999992</v>
      </c>
      <c r="N92" s="187">
        <v>120000</v>
      </c>
      <c r="O92" s="169">
        <f t="shared" si="38"/>
        <v>4212522</v>
      </c>
      <c r="P92" s="169">
        <f t="shared" si="31"/>
        <v>12694.709999999992</v>
      </c>
      <c r="Q92" s="169"/>
      <c r="R92" s="169"/>
      <c r="S92" s="169">
        <f t="shared" si="32"/>
        <v>0</v>
      </c>
      <c r="T92" s="169">
        <f t="shared" si="33"/>
        <v>0</v>
      </c>
      <c r="U92" s="169">
        <f t="shared" si="34"/>
        <v>120000</v>
      </c>
      <c r="V92" s="169">
        <f t="shared" si="35"/>
        <v>120000</v>
      </c>
      <c r="W92" s="171"/>
      <c r="X92" s="169"/>
      <c r="Y92" s="169"/>
      <c r="Z92" s="168"/>
      <c r="AA92" s="659">
        <v>732000</v>
      </c>
      <c r="AB92" s="157"/>
      <c r="AC92" s="157"/>
      <c r="AD92" s="157"/>
      <c r="AE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ME92" s="158"/>
    </row>
    <row r="93" spans="1:1019" ht="30">
      <c r="A93" s="168">
        <f t="shared" si="36"/>
        <v>82</v>
      </c>
      <c r="B93" s="175">
        <v>1756</v>
      </c>
      <c r="C93" s="175" t="s">
        <v>1145</v>
      </c>
      <c r="D93" s="169">
        <f>500000+100000+200000</f>
        <v>800000</v>
      </c>
      <c r="E93" s="169">
        <v>500000</v>
      </c>
      <c r="F93" s="169">
        <f t="shared" si="37"/>
        <v>300000</v>
      </c>
      <c r="G93" s="169">
        <v>400000</v>
      </c>
      <c r="H93" s="169">
        <v>175559</v>
      </c>
      <c r="I93" s="169">
        <v>36643.81</v>
      </c>
      <c r="J93" s="169">
        <v>44604</v>
      </c>
      <c r="K93" s="169">
        <f t="shared" si="29"/>
        <v>81247.81</v>
      </c>
      <c r="L93" s="169">
        <f t="shared" si="30"/>
        <v>256806.81</v>
      </c>
      <c r="M93" s="169">
        <f>P93+S93</f>
        <v>143193.19</v>
      </c>
      <c r="N93" s="187">
        <f>100000+100000</f>
        <v>200000</v>
      </c>
      <c r="O93" s="169">
        <f t="shared" si="38"/>
        <v>199999.99999999994</v>
      </c>
      <c r="P93" s="169">
        <f t="shared" si="31"/>
        <v>143193.19</v>
      </c>
      <c r="Q93" s="169"/>
      <c r="R93" s="169"/>
      <c r="S93" s="169">
        <f t="shared" si="32"/>
        <v>0</v>
      </c>
      <c r="T93" s="169">
        <f t="shared" si="33"/>
        <v>0</v>
      </c>
      <c r="U93" s="169">
        <f t="shared" si="34"/>
        <v>200000</v>
      </c>
      <c r="V93" s="169">
        <f t="shared" si="35"/>
        <v>200000</v>
      </c>
      <c r="W93" s="171"/>
      <c r="X93" s="169"/>
      <c r="Y93" s="169"/>
      <c r="Z93" s="168"/>
      <c r="AA93" s="659">
        <v>732000</v>
      </c>
      <c r="AB93" s="157"/>
    </row>
    <row r="94" spans="1:1019">
      <c r="A94" s="168">
        <f t="shared" si="36"/>
        <v>83</v>
      </c>
      <c r="B94" s="175">
        <v>1757</v>
      </c>
      <c r="C94" s="168" t="s">
        <v>28</v>
      </c>
      <c r="D94" s="169">
        <v>300000</v>
      </c>
      <c r="E94" s="169">
        <v>300000</v>
      </c>
      <c r="F94" s="169">
        <f t="shared" si="37"/>
        <v>0</v>
      </c>
      <c r="G94" s="169">
        <v>110000</v>
      </c>
      <c r="H94" s="169">
        <v>10908.07</v>
      </c>
      <c r="I94" s="169">
        <v>908.93</v>
      </c>
      <c r="J94" s="169"/>
      <c r="K94" s="169">
        <f t="shared" si="29"/>
        <v>908.93</v>
      </c>
      <c r="L94" s="169">
        <f t="shared" si="30"/>
        <v>11817</v>
      </c>
      <c r="M94" s="169">
        <f>P94+S94-50000</f>
        <v>48183</v>
      </c>
      <c r="N94" s="187">
        <v>100000</v>
      </c>
      <c r="O94" s="169">
        <f>D94-L94-M94-N94</f>
        <v>140000</v>
      </c>
      <c r="P94" s="169">
        <f t="shared" si="31"/>
        <v>98183</v>
      </c>
      <c r="Q94" s="169"/>
      <c r="R94" s="169"/>
      <c r="S94" s="169">
        <f t="shared" si="32"/>
        <v>0</v>
      </c>
      <c r="T94" s="169">
        <f t="shared" si="33"/>
        <v>50000</v>
      </c>
      <c r="U94" s="169">
        <f t="shared" si="34"/>
        <v>50000</v>
      </c>
      <c r="V94" s="169">
        <f t="shared" si="35"/>
        <v>50000</v>
      </c>
      <c r="W94" s="171"/>
      <c r="X94" s="169"/>
      <c r="Y94" s="169"/>
      <c r="Z94" s="168"/>
      <c r="AA94" s="659">
        <v>732000</v>
      </c>
      <c r="AB94" s="157"/>
    </row>
    <row r="95" spans="1:1019">
      <c r="A95" s="168">
        <f t="shared" si="36"/>
        <v>84</v>
      </c>
      <c r="B95" s="175">
        <v>1758</v>
      </c>
      <c r="C95" s="168" t="s">
        <v>213</v>
      </c>
      <c r="D95" s="169">
        <v>300000</v>
      </c>
      <c r="E95" s="169">
        <v>300000</v>
      </c>
      <c r="F95" s="169">
        <f t="shared" si="37"/>
        <v>0</v>
      </c>
      <c r="G95" s="169">
        <v>120000</v>
      </c>
      <c r="H95" s="169">
        <v>10908.07</v>
      </c>
      <c r="I95" s="169">
        <v>4828.43</v>
      </c>
      <c r="J95" s="169">
        <v>380.25</v>
      </c>
      <c r="K95" s="169">
        <f t="shared" si="29"/>
        <v>5208.68</v>
      </c>
      <c r="L95" s="169">
        <f t="shared" si="30"/>
        <v>16116.75</v>
      </c>
      <c r="M95" s="169">
        <f>P95+S95-50000</f>
        <v>53883.25</v>
      </c>
      <c r="N95" s="187">
        <v>100000</v>
      </c>
      <c r="O95" s="169">
        <f t="shared" si="38"/>
        <v>130000</v>
      </c>
      <c r="P95" s="169">
        <f t="shared" si="31"/>
        <v>103883.25</v>
      </c>
      <c r="Q95" s="169"/>
      <c r="R95" s="169"/>
      <c r="S95" s="169">
        <f t="shared" si="32"/>
        <v>0</v>
      </c>
      <c r="T95" s="169">
        <f t="shared" si="33"/>
        <v>50000</v>
      </c>
      <c r="U95" s="169">
        <f t="shared" si="34"/>
        <v>50000</v>
      </c>
      <c r="V95" s="169">
        <f t="shared" si="35"/>
        <v>50000</v>
      </c>
      <c r="W95" s="171"/>
      <c r="X95" s="169"/>
      <c r="Y95" s="169"/>
      <c r="Z95" s="168"/>
      <c r="AA95" s="659">
        <v>732000</v>
      </c>
      <c r="AB95" s="157"/>
    </row>
    <row r="96" spans="1:1019" ht="30">
      <c r="A96" s="168">
        <f t="shared" si="36"/>
        <v>85</v>
      </c>
      <c r="B96" s="175">
        <v>1759</v>
      </c>
      <c r="C96" s="175" t="s">
        <v>1144</v>
      </c>
      <c r="D96" s="169">
        <v>600000</v>
      </c>
      <c r="E96" s="169">
        <v>600000</v>
      </c>
      <c r="F96" s="169">
        <f t="shared" si="37"/>
        <v>0</v>
      </c>
      <c r="G96" s="169">
        <v>500000</v>
      </c>
      <c r="H96" s="169">
        <v>478660</v>
      </c>
      <c r="I96" s="169">
        <v>600</v>
      </c>
      <c r="J96" s="169">
        <v>17151.75</v>
      </c>
      <c r="K96" s="169">
        <f t="shared" si="29"/>
        <v>17751.75</v>
      </c>
      <c r="L96" s="169">
        <f t="shared" si="30"/>
        <v>496411.75</v>
      </c>
      <c r="M96" s="169">
        <f>P96+S96</f>
        <v>3588.25</v>
      </c>
      <c r="N96" s="187"/>
      <c r="O96" s="169">
        <f t="shared" si="38"/>
        <v>100000</v>
      </c>
      <c r="P96" s="169">
        <f t="shared" si="31"/>
        <v>3588.25</v>
      </c>
      <c r="Q96" s="169"/>
      <c r="R96" s="169"/>
      <c r="S96" s="169">
        <f t="shared" si="32"/>
        <v>0</v>
      </c>
      <c r="T96" s="169">
        <f t="shared" si="33"/>
        <v>0</v>
      </c>
      <c r="U96" s="169">
        <f t="shared" si="34"/>
        <v>0</v>
      </c>
      <c r="V96" s="169">
        <f t="shared" si="35"/>
        <v>0</v>
      </c>
      <c r="W96" s="171"/>
      <c r="X96" s="169"/>
      <c r="Y96" s="169"/>
      <c r="Z96" s="168"/>
      <c r="AA96" s="659">
        <v>732000</v>
      </c>
      <c r="AB96" s="157"/>
    </row>
    <row r="97" spans="1:1019" s="176" customFormat="1" ht="30">
      <c r="A97" s="168">
        <f t="shared" si="36"/>
        <v>86</v>
      </c>
      <c r="B97" s="175">
        <v>1761</v>
      </c>
      <c r="C97" s="175" t="s">
        <v>31</v>
      </c>
      <c r="D97" s="187">
        <v>400000</v>
      </c>
      <c r="E97" s="187">
        <v>400000</v>
      </c>
      <c r="F97" s="169">
        <f t="shared" si="37"/>
        <v>0</v>
      </c>
      <c r="G97" s="187">
        <v>150000</v>
      </c>
      <c r="H97" s="187"/>
      <c r="I97" s="187"/>
      <c r="J97" s="187"/>
      <c r="K97" s="187">
        <f t="shared" si="29"/>
        <v>0</v>
      </c>
      <c r="L97" s="187">
        <f t="shared" si="30"/>
        <v>0</v>
      </c>
      <c r="M97" s="169">
        <f>P97+S97-150000</f>
        <v>0</v>
      </c>
      <c r="N97" s="187">
        <v>150000</v>
      </c>
      <c r="O97" s="169">
        <f t="shared" si="38"/>
        <v>250000</v>
      </c>
      <c r="P97" s="169">
        <f t="shared" si="31"/>
        <v>150000</v>
      </c>
      <c r="Q97" s="169"/>
      <c r="R97" s="169"/>
      <c r="S97" s="169">
        <f t="shared" si="32"/>
        <v>0</v>
      </c>
      <c r="T97" s="169">
        <f t="shared" si="33"/>
        <v>150000</v>
      </c>
      <c r="U97" s="169">
        <f t="shared" si="34"/>
        <v>0</v>
      </c>
      <c r="V97" s="169">
        <f t="shared" si="35"/>
        <v>0</v>
      </c>
      <c r="W97" s="171"/>
      <c r="X97" s="169"/>
      <c r="Y97" s="169"/>
      <c r="Z97" s="168"/>
      <c r="AA97" s="659">
        <v>732000</v>
      </c>
      <c r="AB97" s="157"/>
      <c r="AC97" s="157"/>
      <c r="AD97" s="157"/>
      <c r="AE97" s="157"/>
      <c r="AME97" s="158"/>
    </row>
    <row r="98" spans="1:1019" s="176" customFormat="1">
      <c r="A98" s="168">
        <f t="shared" si="36"/>
        <v>87</v>
      </c>
      <c r="B98" s="175">
        <v>1811</v>
      </c>
      <c r="C98" s="175" t="s">
        <v>237</v>
      </c>
      <c r="D98" s="187">
        <v>250000</v>
      </c>
      <c r="E98" s="187">
        <v>250000</v>
      </c>
      <c r="F98" s="169">
        <f t="shared" si="37"/>
        <v>0</v>
      </c>
      <c r="G98" s="187">
        <v>250000</v>
      </c>
      <c r="H98" s="187"/>
      <c r="I98" s="187"/>
      <c r="J98" s="187"/>
      <c r="K98" s="187">
        <f t="shared" si="29"/>
        <v>0</v>
      </c>
      <c r="L98" s="187">
        <f t="shared" si="30"/>
        <v>0</v>
      </c>
      <c r="M98" s="169">
        <f>P98+S98-200000</f>
        <v>50000</v>
      </c>
      <c r="N98" s="187">
        <v>200000</v>
      </c>
      <c r="O98" s="169">
        <f t="shared" si="38"/>
        <v>0</v>
      </c>
      <c r="P98" s="169">
        <f t="shared" si="31"/>
        <v>250000</v>
      </c>
      <c r="Q98" s="169"/>
      <c r="R98" s="169"/>
      <c r="S98" s="169">
        <f t="shared" si="32"/>
        <v>0</v>
      </c>
      <c r="T98" s="169">
        <f t="shared" si="33"/>
        <v>200000</v>
      </c>
      <c r="U98" s="169">
        <f t="shared" si="34"/>
        <v>0</v>
      </c>
      <c r="V98" s="169">
        <f t="shared" si="35"/>
        <v>0</v>
      </c>
      <c r="W98" s="171"/>
      <c r="X98" s="169"/>
      <c r="Y98" s="169"/>
      <c r="Z98" s="168"/>
      <c r="AA98" s="659">
        <v>732000</v>
      </c>
      <c r="AB98" s="157"/>
      <c r="AC98" s="157"/>
      <c r="AD98" s="157"/>
      <c r="AE98" s="157"/>
      <c r="AME98" s="158"/>
    </row>
    <row r="99" spans="1:1019">
      <c r="A99" s="168">
        <f t="shared" si="36"/>
        <v>88</v>
      </c>
      <c r="B99" s="175">
        <v>1843</v>
      </c>
      <c r="C99" s="175" t="s">
        <v>254</v>
      </c>
      <c r="D99" s="187">
        <f>70000+310000</f>
        <v>380000</v>
      </c>
      <c r="E99" s="187">
        <v>70000</v>
      </c>
      <c r="F99" s="169">
        <f t="shared" si="37"/>
        <v>310000</v>
      </c>
      <c r="G99" s="187">
        <v>70000</v>
      </c>
      <c r="H99" s="187"/>
      <c r="I99" s="187">
        <v>1.17</v>
      </c>
      <c r="J99" s="187"/>
      <c r="K99" s="187">
        <f t="shared" si="29"/>
        <v>1.17</v>
      </c>
      <c r="L99" s="187">
        <f t="shared" si="30"/>
        <v>1.17</v>
      </c>
      <c r="M99" s="169">
        <f>P99+S99</f>
        <v>69998.83</v>
      </c>
      <c r="N99" s="187">
        <f>310000-210000</f>
        <v>100000</v>
      </c>
      <c r="O99" s="169">
        <f t="shared" si="38"/>
        <v>210000</v>
      </c>
      <c r="P99" s="169">
        <f t="shared" si="31"/>
        <v>69998.83</v>
      </c>
      <c r="Q99" s="169"/>
      <c r="R99" s="169"/>
      <c r="S99" s="169">
        <f t="shared" si="32"/>
        <v>0</v>
      </c>
      <c r="T99" s="169">
        <f t="shared" si="33"/>
        <v>0</v>
      </c>
      <c r="U99" s="169">
        <f t="shared" si="34"/>
        <v>100000</v>
      </c>
      <c r="V99" s="169">
        <f t="shared" si="35"/>
        <v>100000</v>
      </c>
      <c r="W99" s="171"/>
      <c r="X99" s="169"/>
      <c r="Y99" s="169"/>
      <c r="Z99" s="168"/>
      <c r="AA99" s="659">
        <v>732000</v>
      </c>
      <c r="AB99" s="157"/>
    </row>
    <row r="100" spans="1:1019">
      <c r="A100" s="168">
        <f t="shared" si="36"/>
        <v>89</v>
      </c>
      <c r="B100" s="175">
        <v>1844</v>
      </c>
      <c r="C100" s="175" t="s">
        <v>255</v>
      </c>
      <c r="D100" s="187">
        <v>732000</v>
      </c>
      <c r="E100" s="187">
        <v>732000</v>
      </c>
      <c r="F100" s="169">
        <f t="shared" si="37"/>
        <v>0</v>
      </c>
      <c r="G100" s="187">
        <v>70000</v>
      </c>
      <c r="H100" s="187">
        <v>0</v>
      </c>
      <c r="I100" s="187"/>
      <c r="J100" s="187">
        <v>19171.62</v>
      </c>
      <c r="K100" s="187">
        <f t="shared" si="29"/>
        <v>19171.62</v>
      </c>
      <c r="L100" s="187">
        <f t="shared" si="30"/>
        <v>19171.62</v>
      </c>
      <c r="M100" s="169">
        <f>P100+S100</f>
        <v>50828.380000000005</v>
      </c>
      <c r="N100" s="187">
        <f>250000-150000</f>
        <v>100000</v>
      </c>
      <c r="O100" s="169">
        <f t="shared" si="38"/>
        <v>562000</v>
      </c>
      <c r="P100" s="169">
        <f t="shared" si="31"/>
        <v>50828.380000000005</v>
      </c>
      <c r="Q100" s="169"/>
      <c r="R100" s="169"/>
      <c r="S100" s="169">
        <f t="shared" si="32"/>
        <v>0</v>
      </c>
      <c r="T100" s="169">
        <f t="shared" si="33"/>
        <v>0</v>
      </c>
      <c r="U100" s="169">
        <f t="shared" si="34"/>
        <v>100000</v>
      </c>
      <c r="V100" s="169">
        <f t="shared" si="35"/>
        <v>100000</v>
      </c>
      <c r="W100" s="171"/>
      <c r="X100" s="169"/>
      <c r="Y100" s="169"/>
      <c r="Z100" s="168"/>
      <c r="AA100" s="659">
        <v>732000</v>
      </c>
      <c r="AB100" s="157"/>
    </row>
    <row r="101" spans="1:1019" s="174" customFormat="1">
      <c r="A101" s="173">
        <f>A100</f>
        <v>89</v>
      </c>
      <c r="B101" s="183"/>
      <c r="C101" s="173" t="s">
        <v>558</v>
      </c>
      <c r="D101" s="179">
        <f t="shared" ref="D101:AB101" si="39">SUM(D86:D100)</f>
        <v>24312000</v>
      </c>
      <c r="E101" s="179">
        <f t="shared" si="39"/>
        <v>21952000</v>
      </c>
      <c r="F101" s="179">
        <f t="shared" si="39"/>
        <v>2360000</v>
      </c>
      <c r="G101" s="179">
        <f t="shared" si="39"/>
        <v>11826664</v>
      </c>
      <c r="H101" s="179">
        <f t="shared" si="39"/>
        <v>6380701.0300000012</v>
      </c>
      <c r="I101" s="179">
        <f t="shared" si="39"/>
        <v>1358189.63</v>
      </c>
      <c r="J101" s="179">
        <f t="shared" si="39"/>
        <v>550080.9</v>
      </c>
      <c r="K101" s="179">
        <f t="shared" si="39"/>
        <v>1908270.5300000003</v>
      </c>
      <c r="L101" s="179">
        <f t="shared" si="39"/>
        <v>8288971.5600000005</v>
      </c>
      <c r="M101" s="179">
        <f t="shared" si="39"/>
        <v>2087692.44</v>
      </c>
      <c r="N101" s="628">
        <f t="shared" si="39"/>
        <v>3870000</v>
      </c>
      <c r="O101" s="179">
        <f t="shared" si="39"/>
        <v>10065336</v>
      </c>
      <c r="P101" s="179">
        <f t="shared" si="39"/>
        <v>3537692.44</v>
      </c>
      <c r="Q101" s="179">
        <f t="shared" si="39"/>
        <v>0</v>
      </c>
      <c r="R101" s="179">
        <f t="shared" si="39"/>
        <v>0</v>
      </c>
      <c r="S101" s="179">
        <f t="shared" si="39"/>
        <v>0</v>
      </c>
      <c r="T101" s="179">
        <f t="shared" si="39"/>
        <v>1450000</v>
      </c>
      <c r="U101" s="179">
        <f t="shared" si="39"/>
        <v>2420000</v>
      </c>
      <c r="V101" s="179">
        <f t="shared" si="39"/>
        <v>2420000</v>
      </c>
      <c r="W101" s="166">
        <f t="shared" si="39"/>
        <v>0</v>
      </c>
      <c r="X101" s="179">
        <f>SUM(X86:X100)</f>
        <v>0</v>
      </c>
      <c r="Y101" s="179">
        <f t="shared" si="39"/>
        <v>0</v>
      </c>
      <c r="Z101" s="179">
        <f t="shared" si="39"/>
        <v>0</v>
      </c>
      <c r="AA101" s="180"/>
      <c r="AB101" s="157">
        <f t="shared" si="39"/>
        <v>0</v>
      </c>
      <c r="AC101" s="157"/>
      <c r="AD101" s="157"/>
      <c r="AE101" s="157"/>
      <c r="AME101" s="158"/>
    </row>
    <row r="102" spans="1:1019" ht="15.75">
      <c r="A102" s="189"/>
      <c r="B102" s="625"/>
      <c r="C102" s="190"/>
      <c r="D102" s="190"/>
      <c r="E102" s="189"/>
      <c r="F102" s="189"/>
      <c r="G102" s="189"/>
      <c r="H102" s="189"/>
      <c r="I102" s="189"/>
      <c r="J102" s="189"/>
      <c r="K102" s="189"/>
      <c r="L102" s="189"/>
      <c r="M102" s="189"/>
      <c r="N102" s="625"/>
      <c r="O102" s="189"/>
      <c r="P102" s="189"/>
      <c r="Q102" s="189"/>
      <c r="R102" s="189"/>
      <c r="S102" s="189"/>
      <c r="T102" s="189"/>
      <c r="U102" s="189"/>
      <c r="V102" s="189"/>
      <c r="W102" s="190"/>
      <c r="X102" s="189"/>
      <c r="Y102" s="189"/>
      <c r="Z102" s="189"/>
      <c r="AA102" s="638"/>
      <c r="AB102" s="157"/>
    </row>
    <row r="103" spans="1:1019" s="682" customFormat="1" ht="15.75">
      <c r="A103" s="189">
        <f>A101</f>
        <v>89</v>
      </c>
      <c r="B103" s="625"/>
      <c r="C103" s="190" t="s">
        <v>83</v>
      </c>
      <c r="D103" s="189">
        <f t="shared" ref="D103:Z103" si="40">D58+D83+D101</f>
        <v>726771115</v>
      </c>
      <c r="E103" s="189">
        <f t="shared" si="40"/>
        <v>597414769</v>
      </c>
      <c r="F103" s="189">
        <f t="shared" si="40"/>
        <v>129356346</v>
      </c>
      <c r="G103" s="189">
        <f t="shared" si="40"/>
        <v>347647694</v>
      </c>
      <c r="H103" s="189">
        <f t="shared" si="40"/>
        <v>257406622.65000007</v>
      </c>
      <c r="I103" s="189">
        <f t="shared" si="40"/>
        <v>36404399.939999998</v>
      </c>
      <c r="J103" s="189">
        <f t="shared" si="40"/>
        <v>16005031.029999999</v>
      </c>
      <c r="K103" s="189">
        <f t="shared" si="40"/>
        <v>52409430.969999999</v>
      </c>
      <c r="L103" s="189">
        <f t="shared" si="40"/>
        <v>309816053.62000012</v>
      </c>
      <c r="M103" s="189">
        <f t="shared" si="40"/>
        <v>22043640.379999999</v>
      </c>
      <c r="N103" s="625">
        <f t="shared" si="40"/>
        <v>32930000</v>
      </c>
      <c r="O103" s="189">
        <f t="shared" si="40"/>
        <v>361981421</v>
      </c>
      <c r="P103" s="189">
        <f t="shared" si="40"/>
        <v>37831640.380000003</v>
      </c>
      <c r="Q103" s="189">
        <f t="shared" si="40"/>
        <v>0</v>
      </c>
      <c r="R103" s="189">
        <f t="shared" si="40"/>
        <v>0</v>
      </c>
      <c r="S103" s="189">
        <f t="shared" si="40"/>
        <v>0</v>
      </c>
      <c r="T103" s="189">
        <f t="shared" si="40"/>
        <v>15788000</v>
      </c>
      <c r="U103" s="189">
        <f t="shared" si="40"/>
        <v>17142000</v>
      </c>
      <c r="V103" s="189">
        <f t="shared" si="40"/>
        <v>16653173</v>
      </c>
      <c r="W103" s="189">
        <f t="shared" si="40"/>
        <v>0</v>
      </c>
      <c r="X103" s="189">
        <f t="shared" si="40"/>
        <v>0</v>
      </c>
      <c r="Y103" s="189">
        <f t="shared" si="40"/>
        <v>0</v>
      </c>
      <c r="Z103" s="189">
        <f t="shared" si="40"/>
        <v>488827</v>
      </c>
      <c r="AA103" s="638"/>
      <c r="AB103" s="157"/>
      <c r="AC103" s="157"/>
      <c r="AD103" s="157"/>
      <c r="AE103" s="157"/>
      <c r="AF103" s="681"/>
      <c r="AG103" s="681"/>
      <c r="AH103" s="681"/>
      <c r="AI103" s="681"/>
      <c r="AJ103" s="681"/>
      <c r="AK103" s="681"/>
      <c r="AL103" s="681"/>
      <c r="AM103" s="681"/>
      <c r="AN103" s="681"/>
      <c r="AO103" s="681"/>
      <c r="AP103" s="681"/>
      <c r="AQ103" s="681"/>
      <c r="AR103" s="681"/>
      <c r="AS103" s="681"/>
      <c r="AT103" s="681"/>
      <c r="AU103" s="681"/>
      <c r="AV103" s="681"/>
      <c r="AW103" s="681"/>
      <c r="AX103" s="681"/>
      <c r="AY103" s="681"/>
      <c r="AZ103" s="681"/>
      <c r="BA103" s="681"/>
      <c r="BB103" s="681"/>
      <c r="BC103" s="681"/>
      <c r="BD103" s="681"/>
      <c r="BE103" s="681"/>
      <c r="BF103" s="681"/>
      <c r="BG103" s="681"/>
      <c r="BH103" s="681"/>
      <c r="BI103" s="681"/>
      <c r="BJ103" s="681"/>
      <c r="BK103" s="681"/>
      <c r="BL103" s="681"/>
      <c r="BM103" s="681"/>
      <c r="BN103" s="681"/>
      <c r="BO103" s="681"/>
      <c r="BP103" s="681"/>
      <c r="BQ103" s="681"/>
      <c r="BR103" s="681"/>
      <c r="BS103" s="681"/>
      <c r="BT103" s="681"/>
      <c r="BU103" s="681"/>
      <c r="BV103" s="681"/>
      <c r="BW103" s="681"/>
      <c r="BX103" s="681"/>
      <c r="BY103" s="681"/>
      <c r="BZ103" s="681"/>
      <c r="CA103" s="681"/>
      <c r="CB103" s="681"/>
      <c r="CC103" s="681"/>
      <c r="CD103" s="681"/>
      <c r="CE103" s="681"/>
      <c r="CF103" s="681"/>
      <c r="CG103" s="681"/>
      <c r="CH103" s="681"/>
      <c r="CI103" s="681"/>
      <c r="CJ103" s="681"/>
      <c r="CK103" s="681"/>
      <c r="CL103" s="681"/>
      <c r="CM103" s="681"/>
      <c r="CN103" s="681"/>
      <c r="CO103" s="681"/>
      <c r="CP103" s="681"/>
      <c r="CQ103" s="681"/>
      <c r="CR103" s="681"/>
      <c r="CS103" s="681"/>
      <c r="CT103" s="681"/>
      <c r="CU103" s="681"/>
      <c r="CV103" s="681"/>
      <c r="CW103" s="681"/>
      <c r="CX103" s="681"/>
      <c r="CY103" s="681"/>
      <c r="CZ103" s="681"/>
      <c r="DA103" s="681"/>
      <c r="DB103" s="681"/>
      <c r="DC103" s="681"/>
      <c r="DD103" s="681"/>
      <c r="DE103" s="681"/>
      <c r="DF103" s="681"/>
      <c r="DG103" s="681"/>
      <c r="DH103" s="681"/>
      <c r="DI103" s="681"/>
      <c r="DJ103" s="681"/>
      <c r="DK103" s="681"/>
      <c r="DL103" s="681"/>
      <c r="DM103" s="681"/>
      <c r="DN103" s="681"/>
      <c r="DO103" s="681"/>
      <c r="DP103" s="681"/>
      <c r="DQ103" s="681"/>
      <c r="DR103" s="681"/>
      <c r="DS103" s="681"/>
      <c r="DT103" s="681"/>
      <c r="DU103" s="681"/>
      <c r="DV103" s="681"/>
      <c r="DW103" s="681"/>
      <c r="DX103" s="681"/>
      <c r="DY103" s="681"/>
      <c r="DZ103" s="681"/>
      <c r="EA103" s="681"/>
      <c r="EB103" s="681"/>
      <c r="EC103" s="681"/>
      <c r="ED103" s="681"/>
      <c r="EE103" s="681"/>
      <c r="EF103" s="681"/>
      <c r="EG103" s="681"/>
      <c r="EH103" s="681"/>
      <c r="EI103" s="681"/>
      <c r="EJ103" s="681"/>
      <c r="EK103" s="681"/>
      <c r="EL103" s="681"/>
      <c r="EM103" s="681"/>
      <c r="EN103" s="681"/>
      <c r="EO103" s="681"/>
      <c r="EP103" s="681"/>
      <c r="EQ103" s="681"/>
      <c r="ER103" s="681"/>
      <c r="ES103" s="681"/>
      <c r="ET103" s="681"/>
      <c r="EU103" s="681"/>
      <c r="EV103" s="681"/>
      <c r="EW103" s="681"/>
      <c r="EX103" s="681"/>
      <c r="EY103" s="681"/>
      <c r="EZ103" s="681"/>
      <c r="FA103" s="681"/>
      <c r="FB103" s="681"/>
      <c r="FC103" s="681"/>
      <c r="FD103" s="681"/>
      <c r="FE103" s="681"/>
      <c r="FF103" s="681"/>
      <c r="FG103" s="681"/>
      <c r="FH103" s="681"/>
      <c r="FI103" s="681"/>
      <c r="FJ103" s="681"/>
      <c r="FK103" s="681"/>
      <c r="FL103" s="681"/>
      <c r="FM103" s="681"/>
      <c r="FN103" s="681"/>
      <c r="FO103" s="681"/>
      <c r="FP103" s="681"/>
      <c r="FQ103" s="681"/>
      <c r="FR103" s="681"/>
      <c r="FS103" s="681"/>
      <c r="FT103" s="681"/>
      <c r="FU103" s="681"/>
      <c r="FV103" s="681"/>
      <c r="FW103" s="681"/>
      <c r="FX103" s="681"/>
      <c r="FY103" s="681"/>
      <c r="FZ103" s="681"/>
      <c r="GA103" s="681"/>
      <c r="GB103" s="681"/>
      <c r="GC103" s="681"/>
      <c r="GD103" s="681"/>
      <c r="GE103" s="681"/>
      <c r="GF103" s="681"/>
      <c r="GG103" s="681"/>
      <c r="GH103" s="681"/>
      <c r="GI103" s="681"/>
      <c r="GJ103" s="681"/>
      <c r="GK103" s="681"/>
      <c r="GL103" s="681"/>
      <c r="GM103" s="681"/>
      <c r="GN103" s="681"/>
      <c r="GO103" s="681"/>
      <c r="GP103" s="681"/>
      <c r="GQ103" s="681"/>
      <c r="GR103" s="681"/>
      <c r="GS103" s="681"/>
      <c r="GT103" s="681"/>
      <c r="GU103" s="681"/>
      <c r="GV103" s="681"/>
      <c r="GW103" s="681"/>
      <c r="GX103" s="681"/>
      <c r="GY103" s="681"/>
      <c r="GZ103" s="681"/>
      <c r="HA103" s="681"/>
      <c r="HB103" s="681"/>
      <c r="HC103" s="681"/>
      <c r="HD103" s="681"/>
      <c r="HE103" s="681"/>
      <c r="HF103" s="681"/>
      <c r="HG103" s="681"/>
      <c r="HH103" s="681"/>
      <c r="HI103" s="681"/>
      <c r="HJ103" s="681"/>
      <c r="HK103" s="681"/>
      <c r="HL103" s="681"/>
      <c r="HM103" s="681"/>
      <c r="HN103" s="681"/>
      <c r="HO103" s="681"/>
      <c r="HP103" s="681"/>
      <c r="HQ103" s="681"/>
      <c r="HR103" s="681"/>
      <c r="HS103" s="681"/>
      <c r="HT103" s="681"/>
      <c r="HU103" s="681"/>
      <c r="HV103" s="681"/>
      <c r="HW103" s="681"/>
      <c r="HX103" s="681"/>
      <c r="HY103" s="681"/>
      <c r="HZ103" s="681"/>
      <c r="IA103" s="681"/>
      <c r="IB103" s="681"/>
      <c r="IC103" s="681"/>
      <c r="ID103" s="681"/>
      <c r="IE103" s="681"/>
      <c r="IF103" s="681"/>
      <c r="IG103" s="681"/>
      <c r="IH103" s="681"/>
      <c r="II103" s="681"/>
      <c r="IJ103" s="681"/>
      <c r="IK103" s="681"/>
      <c r="IL103" s="681"/>
      <c r="IM103" s="681"/>
      <c r="IN103" s="681"/>
      <c r="IO103" s="681"/>
      <c r="IP103" s="681"/>
      <c r="IQ103" s="681"/>
      <c r="IR103" s="681"/>
      <c r="IS103" s="681"/>
      <c r="IT103" s="681"/>
      <c r="IU103" s="681"/>
      <c r="IV103" s="681"/>
      <c r="IW103" s="681"/>
      <c r="IX103" s="681"/>
      <c r="IY103" s="681"/>
      <c r="IZ103" s="681"/>
      <c r="JA103" s="681"/>
      <c r="JB103" s="681"/>
      <c r="JC103" s="681"/>
      <c r="JD103" s="681"/>
      <c r="JE103" s="681"/>
      <c r="JF103" s="681"/>
      <c r="JG103" s="681"/>
      <c r="JH103" s="681"/>
      <c r="JI103" s="681"/>
      <c r="JJ103" s="681"/>
      <c r="JK103" s="681"/>
      <c r="JL103" s="681"/>
      <c r="JM103" s="681"/>
      <c r="JN103" s="681"/>
      <c r="JO103" s="681"/>
      <c r="JP103" s="681"/>
      <c r="JQ103" s="681"/>
      <c r="JR103" s="681"/>
      <c r="JS103" s="681"/>
      <c r="JT103" s="681"/>
      <c r="JU103" s="681"/>
      <c r="JV103" s="681"/>
      <c r="JW103" s="681"/>
      <c r="JX103" s="681"/>
      <c r="JY103" s="681"/>
      <c r="JZ103" s="681"/>
      <c r="KA103" s="681"/>
      <c r="KB103" s="681"/>
      <c r="KC103" s="681"/>
      <c r="KD103" s="681"/>
      <c r="KE103" s="681"/>
      <c r="KF103" s="681"/>
      <c r="KG103" s="681"/>
      <c r="KH103" s="681"/>
      <c r="KI103" s="681"/>
      <c r="KJ103" s="681"/>
      <c r="KK103" s="681"/>
      <c r="KL103" s="681"/>
      <c r="KM103" s="681"/>
      <c r="KN103" s="681"/>
      <c r="KO103" s="681"/>
      <c r="KP103" s="681"/>
      <c r="KQ103" s="681"/>
      <c r="KR103" s="681"/>
      <c r="KS103" s="681"/>
      <c r="KT103" s="681"/>
      <c r="KU103" s="681"/>
      <c r="KV103" s="681"/>
      <c r="KW103" s="681"/>
      <c r="KX103" s="681"/>
      <c r="KY103" s="681"/>
      <c r="KZ103" s="681"/>
      <c r="LA103" s="681"/>
      <c r="LB103" s="681"/>
      <c r="LC103" s="681"/>
      <c r="LD103" s="681"/>
      <c r="LE103" s="681"/>
      <c r="LF103" s="681"/>
      <c r="LG103" s="681"/>
      <c r="LH103" s="681"/>
      <c r="LI103" s="681"/>
      <c r="LJ103" s="681"/>
      <c r="LK103" s="681"/>
      <c r="LL103" s="681"/>
      <c r="LM103" s="681"/>
      <c r="LN103" s="681"/>
      <c r="LO103" s="681"/>
      <c r="LP103" s="681"/>
      <c r="LQ103" s="681"/>
      <c r="LR103" s="681"/>
      <c r="LS103" s="681"/>
      <c r="LT103" s="681"/>
      <c r="LU103" s="681"/>
      <c r="LV103" s="681"/>
      <c r="LW103" s="681"/>
      <c r="LX103" s="681"/>
      <c r="LY103" s="681"/>
      <c r="LZ103" s="681"/>
      <c r="MA103" s="681"/>
      <c r="MB103" s="681"/>
      <c r="MC103" s="681"/>
      <c r="MD103" s="681"/>
      <c r="ME103" s="681"/>
      <c r="MF103" s="681"/>
      <c r="MG103" s="681"/>
      <c r="MH103" s="681"/>
      <c r="MI103" s="681"/>
      <c r="MJ103" s="681"/>
      <c r="MK103" s="681"/>
      <c r="ML103" s="681"/>
      <c r="MM103" s="681"/>
      <c r="MN103" s="681"/>
      <c r="MO103" s="681"/>
      <c r="MP103" s="681"/>
      <c r="MQ103" s="681"/>
      <c r="MR103" s="681"/>
      <c r="MS103" s="681"/>
      <c r="MT103" s="681"/>
      <c r="MU103" s="681"/>
      <c r="MV103" s="681"/>
      <c r="MW103" s="681"/>
      <c r="MX103" s="681"/>
      <c r="MY103" s="681"/>
      <c r="MZ103" s="681"/>
      <c r="NA103" s="681"/>
      <c r="NB103" s="681"/>
      <c r="NC103" s="681"/>
      <c r="ND103" s="681"/>
      <c r="NE103" s="681"/>
      <c r="NF103" s="681"/>
      <c r="NG103" s="681"/>
      <c r="NH103" s="681"/>
      <c r="NI103" s="681"/>
      <c r="NJ103" s="681"/>
      <c r="NK103" s="681"/>
      <c r="NL103" s="681"/>
      <c r="NM103" s="681"/>
      <c r="NN103" s="681"/>
      <c r="NO103" s="681"/>
      <c r="NP103" s="681"/>
      <c r="NQ103" s="681"/>
      <c r="NR103" s="681"/>
      <c r="NS103" s="681"/>
      <c r="NT103" s="681"/>
      <c r="NU103" s="681"/>
      <c r="NV103" s="681"/>
      <c r="NW103" s="681"/>
      <c r="NX103" s="681"/>
      <c r="NY103" s="681"/>
      <c r="NZ103" s="681"/>
      <c r="OA103" s="681"/>
      <c r="OB103" s="681"/>
      <c r="OC103" s="681"/>
      <c r="OD103" s="681"/>
      <c r="OE103" s="681"/>
      <c r="OF103" s="681"/>
      <c r="OG103" s="681"/>
      <c r="OH103" s="681"/>
      <c r="OI103" s="681"/>
      <c r="OJ103" s="681"/>
      <c r="OK103" s="681"/>
      <c r="OL103" s="681"/>
      <c r="OM103" s="681"/>
      <c r="ON103" s="681"/>
      <c r="OO103" s="681"/>
      <c r="OP103" s="681"/>
      <c r="OQ103" s="681"/>
      <c r="OR103" s="681"/>
      <c r="OS103" s="681"/>
      <c r="OT103" s="681"/>
      <c r="OU103" s="681"/>
      <c r="OV103" s="681"/>
      <c r="OW103" s="681"/>
      <c r="OX103" s="681"/>
      <c r="OY103" s="681"/>
      <c r="OZ103" s="681"/>
      <c r="PA103" s="681"/>
      <c r="PB103" s="681"/>
      <c r="PC103" s="681"/>
      <c r="PD103" s="681"/>
      <c r="PE103" s="681"/>
      <c r="PF103" s="681"/>
      <c r="PG103" s="681"/>
      <c r="PH103" s="681"/>
      <c r="PI103" s="681"/>
      <c r="PJ103" s="681"/>
      <c r="PK103" s="681"/>
      <c r="PL103" s="681"/>
      <c r="PM103" s="681"/>
      <c r="PN103" s="681"/>
      <c r="PO103" s="681"/>
      <c r="PP103" s="681"/>
      <c r="PQ103" s="681"/>
      <c r="PR103" s="681"/>
      <c r="PS103" s="681"/>
      <c r="PT103" s="681"/>
      <c r="PU103" s="681"/>
      <c r="PV103" s="681"/>
      <c r="PW103" s="681"/>
      <c r="PX103" s="681"/>
      <c r="PY103" s="681"/>
      <c r="PZ103" s="681"/>
      <c r="QA103" s="681"/>
      <c r="QB103" s="681"/>
      <c r="QC103" s="681"/>
      <c r="QD103" s="681"/>
      <c r="QE103" s="681"/>
      <c r="QF103" s="681"/>
      <c r="QG103" s="681"/>
      <c r="QH103" s="681"/>
      <c r="QI103" s="681"/>
      <c r="QJ103" s="681"/>
      <c r="QK103" s="681"/>
      <c r="QL103" s="681"/>
      <c r="QM103" s="681"/>
      <c r="QN103" s="681"/>
      <c r="QO103" s="681"/>
      <c r="QP103" s="681"/>
      <c r="QQ103" s="681"/>
      <c r="QR103" s="681"/>
      <c r="QS103" s="681"/>
      <c r="QT103" s="681"/>
      <c r="QU103" s="681"/>
      <c r="QV103" s="681"/>
      <c r="QW103" s="681"/>
      <c r="QX103" s="681"/>
      <c r="QY103" s="681"/>
      <c r="QZ103" s="681"/>
      <c r="RA103" s="681"/>
      <c r="RB103" s="681"/>
      <c r="RC103" s="681"/>
      <c r="RD103" s="681"/>
      <c r="RE103" s="681"/>
      <c r="RF103" s="681"/>
      <c r="RG103" s="681"/>
      <c r="RH103" s="681"/>
      <c r="RI103" s="681"/>
      <c r="RJ103" s="681"/>
      <c r="RK103" s="681"/>
      <c r="RL103" s="681"/>
      <c r="RM103" s="681"/>
      <c r="RN103" s="681"/>
      <c r="RO103" s="681"/>
      <c r="RP103" s="681"/>
      <c r="RQ103" s="681"/>
      <c r="RR103" s="681"/>
      <c r="RS103" s="681"/>
      <c r="RT103" s="681"/>
      <c r="RU103" s="681"/>
      <c r="RV103" s="681"/>
      <c r="RW103" s="681"/>
      <c r="RX103" s="681"/>
      <c r="RY103" s="681"/>
      <c r="RZ103" s="681"/>
      <c r="SA103" s="681"/>
      <c r="SB103" s="681"/>
      <c r="SC103" s="681"/>
      <c r="SD103" s="681"/>
      <c r="SE103" s="681"/>
      <c r="SF103" s="681"/>
      <c r="SG103" s="681"/>
      <c r="SH103" s="681"/>
      <c r="SI103" s="681"/>
      <c r="SJ103" s="681"/>
      <c r="SK103" s="681"/>
      <c r="SL103" s="681"/>
      <c r="SM103" s="681"/>
      <c r="SN103" s="681"/>
      <c r="SO103" s="681"/>
      <c r="SP103" s="681"/>
      <c r="SQ103" s="681"/>
      <c r="SR103" s="681"/>
      <c r="SS103" s="681"/>
      <c r="ST103" s="681"/>
      <c r="SU103" s="681"/>
      <c r="SV103" s="681"/>
      <c r="SW103" s="681"/>
      <c r="SX103" s="681"/>
      <c r="SY103" s="681"/>
      <c r="SZ103" s="681"/>
      <c r="TA103" s="681"/>
      <c r="TB103" s="681"/>
      <c r="TC103" s="681"/>
      <c r="TD103" s="681"/>
      <c r="TE103" s="681"/>
      <c r="TF103" s="681"/>
      <c r="TG103" s="681"/>
      <c r="TH103" s="681"/>
      <c r="TI103" s="681"/>
      <c r="TJ103" s="681"/>
      <c r="TK103" s="681"/>
      <c r="TL103" s="681"/>
      <c r="TM103" s="681"/>
      <c r="TN103" s="681"/>
      <c r="TO103" s="681"/>
      <c r="TP103" s="681"/>
      <c r="TQ103" s="681"/>
      <c r="TR103" s="681"/>
      <c r="TS103" s="681"/>
      <c r="TT103" s="681"/>
      <c r="TU103" s="681"/>
      <c r="TV103" s="681"/>
      <c r="TW103" s="681"/>
      <c r="TX103" s="681"/>
      <c r="TY103" s="681"/>
      <c r="TZ103" s="681"/>
      <c r="UA103" s="681"/>
      <c r="UB103" s="681"/>
      <c r="UC103" s="681"/>
      <c r="UD103" s="681"/>
      <c r="UE103" s="681"/>
      <c r="UF103" s="681"/>
      <c r="UG103" s="681"/>
      <c r="UH103" s="681"/>
      <c r="UI103" s="681"/>
      <c r="UJ103" s="681"/>
      <c r="UK103" s="681"/>
      <c r="UL103" s="681"/>
      <c r="UM103" s="681"/>
      <c r="UN103" s="681"/>
      <c r="UO103" s="681"/>
      <c r="UP103" s="681"/>
      <c r="UQ103" s="681"/>
      <c r="UR103" s="681"/>
      <c r="US103" s="681"/>
      <c r="UT103" s="681"/>
      <c r="UU103" s="681"/>
      <c r="UV103" s="681"/>
      <c r="UW103" s="681"/>
      <c r="UX103" s="681"/>
      <c r="UY103" s="681"/>
      <c r="UZ103" s="681"/>
      <c r="VA103" s="681"/>
      <c r="VB103" s="681"/>
      <c r="VC103" s="681"/>
      <c r="VD103" s="681"/>
      <c r="VE103" s="681"/>
      <c r="VF103" s="681"/>
      <c r="VG103" s="681"/>
      <c r="VH103" s="681"/>
      <c r="VI103" s="681"/>
      <c r="VJ103" s="681"/>
      <c r="VK103" s="681"/>
      <c r="VL103" s="681"/>
      <c r="VM103" s="681"/>
      <c r="VN103" s="681"/>
      <c r="VO103" s="681"/>
      <c r="VP103" s="681"/>
      <c r="VQ103" s="681"/>
      <c r="VR103" s="681"/>
      <c r="VS103" s="681"/>
      <c r="VT103" s="681"/>
      <c r="VU103" s="681"/>
      <c r="VV103" s="681"/>
      <c r="VW103" s="681"/>
      <c r="VX103" s="681"/>
      <c r="VY103" s="681"/>
      <c r="VZ103" s="681"/>
      <c r="WA103" s="681"/>
      <c r="WB103" s="681"/>
      <c r="WC103" s="681"/>
      <c r="WD103" s="681"/>
      <c r="WE103" s="681"/>
      <c r="WF103" s="681"/>
      <c r="WG103" s="681"/>
      <c r="WH103" s="681"/>
      <c r="WI103" s="681"/>
      <c r="WJ103" s="681"/>
      <c r="WK103" s="681"/>
      <c r="WL103" s="681"/>
      <c r="WM103" s="681"/>
      <c r="WN103" s="681"/>
      <c r="WO103" s="681"/>
      <c r="WP103" s="681"/>
      <c r="WQ103" s="681"/>
      <c r="WR103" s="681"/>
      <c r="WS103" s="681"/>
      <c r="WT103" s="681"/>
      <c r="WU103" s="681"/>
      <c r="WV103" s="681"/>
      <c r="WW103" s="681"/>
      <c r="WX103" s="681"/>
      <c r="WY103" s="681"/>
      <c r="WZ103" s="681"/>
      <c r="XA103" s="681"/>
      <c r="XB103" s="681"/>
      <c r="XC103" s="681"/>
      <c r="XD103" s="681"/>
      <c r="XE103" s="681"/>
      <c r="XF103" s="681"/>
      <c r="XG103" s="681"/>
      <c r="XH103" s="681"/>
      <c r="XI103" s="681"/>
      <c r="XJ103" s="681"/>
      <c r="XK103" s="681"/>
      <c r="XL103" s="681"/>
      <c r="XM103" s="681"/>
      <c r="XN103" s="681"/>
      <c r="XO103" s="681"/>
      <c r="XP103" s="681"/>
      <c r="XQ103" s="681"/>
      <c r="XR103" s="681"/>
      <c r="XS103" s="681"/>
      <c r="XT103" s="681"/>
      <c r="XU103" s="681"/>
      <c r="XV103" s="681"/>
      <c r="XW103" s="681"/>
      <c r="XX103" s="681"/>
      <c r="XY103" s="681"/>
      <c r="XZ103" s="681"/>
      <c r="YA103" s="681"/>
      <c r="YB103" s="681"/>
      <c r="YC103" s="681"/>
      <c r="YD103" s="681"/>
      <c r="YE103" s="681"/>
      <c r="YF103" s="681"/>
      <c r="YG103" s="681"/>
      <c r="YH103" s="681"/>
      <c r="YI103" s="681"/>
      <c r="YJ103" s="681"/>
      <c r="YK103" s="681"/>
      <c r="YL103" s="681"/>
      <c r="YM103" s="681"/>
      <c r="YN103" s="681"/>
      <c r="YO103" s="681"/>
      <c r="YP103" s="681"/>
      <c r="YQ103" s="681"/>
      <c r="YR103" s="681"/>
      <c r="YS103" s="681"/>
      <c r="YT103" s="681"/>
      <c r="YU103" s="681"/>
      <c r="YV103" s="681"/>
      <c r="YW103" s="681"/>
      <c r="YX103" s="681"/>
      <c r="YY103" s="681"/>
      <c r="YZ103" s="681"/>
      <c r="ZA103" s="681"/>
      <c r="ZB103" s="681"/>
      <c r="ZC103" s="681"/>
      <c r="ZD103" s="681"/>
      <c r="ZE103" s="681"/>
      <c r="ZF103" s="681"/>
      <c r="ZG103" s="681"/>
      <c r="ZH103" s="681"/>
      <c r="ZI103" s="681"/>
      <c r="ZJ103" s="681"/>
      <c r="ZK103" s="681"/>
      <c r="ZL103" s="681"/>
      <c r="ZM103" s="681"/>
      <c r="ZN103" s="681"/>
      <c r="ZO103" s="681"/>
      <c r="ZP103" s="681"/>
      <c r="ZQ103" s="681"/>
      <c r="ZR103" s="681"/>
      <c r="ZS103" s="681"/>
      <c r="ZT103" s="681"/>
      <c r="ZU103" s="681"/>
      <c r="ZV103" s="681"/>
      <c r="ZW103" s="681"/>
      <c r="ZX103" s="681"/>
      <c r="ZY103" s="681"/>
      <c r="ZZ103" s="681"/>
      <c r="AAA103" s="681"/>
      <c r="AAB103" s="681"/>
      <c r="AAC103" s="681"/>
      <c r="AAD103" s="681"/>
      <c r="AAE103" s="681"/>
      <c r="AAF103" s="681"/>
      <c r="AAG103" s="681"/>
      <c r="AAH103" s="681"/>
      <c r="AAI103" s="681"/>
      <c r="AAJ103" s="681"/>
      <c r="AAK103" s="681"/>
      <c r="AAL103" s="681"/>
      <c r="AAM103" s="681"/>
      <c r="AAN103" s="681"/>
      <c r="AAO103" s="681"/>
      <c r="AAP103" s="681"/>
      <c r="AAQ103" s="681"/>
      <c r="AAR103" s="681"/>
      <c r="AAS103" s="681"/>
      <c r="AAT103" s="681"/>
      <c r="AAU103" s="681"/>
      <c r="AAV103" s="681"/>
      <c r="AAW103" s="681"/>
      <c r="AAX103" s="681"/>
      <c r="AAY103" s="681"/>
      <c r="AAZ103" s="681"/>
      <c r="ABA103" s="681"/>
      <c r="ABB103" s="681"/>
      <c r="ABC103" s="681"/>
      <c r="ABD103" s="681"/>
      <c r="ABE103" s="681"/>
      <c r="ABF103" s="681"/>
      <c r="ABG103" s="681"/>
      <c r="ABH103" s="681"/>
      <c r="ABI103" s="681"/>
      <c r="ABJ103" s="681"/>
      <c r="ABK103" s="681"/>
      <c r="ABL103" s="681"/>
      <c r="ABM103" s="681"/>
      <c r="ABN103" s="681"/>
      <c r="ABO103" s="681"/>
      <c r="ABP103" s="681"/>
      <c r="ABQ103" s="681"/>
      <c r="ABR103" s="681"/>
      <c r="ABS103" s="681"/>
      <c r="ABT103" s="681"/>
      <c r="ABU103" s="681"/>
      <c r="ABV103" s="681"/>
      <c r="ABW103" s="681"/>
      <c r="ABX103" s="681"/>
      <c r="ABY103" s="681"/>
      <c r="ABZ103" s="681"/>
      <c r="ACA103" s="681"/>
      <c r="ACB103" s="681"/>
      <c r="ACC103" s="681"/>
      <c r="ACD103" s="681"/>
      <c r="ACE103" s="681"/>
      <c r="ACF103" s="681"/>
      <c r="ACG103" s="681"/>
      <c r="ACH103" s="681"/>
      <c r="ACI103" s="681"/>
      <c r="ACJ103" s="681"/>
      <c r="ACK103" s="681"/>
      <c r="ACL103" s="681"/>
      <c r="ACM103" s="681"/>
      <c r="ACN103" s="681"/>
      <c r="ACO103" s="681"/>
      <c r="ACP103" s="681"/>
      <c r="ACQ103" s="681"/>
      <c r="ACR103" s="681"/>
      <c r="ACS103" s="681"/>
      <c r="ACT103" s="681"/>
      <c r="ACU103" s="681"/>
      <c r="ACV103" s="681"/>
      <c r="ACW103" s="681"/>
      <c r="ACX103" s="681"/>
      <c r="ACY103" s="681"/>
      <c r="ACZ103" s="681"/>
      <c r="ADA103" s="681"/>
      <c r="ADB103" s="681"/>
      <c r="ADC103" s="681"/>
      <c r="ADD103" s="681"/>
      <c r="ADE103" s="681"/>
      <c r="ADF103" s="681"/>
      <c r="ADG103" s="681"/>
      <c r="ADH103" s="681"/>
      <c r="ADI103" s="681"/>
      <c r="ADJ103" s="681"/>
      <c r="ADK103" s="681"/>
      <c r="ADL103" s="681"/>
      <c r="ADM103" s="681"/>
      <c r="ADN103" s="681"/>
      <c r="ADO103" s="681"/>
      <c r="ADP103" s="681"/>
      <c r="ADQ103" s="681"/>
      <c r="ADR103" s="681"/>
      <c r="ADS103" s="681"/>
      <c r="ADT103" s="681"/>
      <c r="ADU103" s="681"/>
      <c r="ADV103" s="681"/>
      <c r="ADW103" s="681"/>
      <c r="ADX103" s="681"/>
      <c r="ADY103" s="681"/>
      <c r="ADZ103" s="681"/>
      <c r="AEA103" s="681"/>
      <c r="AEB103" s="681"/>
      <c r="AEC103" s="681"/>
      <c r="AED103" s="681"/>
      <c r="AEE103" s="681"/>
      <c r="AEF103" s="681"/>
      <c r="AEG103" s="681"/>
      <c r="AEH103" s="681"/>
      <c r="AEI103" s="681"/>
      <c r="AEJ103" s="681"/>
      <c r="AEK103" s="681"/>
      <c r="AEL103" s="681"/>
      <c r="AEM103" s="681"/>
      <c r="AEN103" s="681"/>
      <c r="AEO103" s="681"/>
      <c r="AEP103" s="681"/>
      <c r="AEQ103" s="681"/>
      <c r="AER103" s="681"/>
      <c r="AES103" s="681"/>
      <c r="AET103" s="681"/>
      <c r="AEU103" s="681"/>
      <c r="AEV103" s="681"/>
      <c r="AEW103" s="681"/>
      <c r="AEX103" s="681"/>
      <c r="AEY103" s="681"/>
      <c r="AEZ103" s="681"/>
      <c r="AFA103" s="681"/>
      <c r="AFB103" s="681"/>
      <c r="AFC103" s="681"/>
      <c r="AFD103" s="681"/>
      <c r="AFE103" s="681"/>
      <c r="AFF103" s="681"/>
      <c r="AFG103" s="681"/>
      <c r="AFH103" s="681"/>
      <c r="AFI103" s="681"/>
      <c r="AFJ103" s="681"/>
      <c r="AFK103" s="681"/>
      <c r="AFL103" s="681"/>
      <c r="AFM103" s="681"/>
      <c r="AFN103" s="681"/>
      <c r="AFO103" s="681"/>
      <c r="AFP103" s="681"/>
      <c r="AFQ103" s="681"/>
      <c r="AFR103" s="681"/>
      <c r="AFS103" s="681"/>
      <c r="AFT103" s="681"/>
      <c r="AFU103" s="681"/>
      <c r="AFV103" s="681"/>
      <c r="AFW103" s="681"/>
      <c r="AFX103" s="681"/>
      <c r="AFY103" s="681"/>
      <c r="AFZ103" s="681"/>
      <c r="AGA103" s="681"/>
      <c r="AGB103" s="681"/>
      <c r="AGC103" s="681"/>
      <c r="AGD103" s="681"/>
      <c r="AGE103" s="681"/>
      <c r="AGF103" s="681"/>
      <c r="AGG103" s="681"/>
      <c r="AGH103" s="681"/>
      <c r="AGI103" s="681"/>
      <c r="AGJ103" s="681"/>
      <c r="AGK103" s="681"/>
      <c r="AGL103" s="681"/>
      <c r="AGM103" s="681"/>
      <c r="AGN103" s="681"/>
      <c r="AGO103" s="681"/>
      <c r="AGP103" s="681"/>
      <c r="AGQ103" s="681"/>
      <c r="AGR103" s="681"/>
      <c r="AGS103" s="681"/>
      <c r="AGT103" s="681"/>
      <c r="AGU103" s="681"/>
      <c r="AGV103" s="681"/>
      <c r="AGW103" s="681"/>
      <c r="AGX103" s="681"/>
      <c r="AGY103" s="681"/>
      <c r="AGZ103" s="681"/>
      <c r="AHA103" s="681"/>
      <c r="AHB103" s="681"/>
      <c r="AHC103" s="681"/>
      <c r="AHD103" s="681"/>
      <c r="AHE103" s="681"/>
      <c r="AHF103" s="681"/>
      <c r="AHG103" s="681"/>
      <c r="AHH103" s="681"/>
      <c r="AHI103" s="681"/>
      <c r="AHJ103" s="681"/>
      <c r="AHK103" s="681"/>
      <c r="AHL103" s="681"/>
      <c r="AHM103" s="681"/>
      <c r="AHN103" s="681"/>
      <c r="AHO103" s="681"/>
      <c r="AHP103" s="681"/>
      <c r="AHQ103" s="681"/>
      <c r="AHR103" s="681"/>
      <c r="AHS103" s="681"/>
      <c r="AHT103" s="681"/>
      <c r="AHU103" s="681"/>
      <c r="AHV103" s="681"/>
      <c r="AHW103" s="681"/>
      <c r="AHX103" s="681"/>
      <c r="AHY103" s="681"/>
      <c r="AHZ103" s="681"/>
      <c r="AIA103" s="681"/>
      <c r="AIB103" s="681"/>
      <c r="AIC103" s="681"/>
      <c r="AID103" s="681"/>
      <c r="AIE103" s="681"/>
      <c r="AIF103" s="681"/>
      <c r="AIG103" s="681"/>
      <c r="AIH103" s="681"/>
      <c r="AII103" s="681"/>
      <c r="AIJ103" s="681"/>
      <c r="AIK103" s="681"/>
      <c r="AIL103" s="681"/>
      <c r="AIM103" s="681"/>
      <c r="AIN103" s="681"/>
      <c r="AIO103" s="681"/>
      <c r="AIP103" s="681"/>
      <c r="AIQ103" s="681"/>
      <c r="AIR103" s="681"/>
      <c r="AIS103" s="681"/>
      <c r="AIT103" s="681"/>
      <c r="AIU103" s="681"/>
      <c r="AIV103" s="681"/>
      <c r="AIW103" s="681"/>
      <c r="AIX103" s="681"/>
      <c r="AIY103" s="681"/>
      <c r="AIZ103" s="681"/>
      <c r="AJA103" s="681"/>
      <c r="AJB103" s="681"/>
      <c r="AJC103" s="681"/>
      <c r="AJD103" s="681"/>
      <c r="AJE103" s="681"/>
      <c r="AJF103" s="681"/>
      <c r="AJG103" s="681"/>
      <c r="AJH103" s="681"/>
      <c r="AJI103" s="681"/>
      <c r="AJJ103" s="681"/>
      <c r="AJK103" s="681"/>
      <c r="AJL103" s="681"/>
      <c r="AJM103" s="681"/>
      <c r="AJN103" s="681"/>
      <c r="AJO103" s="681"/>
      <c r="AJP103" s="681"/>
      <c r="AJQ103" s="681"/>
      <c r="AJR103" s="681"/>
      <c r="AJS103" s="681"/>
      <c r="AJT103" s="681"/>
      <c r="AJU103" s="681"/>
      <c r="AJV103" s="681"/>
      <c r="AJW103" s="681"/>
      <c r="AJX103" s="681"/>
      <c r="AJY103" s="681"/>
      <c r="AJZ103" s="681"/>
      <c r="AKA103" s="681"/>
      <c r="AKB103" s="681"/>
      <c r="AKC103" s="681"/>
      <c r="AKD103" s="681"/>
      <c r="AKE103" s="681"/>
      <c r="AKF103" s="681"/>
      <c r="AKG103" s="681"/>
      <c r="AKH103" s="681"/>
      <c r="AKI103" s="681"/>
      <c r="AKJ103" s="681"/>
      <c r="AKK103" s="681"/>
      <c r="AKL103" s="681"/>
      <c r="AKM103" s="681"/>
      <c r="AKN103" s="681"/>
      <c r="AKO103" s="681"/>
      <c r="AKP103" s="681"/>
      <c r="AKQ103" s="681"/>
      <c r="AKR103" s="681"/>
      <c r="AKS103" s="681"/>
      <c r="AKT103" s="681"/>
      <c r="AKU103" s="681"/>
      <c r="AKV103" s="681"/>
      <c r="AKW103" s="681"/>
      <c r="AKX103" s="681"/>
      <c r="AKY103" s="681"/>
      <c r="AKZ103" s="681"/>
      <c r="ALA103" s="681"/>
      <c r="ALB103" s="681"/>
      <c r="ALC103" s="681"/>
      <c r="ALD103" s="681"/>
      <c r="ALE103" s="681"/>
      <c r="ALF103" s="681"/>
      <c r="ALG103" s="681"/>
      <c r="ALH103" s="681"/>
      <c r="ALI103" s="681"/>
      <c r="ALJ103" s="681"/>
      <c r="ALK103" s="681"/>
      <c r="ALL103" s="681"/>
      <c r="ALM103" s="681"/>
      <c r="ALN103" s="681"/>
      <c r="ALO103" s="681"/>
      <c r="ALP103" s="681"/>
      <c r="ALQ103" s="681"/>
      <c r="ALR103" s="681"/>
      <c r="ALS103" s="681"/>
      <c r="ALT103" s="681"/>
      <c r="ALU103" s="681"/>
      <c r="ALV103" s="681"/>
      <c r="ALW103" s="681"/>
      <c r="ALX103" s="681"/>
      <c r="ALY103" s="681"/>
      <c r="ALZ103" s="681"/>
      <c r="AMA103" s="681"/>
      <c r="AMB103" s="681"/>
      <c r="AMC103" s="681"/>
      <c r="AMD103" s="681"/>
    </row>
    <row r="104" spans="1:1019" s="161" customFormat="1" ht="15.75">
      <c r="A104" s="189"/>
      <c r="B104" s="625"/>
      <c r="C104" s="190"/>
      <c r="D104" s="190"/>
      <c r="E104" s="189"/>
      <c r="F104" s="189"/>
      <c r="G104" s="189"/>
      <c r="H104" s="189"/>
      <c r="I104" s="189"/>
      <c r="J104" s="189"/>
      <c r="K104" s="189"/>
      <c r="L104" s="189"/>
      <c r="M104" s="189"/>
      <c r="N104" s="625"/>
      <c r="O104" s="189"/>
      <c r="P104" s="189"/>
      <c r="Q104" s="189"/>
      <c r="R104" s="189"/>
      <c r="S104" s="189"/>
      <c r="T104" s="189"/>
      <c r="U104" s="189"/>
      <c r="V104" s="189"/>
      <c r="W104" s="190"/>
      <c r="X104" s="189"/>
      <c r="Y104" s="189"/>
      <c r="Z104" s="189"/>
      <c r="AA104" s="638"/>
      <c r="AB104" s="157"/>
      <c r="AC104" s="157"/>
      <c r="AD104" s="157"/>
      <c r="AE104" s="157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0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  <c r="EJ104" s="160"/>
      <c r="EK104" s="160"/>
      <c r="EL104" s="160"/>
      <c r="EM104" s="160"/>
      <c r="EN104" s="160"/>
      <c r="EO104" s="160"/>
      <c r="EP104" s="160"/>
      <c r="EQ104" s="160"/>
      <c r="ER104" s="160"/>
      <c r="ES104" s="160"/>
      <c r="ET104" s="160"/>
      <c r="EU104" s="160"/>
      <c r="EV104" s="160"/>
      <c r="EW104" s="160"/>
      <c r="EX104" s="160"/>
      <c r="EY104" s="160"/>
      <c r="EZ104" s="160"/>
      <c r="FA104" s="160"/>
      <c r="FB104" s="160"/>
      <c r="FC104" s="160"/>
      <c r="FD104" s="160"/>
      <c r="FE104" s="160"/>
      <c r="FF104" s="160"/>
      <c r="FG104" s="160"/>
      <c r="FH104" s="160"/>
      <c r="FI104" s="160"/>
      <c r="FJ104" s="160"/>
      <c r="FK104" s="160"/>
      <c r="FL104" s="160"/>
      <c r="FM104" s="160"/>
      <c r="FN104" s="160"/>
      <c r="FO104" s="160"/>
      <c r="FP104" s="160"/>
      <c r="FQ104" s="160"/>
      <c r="FR104" s="160"/>
      <c r="FS104" s="160"/>
      <c r="FT104" s="160"/>
      <c r="FU104" s="160"/>
      <c r="FV104" s="160"/>
      <c r="FW104" s="160"/>
      <c r="FX104" s="160"/>
      <c r="FY104" s="160"/>
      <c r="FZ104" s="160"/>
      <c r="GA104" s="160"/>
      <c r="GB104" s="160"/>
      <c r="GC104" s="160"/>
      <c r="GD104" s="160"/>
      <c r="GE104" s="160"/>
      <c r="GF104" s="160"/>
      <c r="GG104" s="160"/>
      <c r="GH104" s="160"/>
      <c r="GI104" s="160"/>
      <c r="GJ104" s="160"/>
      <c r="GK104" s="160"/>
      <c r="GL104" s="160"/>
      <c r="GM104" s="160"/>
      <c r="GN104" s="160"/>
      <c r="GO104" s="160"/>
      <c r="GP104" s="160"/>
      <c r="GQ104" s="160"/>
      <c r="GR104" s="160"/>
      <c r="GS104" s="160"/>
      <c r="GT104" s="160"/>
      <c r="GU104" s="160"/>
      <c r="GV104" s="160"/>
      <c r="GW104" s="160"/>
      <c r="GX104" s="160"/>
      <c r="GY104" s="160"/>
      <c r="GZ104" s="160"/>
      <c r="HA104" s="160"/>
      <c r="HB104" s="160"/>
      <c r="HC104" s="160"/>
      <c r="HD104" s="160"/>
      <c r="HE104" s="160"/>
      <c r="HF104" s="160"/>
      <c r="HG104" s="160"/>
      <c r="HH104" s="160"/>
      <c r="HI104" s="160"/>
      <c r="HJ104" s="160"/>
      <c r="HK104" s="160"/>
      <c r="HL104" s="160"/>
      <c r="HM104" s="160"/>
      <c r="HN104" s="160"/>
      <c r="HO104" s="160"/>
      <c r="HP104" s="160"/>
      <c r="HQ104" s="160"/>
      <c r="HR104" s="160"/>
      <c r="HS104" s="160"/>
      <c r="HT104" s="160"/>
      <c r="HU104" s="160"/>
      <c r="HV104" s="160"/>
      <c r="HW104" s="160"/>
      <c r="HX104" s="160"/>
      <c r="HY104" s="160"/>
      <c r="HZ104" s="160"/>
      <c r="IA104" s="160"/>
      <c r="IB104" s="160"/>
      <c r="IC104" s="160"/>
      <c r="ID104" s="160"/>
      <c r="IE104" s="160"/>
      <c r="IF104" s="160"/>
      <c r="IG104" s="160"/>
      <c r="IH104" s="160"/>
      <c r="II104" s="160"/>
      <c r="IJ104" s="160"/>
      <c r="IK104" s="160"/>
      <c r="IL104" s="160"/>
      <c r="IM104" s="160"/>
      <c r="IN104" s="160"/>
      <c r="IO104" s="160"/>
      <c r="IP104" s="160"/>
      <c r="IQ104" s="160"/>
      <c r="IR104" s="160"/>
      <c r="IS104" s="160"/>
      <c r="IT104" s="160"/>
      <c r="IU104" s="160"/>
      <c r="IV104" s="160"/>
      <c r="IW104" s="160"/>
      <c r="IX104" s="160"/>
      <c r="IY104" s="160"/>
      <c r="IZ104" s="160"/>
      <c r="JA104" s="160"/>
      <c r="JB104" s="160"/>
      <c r="JC104" s="160"/>
      <c r="JD104" s="160"/>
      <c r="JE104" s="160"/>
      <c r="JF104" s="160"/>
      <c r="JG104" s="160"/>
      <c r="JH104" s="160"/>
      <c r="JI104" s="160"/>
      <c r="JJ104" s="160"/>
      <c r="JK104" s="160"/>
      <c r="JL104" s="160"/>
      <c r="JM104" s="160"/>
      <c r="JN104" s="160"/>
      <c r="JO104" s="160"/>
      <c r="JP104" s="160"/>
      <c r="JQ104" s="160"/>
      <c r="JR104" s="160"/>
      <c r="JS104" s="160"/>
      <c r="JT104" s="160"/>
      <c r="JU104" s="160"/>
      <c r="JV104" s="160"/>
      <c r="JW104" s="160"/>
      <c r="JX104" s="160"/>
      <c r="JY104" s="160"/>
      <c r="JZ104" s="160"/>
      <c r="KA104" s="160"/>
      <c r="KB104" s="160"/>
      <c r="KC104" s="160"/>
      <c r="KD104" s="160"/>
      <c r="KE104" s="160"/>
      <c r="KF104" s="160"/>
      <c r="KG104" s="160"/>
      <c r="KH104" s="160"/>
      <c r="KI104" s="160"/>
      <c r="KJ104" s="160"/>
      <c r="KK104" s="160"/>
      <c r="KL104" s="160"/>
      <c r="KM104" s="160"/>
      <c r="KN104" s="160"/>
      <c r="KO104" s="160"/>
      <c r="KP104" s="160"/>
      <c r="KQ104" s="160"/>
      <c r="KR104" s="160"/>
      <c r="KS104" s="160"/>
      <c r="KT104" s="160"/>
      <c r="KU104" s="160"/>
      <c r="KV104" s="160"/>
      <c r="KW104" s="160"/>
      <c r="KX104" s="160"/>
      <c r="KY104" s="160"/>
      <c r="KZ104" s="160"/>
      <c r="LA104" s="160"/>
      <c r="LB104" s="160"/>
      <c r="LC104" s="160"/>
      <c r="LD104" s="160"/>
      <c r="LE104" s="160"/>
      <c r="LF104" s="160"/>
      <c r="LG104" s="160"/>
      <c r="LH104" s="160"/>
      <c r="LI104" s="160"/>
      <c r="LJ104" s="160"/>
      <c r="LK104" s="160"/>
      <c r="LL104" s="160"/>
      <c r="LM104" s="160"/>
      <c r="LN104" s="160"/>
      <c r="LO104" s="160"/>
      <c r="LP104" s="160"/>
      <c r="LQ104" s="160"/>
      <c r="LR104" s="160"/>
      <c r="LS104" s="160"/>
      <c r="LT104" s="160"/>
      <c r="LU104" s="160"/>
      <c r="LV104" s="160"/>
      <c r="LW104" s="160"/>
      <c r="LX104" s="160"/>
      <c r="LY104" s="160"/>
      <c r="LZ104" s="160"/>
      <c r="MA104" s="160"/>
      <c r="MB104" s="160"/>
      <c r="MC104" s="160"/>
      <c r="MD104" s="160"/>
      <c r="ME104" s="160"/>
      <c r="MF104" s="160"/>
      <c r="MG104" s="160"/>
      <c r="MH104" s="160"/>
      <c r="MI104" s="160"/>
      <c r="MJ104" s="160"/>
      <c r="MK104" s="160"/>
      <c r="ML104" s="160"/>
      <c r="MM104" s="160"/>
      <c r="MN104" s="160"/>
      <c r="MO104" s="160"/>
      <c r="MP104" s="160"/>
      <c r="MQ104" s="160"/>
      <c r="MR104" s="160"/>
      <c r="MS104" s="160"/>
      <c r="MT104" s="160"/>
      <c r="MU104" s="160"/>
      <c r="MV104" s="160"/>
      <c r="MW104" s="160"/>
      <c r="MX104" s="160"/>
      <c r="MY104" s="160"/>
      <c r="MZ104" s="160"/>
      <c r="NA104" s="160"/>
      <c r="NB104" s="160"/>
      <c r="NC104" s="160"/>
      <c r="ND104" s="160"/>
      <c r="NE104" s="160"/>
      <c r="NF104" s="160"/>
      <c r="NG104" s="160"/>
      <c r="NH104" s="160"/>
      <c r="NI104" s="160"/>
      <c r="NJ104" s="160"/>
      <c r="NK104" s="160"/>
      <c r="NL104" s="160"/>
      <c r="NM104" s="160"/>
      <c r="NN104" s="160"/>
      <c r="NO104" s="160"/>
      <c r="NP104" s="160"/>
      <c r="NQ104" s="160"/>
      <c r="NR104" s="160"/>
      <c r="NS104" s="160"/>
      <c r="NT104" s="160"/>
      <c r="NU104" s="160"/>
      <c r="NV104" s="160"/>
      <c r="NW104" s="160"/>
      <c r="NX104" s="160"/>
      <c r="NY104" s="160"/>
      <c r="NZ104" s="160"/>
      <c r="OA104" s="160"/>
      <c r="OB104" s="160"/>
      <c r="OC104" s="160"/>
      <c r="OD104" s="160"/>
      <c r="OE104" s="160"/>
      <c r="OF104" s="160"/>
      <c r="OG104" s="160"/>
      <c r="OH104" s="160"/>
      <c r="OI104" s="160"/>
      <c r="OJ104" s="160"/>
      <c r="OK104" s="160"/>
      <c r="OL104" s="160"/>
      <c r="OM104" s="160"/>
      <c r="ON104" s="160"/>
      <c r="OO104" s="160"/>
      <c r="OP104" s="160"/>
      <c r="OQ104" s="160"/>
      <c r="OR104" s="160"/>
      <c r="OS104" s="160"/>
      <c r="OT104" s="160"/>
      <c r="OU104" s="160"/>
      <c r="OV104" s="160"/>
      <c r="OW104" s="160"/>
      <c r="OX104" s="160"/>
      <c r="OY104" s="160"/>
      <c r="OZ104" s="160"/>
      <c r="PA104" s="160"/>
      <c r="PB104" s="160"/>
      <c r="PC104" s="160"/>
      <c r="PD104" s="160"/>
      <c r="PE104" s="160"/>
      <c r="PF104" s="160"/>
      <c r="PG104" s="160"/>
      <c r="PH104" s="160"/>
      <c r="PI104" s="160"/>
      <c r="PJ104" s="160"/>
      <c r="PK104" s="160"/>
      <c r="PL104" s="160"/>
      <c r="PM104" s="160"/>
      <c r="PN104" s="160"/>
      <c r="PO104" s="160"/>
      <c r="PP104" s="160"/>
      <c r="PQ104" s="160"/>
      <c r="PR104" s="160"/>
      <c r="PS104" s="160"/>
      <c r="PT104" s="160"/>
      <c r="PU104" s="160"/>
      <c r="PV104" s="160"/>
      <c r="PW104" s="160"/>
      <c r="PX104" s="160"/>
      <c r="PY104" s="160"/>
      <c r="PZ104" s="160"/>
      <c r="QA104" s="160"/>
      <c r="QB104" s="160"/>
      <c r="QC104" s="160"/>
      <c r="QD104" s="160"/>
      <c r="QE104" s="160"/>
      <c r="QF104" s="160"/>
      <c r="QG104" s="160"/>
      <c r="QH104" s="160"/>
      <c r="QI104" s="160"/>
      <c r="QJ104" s="160"/>
      <c r="QK104" s="160"/>
      <c r="QL104" s="160"/>
      <c r="QM104" s="160"/>
      <c r="QN104" s="160"/>
      <c r="QO104" s="160"/>
      <c r="QP104" s="160"/>
      <c r="QQ104" s="160"/>
      <c r="QR104" s="160"/>
      <c r="QS104" s="160"/>
      <c r="QT104" s="160"/>
      <c r="QU104" s="160"/>
      <c r="QV104" s="160"/>
      <c r="QW104" s="160"/>
      <c r="QX104" s="160"/>
      <c r="QY104" s="160"/>
      <c r="QZ104" s="160"/>
      <c r="RA104" s="160"/>
      <c r="RB104" s="160"/>
      <c r="RC104" s="160"/>
      <c r="RD104" s="160"/>
      <c r="RE104" s="160"/>
      <c r="RF104" s="160"/>
      <c r="RG104" s="160"/>
      <c r="RH104" s="160"/>
      <c r="RI104" s="160"/>
      <c r="RJ104" s="160"/>
      <c r="RK104" s="160"/>
      <c r="RL104" s="160"/>
      <c r="RM104" s="160"/>
      <c r="RN104" s="160"/>
      <c r="RO104" s="160"/>
      <c r="RP104" s="160"/>
      <c r="RQ104" s="160"/>
      <c r="RR104" s="160"/>
      <c r="RS104" s="160"/>
      <c r="RT104" s="160"/>
      <c r="RU104" s="160"/>
      <c r="RV104" s="160"/>
      <c r="RW104" s="160"/>
      <c r="RX104" s="160"/>
      <c r="RY104" s="160"/>
      <c r="RZ104" s="160"/>
      <c r="SA104" s="160"/>
      <c r="SB104" s="160"/>
      <c r="SC104" s="160"/>
      <c r="SD104" s="160"/>
      <c r="SE104" s="160"/>
      <c r="SF104" s="160"/>
      <c r="SG104" s="160"/>
      <c r="SH104" s="160"/>
      <c r="SI104" s="160"/>
      <c r="SJ104" s="160"/>
      <c r="SK104" s="160"/>
      <c r="SL104" s="160"/>
      <c r="SM104" s="160"/>
      <c r="SN104" s="160"/>
      <c r="SO104" s="160"/>
      <c r="SP104" s="160"/>
      <c r="SQ104" s="160"/>
      <c r="SR104" s="160"/>
      <c r="SS104" s="160"/>
      <c r="ST104" s="160"/>
      <c r="SU104" s="160"/>
      <c r="SV104" s="160"/>
      <c r="SW104" s="160"/>
      <c r="SX104" s="160"/>
      <c r="SY104" s="160"/>
      <c r="SZ104" s="160"/>
      <c r="TA104" s="160"/>
      <c r="TB104" s="160"/>
      <c r="TC104" s="160"/>
      <c r="TD104" s="160"/>
      <c r="TE104" s="160"/>
      <c r="TF104" s="160"/>
      <c r="TG104" s="160"/>
      <c r="TH104" s="160"/>
      <c r="TI104" s="160"/>
      <c r="TJ104" s="160"/>
      <c r="TK104" s="160"/>
      <c r="TL104" s="160"/>
      <c r="TM104" s="160"/>
      <c r="TN104" s="160"/>
      <c r="TO104" s="160"/>
      <c r="TP104" s="160"/>
      <c r="TQ104" s="160"/>
      <c r="TR104" s="160"/>
      <c r="TS104" s="160"/>
      <c r="TT104" s="160"/>
      <c r="TU104" s="160"/>
      <c r="TV104" s="160"/>
      <c r="TW104" s="160"/>
      <c r="TX104" s="160"/>
      <c r="TY104" s="160"/>
      <c r="TZ104" s="160"/>
      <c r="UA104" s="160"/>
      <c r="UB104" s="160"/>
      <c r="UC104" s="160"/>
      <c r="UD104" s="160"/>
      <c r="UE104" s="160"/>
      <c r="UF104" s="160"/>
      <c r="UG104" s="160"/>
      <c r="UH104" s="160"/>
      <c r="UI104" s="160"/>
      <c r="UJ104" s="160"/>
      <c r="UK104" s="160"/>
      <c r="UL104" s="160"/>
      <c r="UM104" s="160"/>
      <c r="UN104" s="160"/>
      <c r="UO104" s="160"/>
      <c r="UP104" s="160"/>
      <c r="UQ104" s="160"/>
      <c r="UR104" s="160"/>
      <c r="US104" s="160"/>
      <c r="UT104" s="160"/>
      <c r="UU104" s="160"/>
      <c r="UV104" s="160"/>
      <c r="UW104" s="160"/>
      <c r="UX104" s="160"/>
      <c r="UY104" s="160"/>
      <c r="UZ104" s="160"/>
      <c r="VA104" s="160"/>
      <c r="VB104" s="160"/>
      <c r="VC104" s="160"/>
      <c r="VD104" s="160"/>
      <c r="VE104" s="160"/>
      <c r="VF104" s="160"/>
      <c r="VG104" s="160"/>
      <c r="VH104" s="160"/>
      <c r="VI104" s="160"/>
      <c r="VJ104" s="160"/>
      <c r="VK104" s="160"/>
      <c r="VL104" s="160"/>
      <c r="VM104" s="160"/>
      <c r="VN104" s="160"/>
      <c r="VO104" s="160"/>
      <c r="VP104" s="160"/>
      <c r="VQ104" s="160"/>
      <c r="VR104" s="160"/>
      <c r="VS104" s="160"/>
      <c r="VT104" s="160"/>
      <c r="VU104" s="160"/>
      <c r="VV104" s="160"/>
      <c r="VW104" s="160"/>
      <c r="VX104" s="160"/>
      <c r="VY104" s="160"/>
      <c r="VZ104" s="160"/>
      <c r="WA104" s="160"/>
      <c r="WB104" s="160"/>
      <c r="WC104" s="160"/>
      <c r="WD104" s="160"/>
      <c r="WE104" s="160"/>
      <c r="WF104" s="160"/>
      <c r="WG104" s="160"/>
      <c r="WH104" s="160"/>
      <c r="WI104" s="160"/>
      <c r="WJ104" s="160"/>
      <c r="WK104" s="160"/>
      <c r="WL104" s="160"/>
      <c r="WM104" s="160"/>
      <c r="WN104" s="160"/>
      <c r="WO104" s="160"/>
      <c r="WP104" s="160"/>
      <c r="WQ104" s="160"/>
      <c r="WR104" s="160"/>
      <c r="WS104" s="160"/>
      <c r="WT104" s="160"/>
      <c r="WU104" s="160"/>
      <c r="WV104" s="160"/>
      <c r="WW104" s="160"/>
      <c r="WX104" s="160"/>
      <c r="WY104" s="160"/>
      <c r="WZ104" s="160"/>
      <c r="XA104" s="160"/>
      <c r="XB104" s="160"/>
      <c r="XC104" s="160"/>
      <c r="XD104" s="160"/>
      <c r="XE104" s="160"/>
      <c r="XF104" s="160"/>
      <c r="XG104" s="160"/>
      <c r="XH104" s="160"/>
      <c r="XI104" s="160"/>
      <c r="XJ104" s="160"/>
      <c r="XK104" s="160"/>
      <c r="XL104" s="160"/>
      <c r="XM104" s="160"/>
      <c r="XN104" s="160"/>
      <c r="XO104" s="160"/>
      <c r="XP104" s="160"/>
      <c r="XQ104" s="160"/>
      <c r="XR104" s="160"/>
      <c r="XS104" s="160"/>
      <c r="XT104" s="160"/>
      <c r="XU104" s="160"/>
      <c r="XV104" s="160"/>
      <c r="XW104" s="160"/>
      <c r="XX104" s="160"/>
      <c r="XY104" s="160"/>
      <c r="XZ104" s="160"/>
      <c r="YA104" s="160"/>
      <c r="YB104" s="160"/>
      <c r="YC104" s="160"/>
      <c r="YD104" s="160"/>
      <c r="YE104" s="160"/>
      <c r="YF104" s="160"/>
      <c r="YG104" s="160"/>
      <c r="YH104" s="160"/>
      <c r="YI104" s="160"/>
      <c r="YJ104" s="160"/>
      <c r="YK104" s="160"/>
      <c r="YL104" s="160"/>
      <c r="YM104" s="160"/>
      <c r="YN104" s="160"/>
      <c r="YO104" s="160"/>
      <c r="YP104" s="160"/>
      <c r="YQ104" s="160"/>
      <c r="YR104" s="160"/>
      <c r="YS104" s="160"/>
      <c r="YT104" s="160"/>
      <c r="YU104" s="160"/>
      <c r="YV104" s="160"/>
      <c r="YW104" s="160"/>
      <c r="YX104" s="160"/>
      <c r="YY104" s="160"/>
      <c r="YZ104" s="160"/>
      <c r="ZA104" s="160"/>
      <c r="ZB104" s="160"/>
      <c r="ZC104" s="160"/>
      <c r="ZD104" s="160"/>
      <c r="ZE104" s="160"/>
      <c r="ZF104" s="160"/>
      <c r="ZG104" s="160"/>
      <c r="ZH104" s="160"/>
      <c r="ZI104" s="160"/>
      <c r="ZJ104" s="160"/>
      <c r="ZK104" s="160"/>
      <c r="ZL104" s="160"/>
      <c r="ZM104" s="160"/>
      <c r="ZN104" s="160"/>
      <c r="ZO104" s="160"/>
      <c r="ZP104" s="160"/>
      <c r="ZQ104" s="160"/>
      <c r="ZR104" s="160"/>
      <c r="ZS104" s="160"/>
      <c r="ZT104" s="160"/>
      <c r="ZU104" s="160"/>
      <c r="ZV104" s="160"/>
      <c r="ZW104" s="160"/>
      <c r="ZX104" s="160"/>
      <c r="ZY104" s="160"/>
      <c r="ZZ104" s="160"/>
      <c r="AAA104" s="160"/>
      <c r="AAB104" s="160"/>
      <c r="AAC104" s="160"/>
      <c r="AAD104" s="160"/>
      <c r="AAE104" s="160"/>
      <c r="AAF104" s="160"/>
      <c r="AAG104" s="160"/>
      <c r="AAH104" s="160"/>
      <c r="AAI104" s="160"/>
      <c r="AAJ104" s="160"/>
      <c r="AAK104" s="160"/>
      <c r="AAL104" s="160"/>
      <c r="AAM104" s="160"/>
      <c r="AAN104" s="160"/>
      <c r="AAO104" s="160"/>
      <c r="AAP104" s="160"/>
      <c r="AAQ104" s="160"/>
      <c r="AAR104" s="160"/>
      <c r="AAS104" s="160"/>
      <c r="AAT104" s="160"/>
      <c r="AAU104" s="160"/>
      <c r="AAV104" s="160"/>
      <c r="AAW104" s="160"/>
      <c r="AAX104" s="160"/>
      <c r="AAY104" s="160"/>
      <c r="AAZ104" s="160"/>
      <c r="ABA104" s="160"/>
      <c r="ABB104" s="160"/>
      <c r="ABC104" s="160"/>
      <c r="ABD104" s="160"/>
      <c r="ABE104" s="160"/>
      <c r="ABF104" s="160"/>
      <c r="ABG104" s="160"/>
      <c r="ABH104" s="160"/>
      <c r="ABI104" s="160"/>
      <c r="ABJ104" s="160"/>
      <c r="ABK104" s="160"/>
      <c r="ABL104" s="160"/>
      <c r="ABM104" s="160"/>
      <c r="ABN104" s="160"/>
      <c r="ABO104" s="160"/>
      <c r="ABP104" s="160"/>
      <c r="ABQ104" s="160"/>
      <c r="ABR104" s="160"/>
      <c r="ABS104" s="160"/>
      <c r="ABT104" s="160"/>
      <c r="ABU104" s="160"/>
      <c r="ABV104" s="160"/>
      <c r="ABW104" s="160"/>
      <c r="ABX104" s="160"/>
      <c r="ABY104" s="160"/>
      <c r="ABZ104" s="160"/>
      <c r="ACA104" s="160"/>
      <c r="ACB104" s="160"/>
      <c r="ACC104" s="160"/>
      <c r="ACD104" s="160"/>
      <c r="ACE104" s="160"/>
      <c r="ACF104" s="160"/>
      <c r="ACG104" s="160"/>
      <c r="ACH104" s="160"/>
      <c r="ACI104" s="160"/>
      <c r="ACJ104" s="160"/>
      <c r="ACK104" s="160"/>
      <c r="ACL104" s="160"/>
      <c r="ACM104" s="160"/>
      <c r="ACN104" s="160"/>
      <c r="ACO104" s="160"/>
      <c r="ACP104" s="160"/>
      <c r="ACQ104" s="160"/>
      <c r="ACR104" s="160"/>
      <c r="ACS104" s="160"/>
      <c r="ACT104" s="160"/>
      <c r="ACU104" s="160"/>
      <c r="ACV104" s="160"/>
      <c r="ACW104" s="160"/>
      <c r="ACX104" s="160"/>
      <c r="ACY104" s="160"/>
      <c r="ACZ104" s="160"/>
      <c r="ADA104" s="160"/>
      <c r="ADB104" s="160"/>
      <c r="ADC104" s="160"/>
      <c r="ADD104" s="160"/>
      <c r="ADE104" s="160"/>
      <c r="ADF104" s="160"/>
      <c r="ADG104" s="160"/>
      <c r="ADH104" s="160"/>
      <c r="ADI104" s="160"/>
      <c r="ADJ104" s="160"/>
      <c r="ADK104" s="160"/>
      <c r="ADL104" s="160"/>
      <c r="ADM104" s="160"/>
      <c r="ADN104" s="160"/>
      <c r="ADO104" s="160"/>
      <c r="ADP104" s="160"/>
      <c r="ADQ104" s="160"/>
      <c r="ADR104" s="160"/>
      <c r="ADS104" s="160"/>
      <c r="ADT104" s="160"/>
      <c r="ADU104" s="160"/>
      <c r="ADV104" s="160"/>
      <c r="ADW104" s="160"/>
      <c r="ADX104" s="160"/>
      <c r="ADY104" s="160"/>
      <c r="ADZ104" s="160"/>
      <c r="AEA104" s="160"/>
      <c r="AEB104" s="160"/>
      <c r="AEC104" s="160"/>
      <c r="AED104" s="160"/>
      <c r="AEE104" s="160"/>
      <c r="AEF104" s="160"/>
      <c r="AEG104" s="160"/>
      <c r="AEH104" s="160"/>
      <c r="AEI104" s="160"/>
      <c r="AEJ104" s="160"/>
      <c r="AEK104" s="160"/>
      <c r="AEL104" s="160"/>
      <c r="AEM104" s="160"/>
      <c r="AEN104" s="160"/>
      <c r="AEO104" s="160"/>
      <c r="AEP104" s="160"/>
      <c r="AEQ104" s="160"/>
      <c r="AER104" s="160"/>
      <c r="AES104" s="160"/>
      <c r="AET104" s="160"/>
      <c r="AEU104" s="160"/>
      <c r="AEV104" s="160"/>
      <c r="AEW104" s="160"/>
      <c r="AEX104" s="160"/>
      <c r="AEY104" s="160"/>
      <c r="AEZ104" s="160"/>
      <c r="AFA104" s="160"/>
      <c r="AFB104" s="160"/>
      <c r="AFC104" s="160"/>
      <c r="AFD104" s="160"/>
      <c r="AFE104" s="160"/>
      <c r="AFF104" s="160"/>
      <c r="AFG104" s="160"/>
      <c r="AFH104" s="160"/>
      <c r="AFI104" s="160"/>
      <c r="AFJ104" s="160"/>
      <c r="AFK104" s="160"/>
      <c r="AFL104" s="160"/>
      <c r="AFM104" s="160"/>
      <c r="AFN104" s="160"/>
      <c r="AFO104" s="160"/>
      <c r="AFP104" s="160"/>
      <c r="AFQ104" s="160"/>
      <c r="AFR104" s="160"/>
      <c r="AFS104" s="160"/>
      <c r="AFT104" s="160"/>
      <c r="AFU104" s="160"/>
      <c r="AFV104" s="160"/>
      <c r="AFW104" s="160"/>
      <c r="AFX104" s="160"/>
      <c r="AFY104" s="160"/>
      <c r="AFZ104" s="160"/>
      <c r="AGA104" s="160"/>
      <c r="AGB104" s="160"/>
      <c r="AGC104" s="160"/>
      <c r="AGD104" s="160"/>
      <c r="AGE104" s="160"/>
      <c r="AGF104" s="160"/>
      <c r="AGG104" s="160"/>
      <c r="AGH104" s="160"/>
      <c r="AGI104" s="160"/>
      <c r="AGJ104" s="160"/>
      <c r="AGK104" s="160"/>
      <c r="AGL104" s="160"/>
      <c r="AGM104" s="160"/>
      <c r="AGN104" s="160"/>
      <c r="AGO104" s="160"/>
      <c r="AGP104" s="160"/>
      <c r="AGQ104" s="160"/>
      <c r="AGR104" s="160"/>
      <c r="AGS104" s="160"/>
      <c r="AGT104" s="160"/>
      <c r="AGU104" s="160"/>
      <c r="AGV104" s="160"/>
      <c r="AGW104" s="160"/>
      <c r="AGX104" s="160"/>
      <c r="AGY104" s="160"/>
      <c r="AGZ104" s="160"/>
      <c r="AHA104" s="160"/>
      <c r="AHB104" s="160"/>
      <c r="AHC104" s="160"/>
      <c r="AHD104" s="160"/>
      <c r="AHE104" s="160"/>
      <c r="AHF104" s="160"/>
      <c r="AHG104" s="160"/>
      <c r="AHH104" s="160"/>
      <c r="AHI104" s="160"/>
      <c r="AHJ104" s="160"/>
      <c r="AHK104" s="160"/>
      <c r="AHL104" s="160"/>
      <c r="AHM104" s="160"/>
      <c r="AHN104" s="160"/>
      <c r="AHO104" s="160"/>
      <c r="AHP104" s="160"/>
      <c r="AHQ104" s="160"/>
      <c r="AHR104" s="160"/>
      <c r="AHS104" s="160"/>
      <c r="AHT104" s="160"/>
      <c r="AHU104" s="160"/>
      <c r="AHV104" s="160"/>
      <c r="AHW104" s="160"/>
      <c r="AHX104" s="160"/>
      <c r="AHY104" s="160"/>
      <c r="AHZ104" s="160"/>
      <c r="AIA104" s="160"/>
      <c r="AIB104" s="160"/>
      <c r="AIC104" s="160"/>
      <c r="AID104" s="160"/>
      <c r="AIE104" s="160"/>
      <c r="AIF104" s="160"/>
      <c r="AIG104" s="160"/>
      <c r="AIH104" s="160"/>
      <c r="AII104" s="160"/>
      <c r="AIJ104" s="160"/>
      <c r="AIK104" s="160"/>
      <c r="AIL104" s="160"/>
      <c r="AIM104" s="160"/>
      <c r="AIN104" s="160"/>
      <c r="AIO104" s="160"/>
      <c r="AIP104" s="160"/>
      <c r="AIQ104" s="160"/>
      <c r="AIR104" s="160"/>
      <c r="AIS104" s="160"/>
      <c r="AIT104" s="160"/>
      <c r="AIU104" s="160"/>
      <c r="AIV104" s="160"/>
      <c r="AIW104" s="160"/>
      <c r="AIX104" s="160"/>
      <c r="AIY104" s="160"/>
      <c r="AIZ104" s="160"/>
      <c r="AJA104" s="160"/>
      <c r="AJB104" s="160"/>
      <c r="AJC104" s="160"/>
      <c r="AJD104" s="160"/>
      <c r="AJE104" s="160"/>
      <c r="AJF104" s="160"/>
      <c r="AJG104" s="160"/>
      <c r="AJH104" s="160"/>
      <c r="AJI104" s="160"/>
      <c r="AJJ104" s="160"/>
      <c r="AJK104" s="160"/>
      <c r="AJL104" s="160"/>
      <c r="AJM104" s="160"/>
      <c r="AJN104" s="160"/>
      <c r="AJO104" s="160"/>
      <c r="AJP104" s="160"/>
      <c r="AJQ104" s="160"/>
      <c r="AJR104" s="160"/>
      <c r="AJS104" s="160"/>
      <c r="AJT104" s="160"/>
      <c r="AJU104" s="160"/>
      <c r="AJV104" s="160"/>
      <c r="AJW104" s="160"/>
      <c r="AJX104" s="160"/>
      <c r="AJY104" s="160"/>
      <c r="AJZ104" s="160"/>
      <c r="AKA104" s="160"/>
      <c r="AKB104" s="160"/>
      <c r="AKC104" s="160"/>
      <c r="AKD104" s="160"/>
      <c r="AKE104" s="160"/>
      <c r="AKF104" s="160"/>
      <c r="AKG104" s="160"/>
      <c r="AKH104" s="160"/>
      <c r="AKI104" s="160"/>
      <c r="AKJ104" s="160"/>
      <c r="AKK104" s="160"/>
      <c r="AKL104" s="160"/>
      <c r="AKM104" s="160"/>
      <c r="AKN104" s="160"/>
      <c r="AKO104" s="160"/>
      <c r="AKP104" s="160"/>
      <c r="AKQ104" s="160"/>
      <c r="AKR104" s="160"/>
      <c r="AKS104" s="160"/>
      <c r="AKT104" s="160"/>
      <c r="AKU104" s="160"/>
      <c r="AKV104" s="160"/>
      <c r="AKW104" s="160"/>
      <c r="AKX104" s="160"/>
      <c r="AKY104" s="160"/>
      <c r="AKZ104" s="160"/>
      <c r="ALA104" s="160"/>
      <c r="ALB104" s="160"/>
      <c r="ALC104" s="160"/>
      <c r="ALD104" s="160"/>
      <c r="ALE104" s="160"/>
      <c r="ALF104" s="160"/>
      <c r="ALG104" s="160"/>
      <c r="ALH104" s="160"/>
      <c r="ALI104" s="160"/>
      <c r="ALJ104" s="160"/>
      <c r="ALK104" s="160"/>
      <c r="ALL104" s="160"/>
      <c r="ALM104" s="160"/>
      <c r="ALN104" s="160"/>
      <c r="ALO104" s="160"/>
      <c r="ALP104" s="160"/>
      <c r="ALQ104" s="160"/>
      <c r="ALR104" s="160"/>
      <c r="ALS104" s="160"/>
      <c r="ALT104" s="160"/>
      <c r="ALU104" s="160"/>
      <c r="ALV104" s="160"/>
      <c r="ALW104" s="160"/>
      <c r="ALX104" s="160"/>
      <c r="ALY104" s="160"/>
      <c r="ALZ104" s="160"/>
      <c r="AMA104" s="160"/>
      <c r="AMB104" s="160"/>
      <c r="AMC104" s="160"/>
      <c r="AMD104" s="160"/>
      <c r="AME104" s="158"/>
    </row>
    <row r="105" spans="1:1019">
      <c r="AB105" s="157"/>
    </row>
    <row r="106" spans="1:1019" s="161" customFormat="1">
      <c r="A106" s="160"/>
      <c r="B106" s="624"/>
      <c r="C106" s="160"/>
      <c r="D106" s="191"/>
      <c r="E106" s="191"/>
      <c r="F106" s="191"/>
      <c r="G106" s="191"/>
      <c r="H106" s="191"/>
      <c r="I106" s="191"/>
      <c r="J106" s="191"/>
      <c r="K106" s="191"/>
      <c r="L106" s="191"/>
      <c r="M106" s="191"/>
      <c r="N106" s="629"/>
      <c r="O106" s="191"/>
      <c r="P106" s="191"/>
      <c r="Q106" s="191"/>
      <c r="R106" s="191"/>
      <c r="S106" s="191"/>
      <c r="T106" s="192"/>
      <c r="U106" s="160"/>
      <c r="V106" s="159"/>
      <c r="W106" s="193"/>
      <c r="X106" s="160"/>
      <c r="Y106" s="160"/>
      <c r="Z106" s="160"/>
      <c r="AA106" s="160"/>
      <c r="AB106" s="157"/>
      <c r="AC106" s="157"/>
      <c r="AD106" s="157"/>
      <c r="AE106" s="157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  <c r="CJ106" s="160"/>
      <c r="CK106" s="160"/>
      <c r="CL106" s="160"/>
      <c r="CM106" s="160"/>
      <c r="CN106" s="160"/>
      <c r="CO106" s="160"/>
      <c r="CP106" s="160"/>
      <c r="CQ106" s="160"/>
      <c r="CR106" s="160"/>
      <c r="CS106" s="160"/>
      <c r="CT106" s="160"/>
      <c r="CU106" s="160"/>
      <c r="CV106" s="160"/>
      <c r="CW106" s="160"/>
      <c r="CX106" s="160"/>
      <c r="CY106" s="160"/>
      <c r="CZ106" s="160"/>
      <c r="DA106" s="160"/>
      <c r="DB106" s="160"/>
      <c r="DC106" s="160"/>
      <c r="DD106" s="160"/>
      <c r="DE106" s="160"/>
      <c r="DF106" s="160"/>
      <c r="DG106" s="160"/>
      <c r="DH106" s="160"/>
      <c r="DI106" s="160"/>
      <c r="DJ106" s="160"/>
      <c r="DK106" s="160"/>
      <c r="DL106" s="160"/>
      <c r="DM106" s="160"/>
      <c r="DN106" s="160"/>
      <c r="DO106" s="160"/>
      <c r="DP106" s="160"/>
      <c r="DQ106" s="160"/>
      <c r="DR106" s="160"/>
      <c r="DS106" s="160"/>
      <c r="DT106" s="160"/>
      <c r="DU106" s="160"/>
      <c r="DV106" s="160"/>
      <c r="DW106" s="160"/>
      <c r="DX106" s="160"/>
      <c r="DY106" s="160"/>
      <c r="DZ106" s="160"/>
      <c r="EA106" s="160"/>
      <c r="EB106" s="160"/>
      <c r="EC106" s="160"/>
      <c r="ED106" s="160"/>
      <c r="EE106" s="160"/>
      <c r="EF106" s="160"/>
      <c r="EG106" s="160"/>
      <c r="EH106" s="160"/>
      <c r="EI106" s="160"/>
      <c r="EJ106" s="160"/>
      <c r="EK106" s="160"/>
      <c r="EL106" s="160"/>
      <c r="EM106" s="160"/>
      <c r="EN106" s="160"/>
      <c r="EO106" s="160"/>
      <c r="EP106" s="160"/>
      <c r="EQ106" s="160"/>
      <c r="ER106" s="160"/>
      <c r="ES106" s="160"/>
      <c r="ET106" s="160"/>
      <c r="EU106" s="160"/>
      <c r="EV106" s="160"/>
      <c r="EW106" s="160"/>
      <c r="EX106" s="160"/>
      <c r="EY106" s="160"/>
      <c r="EZ106" s="160"/>
      <c r="FA106" s="160"/>
      <c r="FB106" s="160"/>
      <c r="FC106" s="160"/>
      <c r="FD106" s="160"/>
      <c r="FE106" s="160"/>
      <c r="FF106" s="160"/>
      <c r="FG106" s="160"/>
      <c r="FH106" s="160"/>
      <c r="FI106" s="160"/>
      <c r="FJ106" s="160"/>
      <c r="FK106" s="160"/>
      <c r="FL106" s="160"/>
      <c r="FM106" s="160"/>
      <c r="FN106" s="160"/>
      <c r="FO106" s="160"/>
      <c r="FP106" s="160"/>
      <c r="FQ106" s="160"/>
      <c r="FR106" s="160"/>
      <c r="FS106" s="160"/>
      <c r="FT106" s="160"/>
      <c r="FU106" s="160"/>
      <c r="FV106" s="160"/>
      <c r="FW106" s="160"/>
      <c r="FX106" s="160"/>
      <c r="FY106" s="160"/>
      <c r="FZ106" s="160"/>
      <c r="GA106" s="160"/>
      <c r="GB106" s="160"/>
      <c r="GC106" s="160"/>
      <c r="GD106" s="160"/>
      <c r="GE106" s="160"/>
      <c r="GF106" s="160"/>
      <c r="GG106" s="160"/>
      <c r="GH106" s="160"/>
      <c r="GI106" s="160"/>
      <c r="GJ106" s="160"/>
      <c r="GK106" s="160"/>
      <c r="GL106" s="160"/>
      <c r="GM106" s="160"/>
      <c r="GN106" s="160"/>
      <c r="GO106" s="160"/>
      <c r="GP106" s="160"/>
      <c r="GQ106" s="160"/>
      <c r="GR106" s="160"/>
      <c r="GS106" s="160"/>
      <c r="GT106" s="160"/>
      <c r="GU106" s="160"/>
      <c r="GV106" s="160"/>
      <c r="GW106" s="160"/>
      <c r="GX106" s="160"/>
      <c r="GY106" s="160"/>
      <c r="GZ106" s="160"/>
      <c r="HA106" s="160"/>
      <c r="HB106" s="160"/>
      <c r="HC106" s="160"/>
      <c r="HD106" s="160"/>
      <c r="HE106" s="160"/>
      <c r="HF106" s="160"/>
      <c r="HG106" s="160"/>
      <c r="HH106" s="160"/>
      <c r="HI106" s="160"/>
      <c r="HJ106" s="160"/>
      <c r="HK106" s="160"/>
      <c r="HL106" s="160"/>
      <c r="HM106" s="160"/>
      <c r="HN106" s="160"/>
      <c r="HO106" s="160"/>
      <c r="HP106" s="160"/>
      <c r="HQ106" s="160"/>
      <c r="HR106" s="160"/>
      <c r="HS106" s="160"/>
      <c r="HT106" s="160"/>
      <c r="HU106" s="160"/>
      <c r="HV106" s="160"/>
      <c r="HW106" s="160"/>
      <c r="HX106" s="160"/>
      <c r="HY106" s="160"/>
      <c r="HZ106" s="160"/>
      <c r="IA106" s="160"/>
      <c r="IB106" s="160"/>
      <c r="IC106" s="160"/>
      <c r="ID106" s="160"/>
      <c r="IE106" s="160"/>
      <c r="IF106" s="160"/>
      <c r="IG106" s="160"/>
      <c r="IH106" s="160"/>
      <c r="II106" s="160"/>
      <c r="IJ106" s="160"/>
      <c r="IK106" s="160"/>
      <c r="IL106" s="160"/>
      <c r="IM106" s="160"/>
      <c r="IN106" s="160"/>
      <c r="IO106" s="160"/>
      <c r="IP106" s="160"/>
      <c r="IQ106" s="160"/>
      <c r="IR106" s="160"/>
      <c r="IS106" s="160"/>
      <c r="IT106" s="160"/>
      <c r="IU106" s="160"/>
      <c r="IV106" s="160"/>
      <c r="IW106" s="160"/>
      <c r="IX106" s="160"/>
      <c r="IY106" s="160"/>
      <c r="IZ106" s="160"/>
      <c r="JA106" s="160"/>
      <c r="JB106" s="160"/>
      <c r="JC106" s="160"/>
      <c r="JD106" s="160"/>
      <c r="JE106" s="160"/>
      <c r="JF106" s="160"/>
      <c r="JG106" s="160"/>
      <c r="JH106" s="160"/>
      <c r="JI106" s="160"/>
      <c r="JJ106" s="160"/>
      <c r="JK106" s="160"/>
      <c r="JL106" s="160"/>
      <c r="JM106" s="160"/>
      <c r="JN106" s="160"/>
      <c r="JO106" s="160"/>
      <c r="JP106" s="160"/>
      <c r="JQ106" s="160"/>
      <c r="JR106" s="160"/>
      <c r="JS106" s="160"/>
      <c r="JT106" s="160"/>
      <c r="JU106" s="160"/>
      <c r="JV106" s="160"/>
      <c r="JW106" s="160"/>
      <c r="JX106" s="160"/>
      <c r="JY106" s="160"/>
      <c r="JZ106" s="160"/>
      <c r="KA106" s="160"/>
      <c r="KB106" s="160"/>
      <c r="KC106" s="160"/>
      <c r="KD106" s="160"/>
      <c r="KE106" s="160"/>
      <c r="KF106" s="160"/>
      <c r="KG106" s="160"/>
      <c r="KH106" s="160"/>
      <c r="KI106" s="160"/>
      <c r="KJ106" s="160"/>
      <c r="KK106" s="160"/>
      <c r="KL106" s="160"/>
      <c r="KM106" s="160"/>
      <c r="KN106" s="160"/>
      <c r="KO106" s="160"/>
      <c r="KP106" s="160"/>
      <c r="KQ106" s="160"/>
      <c r="KR106" s="160"/>
      <c r="KS106" s="160"/>
      <c r="KT106" s="160"/>
      <c r="KU106" s="160"/>
      <c r="KV106" s="160"/>
      <c r="KW106" s="160"/>
      <c r="KX106" s="160"/>
      <c r="KY106" s="160"/>
      <c r="KZ106" s="160"/>
      <c r="LA106" s="160"/>
      <c r="LB106" s="160"/>
      <c r="LC106" s="160"/>
      <c r="LD106" s="160"/>
      <c r="LE106" s="160"/>
      <c r="LF106" s="160"/>
      <c r="LG106" s="160"/>
      <c r="LH106" s="160"/>
      <c r="LI106" s="160"/>
      <c r="LJ106" s="160"/>
      <c r="LK106" s="160"/>
      <c r="LL106" s="160"/>
      <c r="LM106" s="160"/>
      <c r="LN106" s="160"/>
      <c r="LO106" s="160"/>
      <c r="LP106" s="160"/>
      <c r="LQ106" s="160"/>
      <c r="LR106" s="160"/>
      <c r="LS106" s="160"/>
      <c r="LT106" s="160"/>
      <c r="LU106" s="160"/>
      <c r="LV106" s="160"/>
      <c r="LW106" s="160"/>
      <c r="LX106" s="160"/>
      <c r="LY106" s="160"/>
      <c r="LZ106" s="160"/>
      <c r="MA106" s="160"/>
      <c r="MB106" s="160"/>
      <c r="MC106" s="160"/>
      <c r="MD106" s="160"/>
      <c r="ME106" s="160"/>
      <c r="MF106" s="160"/>
      <c r="MG106" s="160"/>
      <c r="MH106" s="160"/>
      <c r="MI106" s="160"/>
      <c r="MJ106" s="160"/>
      <c r="MK106" s="160"/>
      <c r="ML106" s="160"/>
      <c r="MM106" s="160"/>
      <c r="MN106" s="160"/>
      <c r="MO106" s="160"/>
      <c r="MP106" s="160"/>
      <c r="MQ106" s="160"/>
      <c r="MR106" s="160"/>
      <c r="MS106" s="160"/>
      <c r="MT106" s="160"/>
      <c r="MU106" s="160"/>
      <c r="MV106" s="160"/>
      <c r="MW106" s="160"/>
      <c r="MX106" s="160"/>
      <c r="MY106" s="160"/>
      <c r="MZ106" s="160"/>
      <c r="NA106" s="160"/>
      <c r="NB106" s="160"/>
      <c r="NC106" s="160"/>
      <c r="ND106" s="160"/>
      <c r="NE106" s="160"/>
      <c r="NF106" s="160"/>
      <c r="NG106" s="160"/>
      <c r="NH106" s="160"/>
      <c r="NI106" s="160"/>
      <c r="NJ106" s="160"/>
      <c r="NK106" s="160"/>
      <c r="NL106" s="160"/>
      <c r="NM106" s="160"/>
      <c r="NN106" s="160"/>
      <c r="NO106" s="160"/>
      <c r="NP106" s="160"/>
      <c r="NQ106" s="160"/>
      <c r="NR106" s="160"/>
      <c r="NS106" s="160"/>
      <c r="NT106" s="160"/>
      <c r="NU106" s="160"/>
      <c r="NV106" s="160"/>
      <c r="NW106" s="160"/>
      <c r="NX106" s="160"/>
      <c r="NY106" s="160"/>
      <c r="NZ106" s="160"/>
      <c r="OA106" s="160"/>
      <c r="OB106" s="160"/>
      <c r="OC106" s="160"/>
      <c r="OD106" s="160"/>
      <c r="OE106" s="160"/>
      <c r="OF106" s="160"/>
      <c r="OG106" s="160"/>
      <c r="OH106" s="160"/>
      <c r="OI106" s="160"/>
      <c r="OJ106" s="160"/>
      <c r="OK106" s="160"/>
      <c r="OL106" s="160"/>
      <c r="OM106" s="160"/>
      <c r="ON106" s="160"/>
      <c r="OO106" s="160"/>
      <c r="OP106" s="160"/>
      <c r="OQ106" s="160"/>
      <c r="OR106" s="160"/>
      <c r="OS106" s="160"/>
      <c r="OT106" s="160"/>
      <c r="OU106" s="160"/>
      <c r="OV106" s="160"/>
      <c r="OW106" s="160"/>
      <c r="OX106" s="160"/>
      <c r="OY106" s="160"/>
      <c r="OZ106" s="160"/>
      <c r="PA106" s="160"/>
      <c r="PB106" s="160"/>
      <c r="PC106" s="160"/>
      <c r="PD106" s="160"/>
      <c r="PE106" s="160"/>
      <c r="PF106" s="160"/>
      <c r="PG106" s="160"/>
      <c r="PH106" s="160"/>
      <c r="PI106" s="160"/>
      <c r="PJ106" s="160"/>
      <c r="PK106" s="160"/>
      <c r="PL106" s="160"/>
      <c r="PM106" s="160"/>
      <c r="PN106" s="160"/>
      <c r="PO106" s="160"/>
      <c r="PP106" s="160"/>
      <c r="PQ106" s="160"/>
      <c r="PR106" s="160"/>
      <c r="PS106" s="160"/>
      <c r="PT106" s="160"/>
      <c r="PU106" s="160"/>
      <c r="PV106" s="160"/>
      <c r="PW106" s="160"/>
      <c r="PX106" s="160"/>
      <c r="PY106" s="160"/>
      <c r="PZ106" s="160"/>
      <c r="QA106" s="160"/>
      <c r="QB106" s="160"/>
      <c r="QC106" s="160"/>
      <c r="QD106" s="160"/>
      <c r="QE106" s="160"/>
      <c r="QF106" s="160"/>
      <c r="QG106" s="160"/>
      <c r="QH106" s="160"/>
      <c r="QI106" s="160"/>
      <c r="QJ106" s="160"/>
      <c r="QK106" s="160"/>
      <c r="QL106" s="160"/>
      <c r="QM106" s="160"/>
      <c r="QN106" s="160"/>
      <c r="QO106" s="160"/>
      <c r="QP106" s="160"/>
      <c r="QQ106" s="160"/>
      <c r="QR106" s="160"/>
      <c r="QS106" s="160"/>
      <c r="QT106" s="160"/>
      <c r="QU106" s="160"/>
      <c r="QV106" s="160"/>
      <c r="QW106" s="160"/>
      <c r="QX106" s="160"/>
      <c r="QY106" s="160"/>
      <c r="QZ106" s="160"/>
      <c r="RA106" s="160"/>
      <c r="RB106" s="160"/>
      <c r="RC106" s="160"/>
      <c r="RD106" s="160"/>
      <c r="RE106" s="160"/>
      <c r="RF106" s="160"/>
      <c r="RG106" s="160"/>
      <c r="RH106" s="160"/>
      <c r="RI106" s="160"/>
      <c r="RJ106" s="160"/>
      <c r="RK106" s="160"/>
      <c r="RL106" s="160"/>
      <c r="RM106" s="160"/>
      <c r="RN106" s="160"/>
      <c r="RO106" s="160"/>
      <c r="RP106" s="160"/>
      <c r="RQ106" s="160"/>
      <c r="RR106" s="160"/>
      <c r="RS106" s="160"/>
      <c r="RT106" s="160"/>
      <c r="RU106" s="160"/>
      <c r="RV106" s="160"/>
      <c r="RW106" s="160"/>
      <c r="RX106" s="160"/>
      <c r="RY106" s="160"/>
      <c r="RZ106" s="160"/>
      <c r="SA106" s="160"/>
      <c r="SB106" s="160"/>
      <c r="SC106" s="160"/>
      <c r="SD106" s="160"/>
      <c r="SE106" s="160"/>
      <c r="SF106" s="160"/>
      <c r="SG106" s="160"/>
      <c r="SH106" s="160"/>
      <c r="SI106" s="160"/>
      <c r="SJ106" s="160"/>
      <c r="SK106" s="160"/>
      <c r="SL106" s="160"/>
      <c r="SM106" s="160"/>
      <c r="SN106" s="160"/>
      <c r="SO106" s="160"/>
      <c r="SP106" s="160"/>
      <c r="SQ106" s="160"/>
      <c r="SR106" s="160"/>
      <c r="SS106" s="160"/>
      <c r="ST106" s="160"/>
      <c r="SU106" s="160"/>
      <c r="SV106" s="160"/>
      <c r="SW106" s="160"/>
      <c r="SX106" s="160"/>
      <c r="SY106" s="160"/>
      <c r="SZ106" s="160"/>
      <c r="TA106" s="160"/>
      <c r="TB106" s="160"/>
      <c r="TC106" s="160"/>
      <c r="TD106" s="160"/>
      <c r="TE106" s="160"/>
      <c r="TF106" s="160"/>
      <c r="TG106" s="160"/>
      <c r="TH106" s="160"/>
      <c r="TI106" s="160"/>
      <c r="TJ106" s="160"/>
      <c r="TK106" s="160"/>
      <c r="TL106" s="160"/>
      <c r="TM106" s="160"/>
      <c r="TN106" s="160"/>
      <c r="TO106" s="160"/>
      <c r="TP106" s="160"/>
      <c r="TQ106" s="160"/>
      <c r="TR106" s="160"/>
      <c r="TS106" s="160"/>
      <c r="TT106" s="160"/>
      <c r="TU106" s="160"/>
      <c r="TV106" s="160"/>
      <c r="TW106" s="160"/>
      <c r="TX106" s="160"/>
      <c r="TY106" s="160"/>
      <c r="TZ106" s="160"/>
      <c r="UA106" s="160"/>
      <c r="UB106" s="160"/>
      <c r="UC106" s="160"/>
      <c r="UD106" s="160"/>
      <c r="UE106" s="160"/>
      <c r="UF106" s="160"/>
      <c r="UG106" s="160"/>
      <c r="UH106" s="160"/>
      <c r="UI106" s="160"/>
      <c r="UJ106" s="160"/>
      <c r="UK106" s="160"/>
      <c r="UL106" s="160"/>
      <c r="UM106" s="160"/>
      <c r="UN106" s="160"/>
      <c r="UO106" s="160"/>
      <c r="UP106" s="160"/>
      <c r="UQ106" s="160"/>
      <c r="UR106" s="160"/>
      <c r="US106" s="160"/>
      <c r="UT106" s="160"/>
      <c r="UU106" s="160"/>
      <c r="UV106" s="160"/>
      <c r="UW106" s="160"/>
      <c r="UX106" s="160"/>
      <c r="UY106" s="160"/>
      <c r="UZ106" s="160"/>
      <c r="VA106" s="160"/>
      <c r="VB106" s="160"/>
      <c r="VC106" s="160"/>
      <c r="VD106" s="160"/>
      <c r="VE106" s="160"/>
      <c r="VF106" s="160"/>
      <c r="VG106" s="160"/>
      <c r="VH106" s="160"/>
      <c r="VI106" s="160"/>
      <c r="VJ106" s="160"/>
      <c r="VK106" s="160"/>
      <c r="VL106" s="160"/>
      <c r="VM106" s="160"/>
      <c r="VN106" s="160"/>
      <c r="VO106" s="160"/>
      <c r="VP106" s="160"/>
      <c r="VQ106" s="160"/>
      <c r="VR106" s="160"/>
      <c r="VS106" s="160"/>
      <c r="VT106" s="160"/>
      <c r="VU106" s="160"/>
      <c r="VV106" s="160"/>
      <c r="VW106" s="160"/>
      <c r="VX106" s="160"/>
      <c r="VY106" s="160"/>
      <c r="VZ106" s="160"/>
      <c r="WA106" s="160"/>
      <c r="WB106" s="160"/>
      <c r="WC106" s="160"/>
      <c r="WD106" s="160"/>
      <c r="WE106" s="160"/>
      <c r="WF106" s="160"/>
      <c r="WG106" s="160"/>
      <c r="WH106" s="160"/>
      <c r="WI106" s="160"/>
      <c r="WJ106" s="160"/>
      <c r="WK106" s="160"/>
      <c r="WL106" s="160"/>
      <c r="WM106" s="160"/>
      <c r="WN106" s="160"/>
      <c r="WO106" s="160"/>
      <c r="WP106" s="160"/>
      <c r="WQ106" s="160"/>
      <c r="WR106" s="160"/>
      <c r="WS106" s="160"/>
      <c r="WT106" s="160"/>
      <c r="WU106" s="160"/>
      <c r="WV106" s="160"/>
      <c r="WW106" s="160"/>
      <c r="WX106" s="160"/>
      <c r="WY106" s="160"/>
      <c r="WZ106" s="160"/>
      <c r="XA106" s="160"/>
      <c r="XB106" s="160"/>
      <c r="XC106" s="160"/>
      <c r="XD106" s="160"/>
      <c r="XE106" s="160"/>
      <c r="XF106" s="160"/>
      <c r="XG106" s="160"/>
      <c r="XH106" s="160"/>
      <c r="XI106" s="160"/>
      <c r="XJ106" s="160"/>
      <c r="XK106" s="160"/>
      <c r="XL106" s="160"/>
      <c r="XM106" s="160"/>
      <c r="XN106" s="160"/>
      <c r="XO106" s="160"/>
      <c r="XP106" s="160"/>
      <c r="XQ106" s="160"/>
      <c r="XR106" s="160"/>
      <c r="XS106" s="160"/>
      <c r="XT106" s="160"/>
      <c r="XU106" s="160"/>
      <c r="XV106" s="160"/>
      <c r="XW106" s="160"/>
      <c r="XX106" s="160"/>
      <c r="XY106" s="160"/>
      <c r="XZ106" s="160"/>
      <c r="YA106" s="160"/>
      <c r="YB106" s="160"/>
      <c r="YC106" s="160"/>
      <c r="YD106" s="160"/>
      <c r="YE106" s="160"/>
      <c r="YF106" s="160"/>
      <c r="YG106" s="160"/>
      <c r="YH106" s="160"/>
      <c r="YI106" s="160"/>
      <c r="YJ106" s="160"/>
      <c r="YK106" s="160"/>
      <c r="YL106" s="160"/>
      <c r="YM106" s="160"/>
      <c r="YN106" s="160"/>
      <c r="YO106" s="160"/>
      <c r="YP106" s="160"/>
      <c r="YQ106" s="160"/>
      <c r="YR106" s="160"/>
      <c r="YS106" s="160"/>
      <c r="YT106" s="160"/>
      <c r="YU106" s="160"/>
      <c r="YV106" s="160"/>
      <c r="YW106" s="160"/>
      <c r="YX106" s="160"/>
      <c r="YY106" s="160"/>
      <c r="YZ106" s="160"/>
      <c r="ZA106" s="160"/>
      <c r="ZB106" s="160"/>
      <c r="ZC106" s="160"/>
      <c r="ZD106" s="160"/>
      <c r="ZE106" s="160"/>
      <c r="ZF106" s="160"/>
      <c r="ZG106" s="160"/>
      <c r="ZH106" s="160"/>
      <c r="ZI106" s="160"/>
      <c r="ZJ106" s="160"/>
      <c r="ZK106" s="160"/>
      <c r="ZL106" s="160"/>
      <c r="ZM106" s="160"/>
      <c r="ZN106" s="160"/>
      <c r="ZO106" s="160"/>
      <c r="ZP106" s="160"/>
      <c r="ZQ106" s="160"/>
      <c r="ZR106" s="160"/>
      <c r="ZS106" s="160"/>
      <c r="ZT106" s="160"/>
      <c r="ZU106" s="160"/>
      <c r="ZV106" s="160"/>
      <c r="ZW106" s="160"/>
      <c r="ZX106" s="160"/>
      <c r="ZY106" s="160"/>
      <c r="ZZ106" s="160"/>
      <c r="AAA106" s="160"/>
      <c r="AAB106" s="160"/>
      <c r="AAC106" s="160"/>
      <c r="AAD106" s="160"/>
      <c r="AAE106" s="160"/>
      <c r="AAF106" s="160"/>
      <c r="AAG106" s="160"/>
      <c r="AAH106" s="160"/>
      <c r="AAI106" s="160"/>
      <c r="AAJ106" s="160"/>
      <c r="AAK106" s="160"/>
      <c r="AAL106" s="160"/>
      <c r="AAM106" s="160"/>
      <c r="AAN106" s="160"/>
      <c r="AAO106" s="160"/>
      <c r="AAP106" s="160"/>
      <c r="AAQ106" s="160"/>
      <c r="AAR106" s="160"/>
      <c r="AAS106" s="160"/>
      <c r="AAT106" s="160"/>
      <c r="AAU106" s="160"/>
      <c r="AAV106" s="160"/>
      <c r="AAW106" s="160"/>
      <c r="AAX106" s="160"/>
      <c r="AAY106" s="160"/>
      <c r="AAZ106" s="160"/>
      <c r="ABA106" s="160"/>
      <c r="ABB106" s="160"/>
      <c r="ABC106" s="160"/>
      <c r="ABD106" s="160"/>
      <c r="ABE106" s="160"/>
      <c r="ABF106" s="160"/>
      <c r="ABG106" s="160"/>
      <c r="ABH106" s="160"/>
      <c r="ABI106" s="160"/>
      <c r="ABJ106" s="160"/>
      <c r="ABK106" s="160"/>
      <c r="ABL106" s="160"/>
      <c r="ABM106" s="160"/>
      <c r="ABN106" s="160"/>
      <c r="ABO106" s="160"/>
      <c r="ABP106" s="160"/>
      <c r="ABQ106" s="160"/>
      <c r="ABR106" s="160"/>
      <c r="ABS106" s="160"/>
      <c r="ABT106" s="160"/>
      <c r="ABU106" s="160"/>
      <c r="ABV106" s="160"/>
      <c r="ABW106" s="160"/>
      <c r="ABX106" s="160"/>
      <c r="ABY106" s="160"/>
      <c r="ABZ106" s="160"/>
      <c r="ACA106" s="160"/>
      <c r="ACB106" s="160"/>
      <c r="ACC106" s="160"/>
      <c r="ACD106" s="160"/>
      <c r="ACE106" s="160"/>
      <c r="ACF106" s="160"/>
      <c r="ACG106" s="160"/>
      <c r="ACH106" s="160"/>
      <c r="ACI106" s="160"/>
      <c r="ACJ106" s="160"/>
      <c r="ACK106" s="160"/>
      <c r="ACL106" s="160"/>
      <c r="ACM106" s="160"/>
      <c r="ACN106" s="160"/>
      <c r="ACO106" s="160"/>
      <c r="ACP106" s="160"/>
      <c r="ACQ106" s="160"/>
      <c r="ACR106" s="160"/>
      <c r="ACS106" s="160"/>
      <c r="ACT106" s="160"/>
      <c r="ACU106" s="160"/>
      <c r="ACV106" s="160"/>
      <c r="ACW106" s="160"/>
      <c r="ACX106" s="160"/>
      <c r="ACY106" s="160"/>
      <c r="ACZ106" s="160"/>
      <c r="ADA106" s="160"/>
      <c r="ADB106" s="160"/>
      <c r="ADC106" s="160"/>
      <c r="ADD106" s="160"/>
      <c r="ADE106" s="160"/>
      <c r="ADF106" s="160"/>
      <c r="ADG106" s="160"/>
      <c r="ADH106" s="160"/>
      <c r="ADI106" s="160"/>
      <c r="ADJ106" s="160"/>
      <c r="ADK106" s="160"/>
      <c r="ADL106" s="160"/>
      <c r="ADM106" s="160"/>
      <c r="ADN106" s="160"/>
      <c r="ADO106" s="160"/>
      <c r="ADP106" s="160"/>
      <c r="ADQ106" s="160"/>
      <c r="ADR106" s="160"/>
      <c r="ADS106" s="160"/>
      <c r="ADT106" s="160"/>
      <c r="ADU106" s="160"/>
      <c r="ADV106" s="160"/>
      <c r="ADW106" s="160"/>
      <c r="ADX106" s="160"/>
      <c r="ADY106" s="160"/>
      <c r="ADZ106" s="160"/>
      <c r="AEA106" s="160"/>
      <c r="AEB106" s="160"/>
      <c r="AEC106" s="160"/>
      <c r="AED106" s="160"/>
      <c r="AEE106" s="160"/>
      <c r="AEF106" s="160"/>
      <c r="AEG106" s="160"/>
      <c r="AEH106" s="160"/>
      <c r="AEI106" s="160"/>
      <c r="AEJ106" s="160"/>
      <c r="AEK106" s="160"/>
      <c r="AEL106" s="160"/>
      <c r="AEM106" s="160"/>
      <c r="AEN106" s="160"/>
      <c r="AEO106" s="160"/>
      <c r="AEP106" s="160"/>
      <c r="AEQ106" s="160"/>
      <c r="AER106" s="160"/>
      <c r="AES106" s="160"/>
      <c r="AET106" s="160"/>
      <c r="AEU106" s="160"/>
      <c r="AEV106" s="160"/>
      <c r="AEW106" s="160"/>
      <c r="AEX106" s="160"/>
      <c r="AEY106" s="160"/>
      <c r="AEZ106" s="160"/>
      <c r="AFA106" s="160"/>
      <c r="AFB106" s="160"/>
      <c r="AFC106" s="160"/>
      <c r="AFD106" s="160"/>
      <c r="AFE106" s="160"/>
      <c r="AFF106" s="160"/>
      <c r="AFG106" s="160"/>
      <c r="AFH106" s="160"/>
      <c r="AFI106" s="160"/>
      <c r="AFJ106" s="160"/>
      <c r="AFK106" s="160"/>
      <c r="AFL106" s="160"/>
      <c r="AFM106" s="160"/>
      <c r="AFN106" s="160"/>
      <c r="AFO106" s="160"/>
      <c r="AFP106" s="160"/>
      <c r="AFQ106" s="160"/>
      <c r="AFR106" s="160"/>
      <c r="AFS106" s="160"/>
      <c r="AFT106" s="160"/>
      <c r="AFU106" s="160"/>
      <c r="AFV106" s="160"/>
      <c r="AFW106" s="160"/>
      <c r="AFX106" s="160"/>
      <c r="AFY106" s="160"/>
      <c r="AFZ106" s="160"/>
      <c r="AGA106" s="160"/>
      <c r="AGB106" s="160"/>
      <c r="AGC106" s="160"/>
      <c r="AGD106" s="160"/>
      <c r="AGE106" s="160"/>
      <c r="AGF106" s="160"/>
      <c r="AGG106" s="160"/>
      <c r="AGH106" s="160"/>
      <c r="AGI106" s="160"/>
      <c r="AGJ106" s="160"/>
      <c r="AGK106" s="160"/>
      <c r="AGL106" s="160"/>
      <c r="AGM106" s="160"/>
      <c r="AGN106" s="160"/>
      <c r="AGO106" s="160"/>
      <c r="AGP106" s="160"/>
      <c r="AGQ106" s="160"/>
      <c r="AGR106" s="160"/>
      <c r="AGS106" s="160"/>
      <c r="AGT106" s="160"/>
      <c r="AGU106" s="160"/>
      <c r="AGV106" s="160"/>
      <c r="AGW106" s="160"/>
      <c r="AGX106" s="160"/>
      <c r="AGY106" s="160"/>
      <c r="AGZ106" s="160"/>
      <c r="AHA106" s="160"/>
      <c r="AHB106" s="160"/>
      <c r="AHC106" s="160"/>
      <c r="AHD106" s="160"/>
      <c r="AHE106" s="160"/>
      <c r="AHF106" s="160"/>
      <c r="AHG106" s="160"/>
      <c r="AHH106" s="160"/>
      <c r="AHI106" s="160"/>
      <c r="AHJ106" s="160"/>
      <c r="AHK106" s="160"/>
      <c r="AHL106" s="160"/>
      <c r="AHM106" s="160"/>
      <c r="AHN106" s="160"/>
      <c r="AHO106" s="160"/>
      <c r="AHP106" s="160"/>
      <c r="AHQ106" s="160"/>
      <c r="AHR106" s="160"/>
      <c r="AHS106" s="160"/>
      <c r="AHT106" s="160"/>
      <c r="AHU106" s="160"/>
      <c r="AHV106" s="160"/>
      <c r="AHW106" s="160"/>
      <c r="AHX106" s="160"/>
      <c r="AHY106" s="160"/>
      <c r="AHZ106" s="160"/>
      <c r="AIA106" s="160"/>
      <c r="AIB106" s="160"/>
      <c r="AIC106" s="160"/>
      <c r="AID106" s="160"/>
      <c r="AIE106" s="160"/>
      <c r="AIF106" s="160"/>
      <c r="AIG106" s="160"/>
      <c r="AIH106" s="160"/>
      <c r="AII106" s="160"/>
      <c r="AIJ106" s="160"/>
      <c r="AIK106" s="160"/>
      <c r="AIL106" s="160"/>
      <c r="AIM106" s="160"/>
      <c r="AIN106" s="160"/>
      <c r="AIO106" s="160"/>
      <c r="AIP106" s="160"/>
      <c r="AIQ106" s="160"/>
      <c r="AIR106" s="160"/>
      <c r="AIS106" s="160"/>
      <c r="AIT106" s="160"/>
      <c r="AIU106" s="160"/>
      <c r="AIV106" s="160"/>
      <c r="AIW106" s="160"/>
      <c r="AIX106" s="160"/>
      <c r="AIY106" s="160"/>
      <c r="AIZ106" s="160"/>
      <c r="AJA106" s="160"/>
      <c r="AJB106" s="160"/>
      <c r="AJC106" s="160"/>
      <c r="AJD106" s="160"/>
      <c r="AJE106" s="160"/>
      <c r="AJF106" s="160"/>
      <c r="AJG106" s="160"/>
      <c r="AJH106" s="160"/>
      <c r="AJI106" s="160"/>
      <c r="AJJ106" s="160"/>
      <c r="AJK106" s="160"/>
      <c r="AJL106" s="160"/>
      <c r="AJM106" s="160"/>
      <c r="AJN106" s="160"/>
      <c r="AJO106" s="160"/>
      <c r="AJP106" s="160"/>
      <c r="AJQ106" s="160"/>
      <c r="AJR106" s="160"/>
      <c r="AJS106" s="160"/>
      <c r="AJT106" s="160"/>
      <c r="AJU106" s="160"/>
      <c r="AJV106" s="160"/>
      <c r="AJW106" s="160"/>
      <c r="AJX106" s="160"/>
      <c r="AJY106" s="160"/>
      <c r="AJZ106" s="160"/>
      <c r="AKA106" s="160"/>
      <c r="AKB106" s="160"/>
      <c r="AKC106" s="160"/>
      <c r="AKD106" s="160"/>
      <c r="AKE106" s="160"/>
      <c r="AKF106" s="160"/>
      <c r="AKG106" s="160"/>
      <c r="AKH106" s="160"/>
      <c r="AKI106" s="160"/>
      <c r="AKJ106" s="160"/>
      <c r="AKK106" s="160"/>
      <c r="AKL106" s="160"/>
      <c r="AKM106" s="160"/>
      <c r="AKN106" s="160"/>
      <c r="AKO106" s="160"/>
      <c r="AKP106" s="160"/>
      <c r="AKQ106" s="160"/>
      <c r="AKR106" s="160"/>
      <c r="AKS106" s="160"/>
      <c r="AKT106" s="160"/>
      <c r="AKU106" s="160"/>
      <c r="AKV106" s="160"/>
      <c r="AKW106" s="160"/>
      <c r="AKX106" s="160"/>
      <c r="AKY106" s="160"/>
      <c r="AKZ106" s="160"/>
      <c r="ALA106" s="160"/>
      <c r="ALB106" s="160"/>
      <c r="ALC106" s="160"/>
      <c r="ALD106" s="160"/>
      <c r="ALE106" s="160"/>
      <c r="ALF106" s="160"/>
      <c r="ALG106" s="160"/>
      <c r="ALH106" s="160"/>
      <c r="ALI106" s="160"/>
      <c r="ALJ106" s="160"/>
      <c r="ALK106" s="160"/>
      <c r="ALL106" s="160"/>
      <c r="ALM106" s="160"/>
      <c r="ALN106" s="160"/>
      <c r="ALO106" s="160"/>
      <c r="ALP106" s="160"/>
      <c r="ALQ106" s="160"/>
      <c r="ALR106" s="160"/>
      <c r="ALS106" s="160"/>
      <c r="ALT106" s="160"/>
      <c r="ALU106" s="160"/>
      <c r="ALV106" s="160"/>
      <c r="ALW106" s="160"/>
      <c r="ALX106" s="160"/>
      <c r="ALY106" s="160"/>
      <c r="ALZ106" s="160"/>
      <c r="AMA106" s="160"/>
      <c r="AMB106" s="160"/>
      <c r="AMC106" s="160"/>
      <c r="AMD106" s="160"/>
      <c r="AME106" s="158"/>
    </row>
    <row r="107" spans="1:1019">
      <c r="AB107" s="157"/>
    </row>
    <row r="108" spans="1:1019">
      <c r="P108" s="620"/>
      <c r="AB108" s="157"/>
    </row>
    <row r="109" spans="1:1019" s="161" customFormat="1">
      <c r="A109" s="160"/>
      <c r="B109" s="624"/>
      <c r="C109" s="160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629"/>
      <c r="P109" s="191"/>
      <c r="R109" s="191"/>
      <c r="S109" s="191"/>
      <c r="V109" s="159"/>
      <c r="W109" s="193"/>
      <c r="X109" s="160"/>
      <c r="Y109" s="160"/>
      <c r="Z109" s="160"/>
      <c r="AA109" s="160"/>
      <c r="AB109" s="157"/>
      <c r="AC109" s="157"/>
      <c r="AD109" s="157"/>
      <c r="AE109" s="157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160"/>
      <c r="CU109" s="160"/>
      <c r="CV109" s="160"/>
      <c r="CW109" s="160"/>
      <c r="CX109" s="160"/>
      <c r="CY109" s="160"/>
      <c r="CZ109" s="160"/>
      <c r="DA109" s="160"/>
      <c r="DB109" s="160"/>
      <c r="DC109" s="160"/>
      <c r="DD109" s="160"/>
      <c r="DE109" s="160"/>
      <c r="DF109" s="160"/>
      <c r="DG109" s="160"/>
      <c r="DH109" s="160"/>
      <c r="DI109" s="160"/>
      <c r="DJ109" s="160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60"/>
      <c r="DX109" s="160"/>
      <c r="DY109" s="160"/>
      <c r="DZ109" s="160"/>
      <c r="EA109" s="160"/>
      <c r="EB109" s="160"/>
      <c r="EC109" s="160"/>
      <c r="ED109" s="160"/>
      <c r="EE109" s="160"/>
      <c r="EF109" s="160"/>
      <c r="EG109" s="160"/>
      <c r="EH109" s="160"/>
      <c r="EI109" s="160"/>
      <c r="EJ109" s="160"/>
      <c r="EK109" s="160"/>
      <c r="EL109" s="160"/>
      <c r="EM109" s="160"/>
      <c r="EN109" s="160"/>
      <c r="EO109" s="160"/>
      <c r="EP109" s="160"/>
      <c r="EQ109" s="160"/>
      <c r="ER109" s="160"/>
      <c r="ES109" s="160"/>
      <c r="ET109" s="160"/>
      <c r="EU109" s="160"/>
      <c r="EV109" s="160"/>
      <c r="EW109" s="160"/>
      <c r="EX109" s="160"/>
      <c r="EY109" s="160"/>
      <c r="EZ109" s="160"/>
      <c r="FA109" s="160"/>
      <c r="FB109" s="160"/>
      <c r="FC109" s="160"/>
      <c r="FD109" s="160"/>
      <c r="FE109" s="160"/>
      <c r="FF109" s="160"/>
      <c r="FG109" s="160"/>
      <c r="FH109" s="160"/>
      <c r="FI109" s="160"/>
      <c r="FJ109" s="160"/>
      <c r="FK109" s="160"/>
      <c r="FL109" s="160"/>
      <c r="FM109" s="160"/>
      <c r="FN109" s="160"/>
      <c r="FO109" s="160"/>
      <c r="FP109" s="160"/>
      <c r="FQ109" s="160"/>
      <c r="FR109" s="160"/>
      <c r="FS109" s="160"/>
      <c r="FT109" s="160"/>
      <c r="FU109" s="160"/>
      <c r="FV109" s="160"/>
      <c r="FW109" s="160"/>
      <c r="FX109" s="160"/>
      <c r="FY109" s="160"/>
      <c r="FZ109" s="160"/>
      <c r="GA109" s="160"/>
      <c r="GB109" s="160"/>
      <c r="GC109" s="160"/>
      <c r="GD109" s="160"/>
      <c r="GE109" s="160"/>
      <c r="GF109" s="160"/>
      <c r="GG109" s="160"/>
      <c r="GH109" s="160"/>
      <c r="GI109" s="160"/>
      <c r="GJ109" s="160"/>
      <c r="GK109" s="160"/>
      <c r="GL109" s="160"/>
      <c r="GM109" s="160"/>
      <c r="GN109" s="160"/>
      <c r="GO109" s="160"/>
      <c r="GP109" s="160"/>
      <c r="GQ109" s="160"/>
      <c r="GR109" s="160"/>
      <c r="GS109" s="160"/>
      <c r="GT109" s="160"/>
      <c r="GU109" s="160"/>
      <c r="GV109" s="160"/>
      <c r="GW109" s="160"/>
      <c r="GX109" s="160"/>
      <c r="GY109" s="160"/>
      <c r="GZ109" s="160"/>
      <c r="HA109" s="160"/>
      <c r="HB109" s="160"/>
      <c r="HC109" s="160"/>
      <c r="HD109" s="160"/>
      <c r="HE109" s="160"/>
      <c r="HF109" s="160"/>
      <c r="HG109" s="160"/>
      <c r="HH109" s="160"/>
      <c r="HI109" s="160"/>
      <c r="HJ109" s="160"/>
      <c r="HK109" s="160"/>
      <c r="HL109" s="160"/>
      <c r="HM109" s="160"/>
      <c r="HN109" s="160"/>
      <c r="HO109" s="160"/>
      <c r="HP109" s="160"/>
      <c r="HQ109" s="160"/>
      <c r="HR109" s="160"/>
      <c r="HS109" s="160"/>
      <c r="HT109" s="160"/>
      <c r="HU109" s="160"/>
      <c r="HV109" s="160"/>
      <c r="HW109" s="160"/>
      <c r="HX109" s="160"/>
      <c r="HY109" s="160"/>
      <c r="HZ109" s="160"/>
      <c r="IA109" s="160"/>
      <c r="IB109" s="160"/>
      <c r="IC109" s="160"/>
      <c r="ID109" s="160"/>
      <c r="IE109" s="160"/>
      <c r="IF109" s="160"/>
      <c r="IG109" s="160"/>
      <c r="IH109" s="160"/>
      <c r="II109" s="160"/>
      <c r="IJ109" s="160"/>
      <c r="IK109" s="160"/>
      <c r="IL109" s="160"/>
      <c r="IM109" s="160"/>
      <c r="IN109" s="160"/>
      <c r="IO109" s="160"/>
      <c r="IP109" s="160"/>
      <c r="IQ109" s="160"/>
      <c r="IR109" s="160"/>
      <c r="IS109" s="160"/>
      <c r="IT109" s="160"/>
      <c r="IU109" s="160"/>
      <c r="IV109" s="160"/>
      <c r="IW109" s="160"/>
      <c r="IX109" s="160"/>
      <c r="IY109" s="160"/>
      <c r="IZ109" s="160"/>
      <c r="JA109" s="160"/>
      <c r="JB109" s="160"/>
      <c r="JC109" s="160"/>
      <c r="JD109" s="160"/>
      <c r="JE109" s="160"/>
      <c r="JF109" s="160"/>
      <c r="JG109" s="160"/>
      <c r="JH109" s="160"/>
      <c r="JI109" s="160"/>
      <c r="JJ109" s="160"/>
      <c r="JK109" s="160"/>
      <c r="JL109" s="160"/>
      <c r="JM109" s="160"/>
      <c r="JN109" s="160"/>
      <c r="JO109" s="160"/>
      <c r="JP109" s="160"/>
      <c r="JQ109" s="160"/>
      <c r="JR109" s="160"/>
      <c r="JS109" s="160"/>
      <c r="JT109" s="160"/>
      <c r="JU109" s="160"/>
      <c r="JV109" s="160"/>
      <c r="JW109" s="160"/>
      <c r="JX109" s="160"/>
      <c r="JY109" s="160"/>
      <c r="JZ109" s="160"/>
      <c r="KA109" s="160"/>
      <c r="KB109" s="160"/>
      <c r="KC109" s="160"/>
      <c r="KD109" s="160"/>
      <c r="KE109" s="160"/>
      <c r="KF109" s="160"/>
      <c r="KG109" s="160"/>
      <c r="KH109" s="160"/>
      <c r="KI109" s="160"/>
      <c r="KJ109" s="160"/>
      <c r="KK109" s="160"/>
      <c r="KL109" s="160"/>
      <c r="KM109" s="160"/>
      <c r="KN109" s="160"/>
      <c r="KO109" s="160"/>
      <c r="KP109" s="160"/>
      <c r="KQ109" s="160"/>
      <c r="KR109" s="160"/>
      <c r="KS109" s="160"/>
      <c r="KT109" s="160"/>
      <c r="KU109" s="160"/>
      <c r="KV109" s="160"/>
      <c r="KW109" s="160"/>
      <c r="KX109" s="160"/>
      <c r="KY109" s="160"/>
      <c r="KZ109" s="160"/>
      <c r="LA109" s="160"/>
      <c r="LB109" s="160"/>
      <c r="LC109" s="160"/>
      <c r="LD109" s="160"/>
      <c r="LE109" s="160"/>
      <c r="LF109" s="160"/>
      <c r="LG109" s="160"/>
      <c r="LH109" s="160"/>
      <c r="LI109" s="160"/>
      <c r="LJ109" s="160"/>
      <c r="LK109" s="160"/>
      <c r="LL109" s="160"/>
      <c r="LM109" s="160"/>
      <c r="LN109" s="160"/>
      <c r="LO109" s="160"/>
      <c r="LP109" s="160"/>
      <c r="LQ109" s="160"/>
      <c r="LR109" s="160"/>
      <c r="LS109" s="160"/>
      <c r="LT109" s="160"/>
      <c r="LU109" s="160"/>
      <c r="LV109" s="160"/>
      <c r="LW109" s="160"/>
      <c r="LX109" s="160"/>
      <c r="LY109" s="160"/>
      <c r="LZ109" s="160"/>
      <c r="MA109" s="160"/>
      <c r="MB109" s="160"/>
      <c r="MC109" s="160"/>
      <c r="MD109" s="160"/>
      <c r="ME109" s="160"/>
      <c r="MF109" s="160"/>
      <c r="MG109" s="160"/>
      <c r="MH109" s="160"/>
      <c r="MI109" s="160"/>
      <c r="MJ109" s="160"/>
      <c r="MK109" s="160"/>
      <c r="ML109" s="160"/>
      <c r="MM109" s="160"/>
      <c r="MN109" s="160"/>
      <c r="MO109" s="160"/>
      <c r="MP109" s="160"/>
      <c r="MQ109" s="160"/>
      <c r="MR109" s="160"/>
      <c r="MS109" s="160"/>
      <c r="MT109" s="160"/>
      <c r="MU109" s="160"/>
      <c r="MV109" s="160"/>
      <c r="MW109" s="160"/>
      <c r="MX109" s="160"/>
      <c r="MY109" s="160"/>
      <c r="MZ109" s="160"/>
      <c r="NA109" s="160"/>
      <c r="NB109" s="160"/>
      <c r="NC109" s="160"/>
      <c r="ND109" s="160"/>
      <c r="NE109" s="160"/>
      <c r="NF109" s="160"/>
      <c r="NG109" s="160"/>
      <c r="NH109" s="160"/>
      <c r="NI109" s="160"/>
      <c r="NJ109" s="160"/>
      <c r="NK109" s="160"/>
      <c r="NL109" s="160"/>
      <c r="NM109" s="160"/>
      <c r="NN109" s="160"/>
      <c r="NO109" s="160"/>
      <c r="NP109" s="160"/>
      <c r="NQ109" s="160"/>
      <c r="NR109" s="160"/>
      <c r="NS109" s="160"/>
      <c r="NT109" s="160"/>
      <c r="NU109" s="160"/>
      <c r="NV109" s="160"/>
      <c r="NW109" s="160"/>
      <c r="NX109" s="160"/>
      <c r="NY109" s="160"/>
      <c r="NZ109" s="160"/>
      <c r="OA109" s="160"/>
      <c r="OB109" s="160"/>
      <c r="OC109" s="160"/>
      <c r="OD109" s="160"/>
      <c r="OE109" s="160"/>
      <c r="OF109" s="160"/>
      <c r="OG109" s="160"/>
      <c r="OH109" s="160"/>
      <c r="OI109" s="160"/>
      <c r="OJ109" s="160"/>
      <c r="OK109" s="160"/>
      <c r="OL109" s="160"/>
      <c r="OM109" s="160"/>
      <c r="ON109" s="160"/>
      <c r="OO109" s="160"/>
      <c r="OP109" s="160"/>
      <c r="OQ109" s="160"/>
      <c r="OR109" s="160"/>
      <c r="OS109" s="160"/>
      <c r="OT109" s="160"/>
      <c r="OU109" s="160"/>
      <c r="OV109" s="160"/>
      <c r="OW109" s="160"/>
      <c r="OX109" s="160"/>
      <c r="OY109" s="160"/>
      <c r="OZ109" s="160"/>
      <c r="PA109" s="160"/>
      <c r="PB109" s="160"/>
      <c r="PC109" s="160"/>
      <c r="PD109" s="160"/>
      <c r="PE109" s="160"/>
      <c r="PF109" s="160"/>
      <c r="PG109" s="160"/>
      <c r="PH109" s="160"/>
      <c r="PI109" s="160"/>
      <c r="PJ109" s="160"/>
      <c r="PK109" s="160"/>
      <c r="PL109" s="160"/>
      <c r="PM109" s="160"/>
      <c r="PN109" s="160"/>
      <c r="PO109" s="160"/>
      <c r="PP109" s="160"/>
      <c r="PQ109" s="160"/>
      <c r="PR109" s="160"/>
      <c r="PS109" s="160"/>
      <c r="PT109" s="160"/>
      <c r="PU109" s="160"/>
      <c r="PV109" s="160"/>
      <c r="PW109" s="160"/>
      <c r="PX109" s="160"/>
      <c r="PY109" s="160"/>
      <c r="PZ109" s="160"/>
      <c r="QA109" s="160"/>
      <c r="QB109" s="160"/>
      <c r="QC109" s="160"/>
      <c r="QD109" s="160"/>
      <c r="QE109" s="160"/>
      <c r="QF109" s="160"/>
      <c r="QG109" s="160"/>
      <c r="QH109" s="160"/>
      <c r="QI109" s="160"/>
      <c r="QJ109" s="160"/>
      <c r="QK109" s="160"/>
      <c r="QL109" s="160"/>
      <c r="QM109" s="160"/>
      <c r="QN109" s="160"/>
      <c r="QO109" s="160"/>
      <c r="QP109" s="160"/>
      <c r="QQ109" s="160"/>
      <c r="QR109" s="160"/>
      <c r="QS109" s="160"/>
      <c r="QT109" s="160"/>
      <c r="QU109" s="160"/>
      <c r="QV109" s="160"/>
      <c r="QW109" s="160"/>
      <c r="QX109" s="160"/>
      <c r="QY109" s="160"/>
      <c r="QZ109" s="160"/>
      <c r="RA109" s="160"/>
      <c r="RB109" s="160"/>
      <c r="RC109" s="160"/>
      <c r="RD109" s="160"/>
      <c r="RE109" s="160"/>
      <c r="RF109" s="160"/>
      <c r="RG109" s="160"/>
      <c r="RH109" s="160"/>
      <c r="RI109" s="160"/>
      <c r="RJ109" s="160"/>
      <c r="RK109" s="160"/>
      <c r="RL109" s="160"/>
      <c r="RM109" s="160"/>
      <c r="RN109" s="160"/>
      <c r="RO109" s="160"/>
      <c r="RP109" s="160"/>
      <c r="RQ109" s="160"/>
      <c r="RR109" s="160"/>
      <c r="RS109" s="160"/>
      <c r="RT109" s="160"/>
      <c r="RU109" s="160"/>
      <c r="RV109" s="160"/>
      <c r="RW109" s="160"/>
      <c r="RX109" s="160"/>
      <c r="RY109" s="160"/>
      <c r="RZ109" s="160"/>
      <c r="SA109" s="160"/>
      <c r="SB109" s="160"/>
      <c r="SC109" s="160"/>
      <c r="SD109" s="160"/>
      <c r="SE109" s="160"/>
      <c r="SF109" s="160"/>
      <c r="SG109" s="160"/>
      <c r="SH109" s="160"/>
      <c r="SI109" s="160"/>
      <c r="SJ109" s="160"/>
      <c r="SK109" s="160"/>
      <c r="SL109" s="160"/>
      <c r="SM109" s="160"/>
      <c r="SN109" s="160"/>
      <c r="SO109" s="160"/>
      <c r="SP109" s="160"/>
      <c r="SQ109" s="160"/>
      <c r="SR109" s="160"/>
      <c r="SS109" s="160"/>
      <c r="ST109" s="160"/>
      <c r="SU109" s="160"/>
      <c r="SV109" s="160"/>
      <c r="SW109" s="160"/>
      <c r="SX109" s="160"/>
      <c r="SY109" s="160"/>
      <c r="SZ109" s="160"/>
      <c r="TA109" s="160"/>
      <c r="TB109" s="160"/>
      <c r="TC109" s="160"/>
      <c r="TD109" s="160"/>
      <c r="TE109" s="160"/>
      <c r="TF109" s="160"/>
      <c r="TG109" s="160"/>
      <c r="TH109" s="160"/>
      <c r="TI109" s="160"/>
      <c r="TJ109" s="160"/>
      <c r="TK109" s="160"/>
      <c r="TL109" s="160"/>
      <c r="TM109" s="160"/>
      <c r="TN109" s="160"/>
      <c r="TO109" s="160"/>
      <c r="TP109" s="160"/>
      <c r="TQ109" s="160"/>
      <c r="TR109" s="160"/>
      <c r="TS109" s="160"/>
      <c r="TT109" s="160"/>
      <c r="TU109" s="160"/>
      <c r="TV109" s="160"/>
      <c r="TW109" s="160"/>
      <c r="TX109" s="160"/>
      <c r="TY109" s="160"/>
      <c r="TZ109" s="160"/>
      <c r="UA109" s="160"/>
      <c r="UB109" s="160"/>
      <c r="UC109" s="160"/>
      <c r="UD109" s="160"/>
      <c r="UE109" s="160"/>
      <c r="UF109" s="160"/>
      <c r="UG109" s="160"/>
      <c r="UH109" s="160"/>
      <c r="UI109" s="160"/>
      <c r="UJ109" s="160"/>
      <c r="UK109" s="160"/>
      <c r="UL109" s="160"/>
      <c r="UM109" s="160"/>
      <c r="UN109" s="160"/>
      <c r="UO109" s="160"/>
      <c r="UP109" s="160"/>
      <c r="UQ109" s="160"/>
      <c r="UR109" s="160"/>
      <c r="US109" s="160"/>
      <c r="UT109" s="160"/>
      <c r="UU109" s="160"/>
      <c r="UV109" s="160"/>
      <c r="UW109" s="160"/>
      <c r="UX109" s="160"/>
      <c r="UY109" s="160"/>
      <c r="UZ109" s="160"/>
      <c r="VA109" s="160"/>
      <c r="VB109" s="160"/>
      <c r="VC109" s="160"/>
      <c r="VD109" s="160"/>
      <c r="VE109" s="160"/>
      <c r="VF109" s="160"/>
      <c r="VG109" s="160"/>
      <c r="VH109" s="160"/>
      <c r="VI109" s="160"/>
      <c r="VJ109" s="160"/>
      <c r="VK109" s="160"/>
      <c r="VL109" s="160"/>
      <c r="VM109" s="160"/>
      <c r="VN109" s="160"/>
      <c r="VO109" s="160"/>
      <c r="VP109" s="160"/>
      <c r="VQ109" s="160"/>
      <c r="VR109" s="160"/>
      <c r="VS109" s="160"/>
      <c r="VT109" s="160"/>
      <c r="VU109" s="160"/>
      <c r="VV109" s="160"/>
      <c r="VW109" s="160"/>
      <c r="VX109" s="160"/>
      <c r="VY109" s="160"/>
      <c r="VZ109" s="160"/>
      <c r="WA109" s="160"/>
      <c r="WB109" s="160"/>
      <c r="WC109" s="160"/>
      <c r="WD109" s="160"/>
      <c r="WE109" s="160"/>
      <c r="WF109" s="160"/>
      <c r="WG109" s="160"/>
      <c r="WH109" s="160"/>
      <c r="WI109" s="160"/>
      <c r="WJ109" s="160"/>
      <c r="WK109" s="160"/>
      <c r="WL109" s="160"/>
      <c r="WM109" s="160"/>
      <c r="WN109" s="160"/>
      <c r="WO109" s="160"/>
      <c r="WP109" s="160"/>
      <c r="WQ109" s="160"/>
      <c r="WR109" s="160"/>
      <c r="WS109" s="160"/>
      <c r="WT109" s="160"/>
      <c r="WU109" s="160"/>
      <c r="WV109" s="160"/>
      <c r="WW109" s="160"/>
      <c r="WX109" s="160"/>
      <c r="WY109" s="160"/>
      <c r="WZ109" s="160"/>
      <c r="XA109" s="160"/>
      <c r="XB109" s="160"/>
      <c r="XC109" s="160"/>
      <c r="XD109" s="160"/>
      <c r="XE109" s="160"/>
      <c r="XF109" s="160"/>
      <c r="XG109" s="160"/>
      <c r="XH109" s="160"/>
      <c r="XI109" s="160"/>
      <c r="XJ109" s="160"/>
      <c r="XK109" s="160"/>
      <c r="XL109" s="160"/>
      <c r="XM109" s="160"/>
      <c r="XN109" s="160"/>
      <c r="XO109" s="160"/>
      <c r="XP109" s="160"/>
      <c r="XQ109" s="160"/>
      <c r="XR109" s="160"/>
      <c r="XS109" s="160"/>
      <c r="XT109" s="160"/>
      <c r="XU109" s="160"/>
      <c r="XV109" s="160"/>
      <c r="XW109" s="160"/>
      <c r="XX109" s="160"/>
      <c r="XY109" s="160"/>
      <c r="XZ109" s="160"/>
      <c r="YA109" s="160"/>
      <c r="YB109" s="160"/>
      <c r="YC109" s="160"/>
      <c r="YD109" s="160"/>
      <c r="YE109" s="160"/>
      <c r="YF109" s="160"/>
      <c r="YG109" s="160"/>
      <c r="YH109" s="160"/>
      <c r="YI109" s="160"/>
      <c r="YJ109" s="160"/>
      <c r="YK109" s="160"/>
      <c r="YL109" s="160"/>
      <c r="YM109" s="160"/>
      <c r="YN109" s="160"/>
      <c r="YO109" s="160"/>
      <c r="YP109" s="160"/>
      <c r="YQ109" s="160"/>
      <c r="YR109" s="160"/>
      <c r="YS109" s="160"/>
      <c r="YT109" s="160"/>
      <c r="YU109" s="160"/>
      <c r="YV109" s="160"/>
      <c r="YW109" s="160"/>
      <c r="YX109" s="160"/>
      <c r="YY109" s="160"/>
      <c r="YZ109" s="160"/>
      <c r="ZA109" s="160"/>
      <c r="ZB109" s="160"/>
      <c r="ZC109" s="160"/>
      <c r="ZD109" s="160"/>
      <c r="ZE109" s="160"/>
      <c r="ZF109" s="160"/>
      <c r="ZG109" s="160"/>
      <c r="ZH109" s="160"/>
      <c r="ZI109" s="160"/>
      <c r="ZJ109" s="160"/>
      <c r="ZK109" s="160"/>
      <c r="ZL109" s="160"/>
      <c r="ZM109" s="160"/>
      <c r="ZN109" s="160"/>
      <c r="ZO109" s="160"/>
      <c r="ZP109" s="160"/>
      <c r="ZQ109" s="160"/>
      <c r="ZR109" s="160"/>
      <c r="ZS109" s="160"/>
      <c r="ZT109" s="160"/>
      <c r="ZU109" s="160"/>
      <c r="ZV109" s="160"/>
      <c r="ZW109" s="160"/>
      <c r="ZX109" s="160"/>
      <c r="ZY109" s="160"/>
      <c r="ZZ109" s="160"/>
      <c r="AAA109" s="160"/>
      <c r="AAB109" s="160"/>
      <c r="AAC109" s="160"/>
      <c r="AAD109" s="160"/>
      <c r="AAE109" s="160"/>
      <c r="AAF109" s="160"/>
      <c r="AAG109" s="160"/>
      <c r="AAH109" s="160"/>
      <c r="AAI109" s="160"/>
      <c r="AAJ109" s="160"/>
      <c r="AAK109" s="160"/>
      <c r="AAL109" s="160"/>
      <c r="AAM109" s="160"/>
      <c r="AAN109" s="160"/>
      <c r="AAO109" s="160"/>
      <c r="AAP109" s="160"/>
      <c r="AAQ109" s="160"/>
      <c r="AAR109" s="160"/>
      <c r="AAS109" s="160"/>
      <c r="AAT109" s="160"/>
      <c r="AAU109" s="160"/>
      <c r="AAV109" s="160"/>
      <c r="AAW109" s="160"/>
      <c r="AAX109" s="160"/>
      <c r="AAY109" s="160"/>
      <c r="AAZ109" s="160"/>
      <c r="ABA109" s="160"/>
      <c r="ABB109" s="160"/>
      <c r="ABC109" s="160"/>
      <c r="ABD109" s="160"/>
      <c r="ABE109" s="160"/>
      <c r="ABF109" s="160"/>
      <c r="ABG109" s="160"/>
      <c r="ABH109" s="160"/>
      <c r="ABI109" s="160"/>
      <c r="ABJ109" s="160"/>
      <c r="ABK109" s="160"/>
      <c r="ABL109" s="160"/>
      <c r="ABM109" s="160"/>
      <c r="ABN109" s="160"/>
      <c r="ABO109" s="160"/>
      <c r="ABP109" s="160"/>
      <c r="ABQ109" s="160"/>
      <c r="ABR109" s="160"/>
      <c r="ABS109" s="160"/>
      <c r="ABT109" s="160"/>
      <c r="ABU109" s="160"/>
      <c r="ABV109" s="160"/>
      <c r="ABW109" s="160"/>
      <c r="ABX109" s="160"/>
      <c r="ABY109" s="160"/>
      <c r="ABZ109" s="160"/>
      <c r="ACA109" s="160"/>
      <c r="ACB109" s="160"/>
      <c r="ACC109" s="160"/>
      <c r="ACD109" s="160"/>
      <c r="ACE109" s="160"/>
      <c r="ACF109" s="160"/>
      <c r="ACG109" s="160"/>
      <c r="ACH109" s="160"/>
      <c r="ACI109" s="160"/>
      <c r="ACJ109" s="160"/>
      <c r="ACK109" s="160"/>
      <c r="ACL109" s="160"/>
      <c r="ACM109" s="160"/>
      <c r="ACN109" s="160"/>
      <c r="ACO109" s="160"/>
      <c r="ACP109" s="160"/>
      <c r="ACQ109" s="160"/>
      <c r="ACR109" s="160"/>
      <c r="ACS109" s="160"/>
      <c r="ACT109" s="160"/>
      <c r="ACU109" s="160"/>
      <c r="ACV109" s="160"/>
      <c r="ACW109" s="160"/>
      <c r="ACX109" s="160"/>
      <c r="ACY109" s="160"/>
      <c r="ACZ109" s="160"/>
      <c r="ADA109" s="160"/>
      <c r="ADB109" s="160"/>
      <c r="ADC109" s="160"/>
      <c r="ADD109" s="160"/>
      <c r="ADE109" s="160"/>
      <c r="ADF109" s="160"/>
      <c r="ADG109" s="160"/>
      <c r="ADH109" s="160"/>
      <c r="ADI109" s="160"/>
      <c r="ADJ109" s="160"/>
      <c r="ADK109" s="160"/>
      <c r="ADL109" s="160"/>
      <c r="ADM109" s="160"/>
      <c r="ADN109" s="160"/>
      <c r="ADO109" s="160"/>
      <c r="ADP109" s="160"/>
      <c r="ADQ109" s="160"/>
      <c r="ADR109" s="160"/>
      <c r="ADS109" s="160"/>
      <c r="ADT109" s="160"/>
      <c r="ADU109" s="160"/>
      <c r="ADV109" s="160"/>
      <c r="ADW109" s="160"/>
      <c r="ADX109" s="160"/>
      <c r="ADY109" s="160"/>
      <c r="ADZ109" s="160"/>
      <c r="AEA109" s="160"/>
      <c r="AEB109" s="160"/>
      <c r="AEC109" s="160"/>
      <c r="AED109" s="160"/>
      <c r="AEE109" s="160"/>
      <c r="AEF109" s="160"/>
      <c r="AEG109" s="160"/>
      <c r="AEH109" s="160"/>
      <c r="AEI109" s="160"/>
      <c r="AEJ109" s="160"/>
      <c r="AEK109" s="160"/>
      <c r="AEL109" s="160"/>
      <c r="AEM109" s="160"/>
      <c r="AEN109" s="160"/>
      <c r="AEO109" s="160"/>
      <c r="AEP109" s="160"/>
      <c r="AEQ109" s="160"/>
      <c r="AER109" s="160"/>
      <c r="AES109" s="160"/>
      <c r="AET109" s="160"/>
      <c r="AEU109" s="160"/>
      <c r="AEV109" s="160"/>
      <c r="AEW109" s="160"/>
      <c r="AEX109" s="160"/>
      <c r="AEY109" s="160"/>
      <c r="AEZ109" s="160"/>
      <c r="AFA109" s="160"/>
      <c r="AFB109" s="160"/>
      <c r="AFC109" s="160"/>
      <c r="AFD109" s="160"/>
      <c r="AFE109" s="160"/>
      <c r="AFF109" s="160"/>
      <c r="AFG109" s="160"/>
      <c r="AFH109" s="160"/>
      <c r="AFI109" s="160"/>
      <c r="AFJ109" s="160"/>
      <c r="AFK109" s="160"/>
      <c r="AFL109" s="160"/>
      <c r="AFM109" s="160"/>
      <c r="AFN109" s="160"/>
      <c r="AFO109" s="160"/>
      <c r="AFP109" s="160"/>
      <c r="AFQ109" s="160"/>
      <c r="AFR109" s="160"/>
      <c r="AFS109" s="160"/>
      <c r="AFT109" s="160"/>
      <c r="AFU109" s="160"/>
      <c r="AFV109" s="160"/>
      <c r="AFW109" s="160"/>
      <c r="AFX109" s="160"/>
      <c r="AFY109" s="160"/>
      <c r="AFZ109" s="160"/>
      <c r="AGA109" s="160"/>
      <c r="AGB109" s="160"/>
      <c r="AGC109" s="160"/>
      <c r="AGD109" s="160"/>
      <c r="AGE109" s="160"/>
      <c r="AGF109" s="160"/>
      <c r="AGG109" s="160"/>
      <c r="AGH109" s="160"/>
      <c r="AGI109" s="160"/>
      <c r="AGJ109" s="160"/>
      <c r="AGK109" s="160"/>
      <c r="AGL109" s="160"/>
      <c r="AGM109" s="160"/>
      <c r="AGN109" s="160"/>
      <c r="AGO109" s="160"/>
      <c r="AGP109" s="160"/>
      <c r="AGQ109" s="160"/>
      <c r="AGR109" s="160"/>
      <c r="AGS109" s="160"/>
      <c r="AGT109" s="160"/>
      <c r="AGU109" s="160"/>
      <c r="AGV109" s="160"/>
      <c r="AGW109" s="160"/>
      <c r="AGX109" s="160"/>
      <c r="AGY109" s="160"/>
      <c r="AGZ109" s="160"/>
      <c r="AHA109" s="160"/>
      <c r="AHB109" s="160"/>
      <c r="AHC109" s="160"/>
      <c r="AHD109" s="160"/>
      <c r="AHE109" s="160"/>
      <c r="AHF109" s="160"/>
      <c r="AHG109" s="160"/>
      <c r="AHH109" s="160"/>
      <c r="AHI109" s="160"/>
      <c r="AHJ109" s="160"/>
      <c r="AHK109" s="160"/>
      <c r="AHL109" s="160"/>
      <c r="AHM109" s="160"/>
      <c r="AHN109" s="160"/>
      <c r="AHO109" s="160"/>
      <c r="AHP109" s="160"/>
      <c r="AHQ109" s="160"/>
      <c r="AHR109" s="160"/>
      <c r="AHS109" s="160"/>
      <c r="AHT109" s="160"/>
      <c r="AHU109" s="160"/>
      <c r="AHV109" s="160"/>
      <c r="AHW109" s="160"/>
      <c r="AHX109" s="160"/>
      <c r="AHY109" s="160"/>
      <c r="AHZ109" s="160"/>
      <c r="AIA109" s="160"/>
      <c r="AIB109" s="160"/>
      <c r="AIC109" s="160"/>
      <c r="AID109" s="160"/>
      <c r="AIE109" s="160"/>
      <c r="AIF109" s="160"/>
      <c r="AIG109" s="160"/>
      <c r="AIH109" s="160"/>
      <c r="AII109" s="160"/>
      <c r="AIJ109" s="160"/>
      <c r="AIK109" s="160"/>
      <c r="AIL109" s="160"/>
      <c r="AIM109" s="160"/>
      <c r="AIN109" s="160"/>
      <c r="AIO109" s="160"/>
      <c r="AIP109" s="160"/>
      <c r="AIQ109" s="160"/>
      <c r="AIR109" s="160"/>
      <c r="AIS109" s="160"/>
      <c r="AIT109" s="160"/>
      <c r="AIU109" s="160"/>
      <c r="AIV109" s="160"/>
      <c r="AIW109" s="160"/>
      <c r="AIX109" s="160"/>
      <c r="AIY109" s="160"/>
      <c r="AIZ109" s="160"/>
      <c r="AJA109" s="160"/>
      <c r="AJB109" s="160"/>
      <c r="AJC109" s="160"/>
      <c r="AJD109" s="160"/>
      <c r="AJE109" s="160"/>
      <c r="AJF109" s="160"/>
      <c r="AJG109" s="160"/>
      <c r="AJH109" s="160"/>
      <c r="AJI109" s="160"/>
      <c r="AJJ109" s="160"/>
      <c r="AJK109" s="160"/>
      <c r="AJL109" s="160"/>
      <c r="AJM109" s="160"/>
      <c r="AJN109" s="160"/>
      <c r="AJO109" s="160"/>
      <c r="AJP109" s="160"/>
      <c r="AJQ109" s="160"/>
      <c r="AJR109" s="160"/>
      <c r="AJS109" s="160"/>
      <c r="AJT109" s="160"/>
      <c r="AJU109" s="160"/>
      <c r="AJV109" s="160"/>
      <c r="AJW109" s="160"/>
      <c r="AJX109" s="160"/>
      <c r="AJY109" s="160"/>
      <c r="AJZ109" s="160"/>
      <c r="AKA109" s="160"/>
      <c r="AKB109" s="160"/>
      <c r="AKC109" s="160"/>
      <c r="AKD109" s="160"/>
      <c r="AKE109" s="160"/>
      <c r="AKF109" s="160"/>
      <c r="AKG109" s="160"/>
      <c r="AKH109" s="160"/>
      <c r="AKI109" s="160"/>
      <c r="AKJ109" s="160"/>
      <c r="AKK109" s="160"/>
      <c r="AKL109" s="160"/>
      <c r="AKM109" s="160"/>
      <c r="AKN109" s="160"/>
      <c r="AKO109" s="160"/>
      <c r="AKP109" s="160"/>
      <c r="AKQ109" s="160"/>
      <c r="AKR109" s="160"/>
      <c r="AKS109" s="160"/>
      <c r="AKT109" s="160"/>
      <c r="AKU109" s="160"/>
      <c r="AKV109" s="160"/>
      <c r="AKW109" s="160"/>
      <c r="AKX109" s="160"/>
      <c r="AKY109" s="160"/>
      <c r="AKZ109" s="160"/>
      <c r="ALA109" s="160"/>
      <c r="ALB109" s="160"/>
      <c r="ALC109" s="160"/>
      <c r="ALD109" s="160"/>
      <c r="ALE109" s="160"/>
      <c r="ALF109" s="160"/>
      <c r="ALG109" s="160"/>
      <c r="ALH109" s="160"/>
      <c r="ALI109" s="160"/>
      <c r="ALJ109" s="160"/>
      <c r="ALK109" s="160"/>
      <c r="ALL109" s="160"/>
      <c r="ALM109" s="160"/>
      <c r="ALN109" s="160"/>
      <c r="ALO109" s="160"/>
      <c r="ALP109" s="160"/>
      <c r="ALQ109" s="160"/>
      <c r="ALR109" s="160"/>
      <c r="ALS109" s="160"/>
      <c r="ALT109" s="160"/>
      <c r="ALU109" s="160"/>
      <c r="ALV109" s="160"/>
      <c r="ALW109" s="160"/>
      <c r="ALX109" s="160"/>
      <c r="ALY109" s="160"/>
      <c r="ALZ109" s="160"/>
      <c r="AMA109" s="160"/>
      <c r="AMB109" s="160"/>
      <c r="AMC109" s="160"/>
      <c r="AMD109" s="160"/>
      <c r="AME109" s="158"/>
    </row>
    <row r="110" spans="1:1019">
      <c r="T110" s="161"/>
      <c r="U110" s="161"/>
    </row>
    <row r="111" spans="1:1019">
      <c r="T111" s="161"/>
      <c r="U111" s="161"/>
    </row>
    <row r="112" spans="1:1019">
      <c r="T112" s="161"/>
      <c r="U112" s="161"/>
    </row>
  </sheetData>
  <printOptions horizontalCentered="1"/>
  <pageMargins left="0" right="0" top="1.3779527559055118" bottom="0.55118110236220474" header="0.9055118110236221" footer="0.31496062992125984"/>
  <pageSetup paperSize="9" scale="85" firstPageNumber="0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ME114"/>
  <sheetViews>
    <sheetView showZeros="0" rightToLeft="1" zoomScaleNormal="100" workbookViewId="0">
      <pane xSplit="3" ySplit="4" topLeftCell="D101" activePane="bottomRight" state="frozen"/>
      <selection activeCell="E28" sqref="E28"/>
      <selection pane="topRight" activeCell="E28" sqref="E28"/>
      <selection pane="bottomLeft" activeCell="E28" sqref="E28"/>
      <selection pane="bottomRight" activeCell="V113" sqref="V113"/>
    </sheetView>
  </sheetViews>
  <sheetFormatPr defaultColWidth="14" defaultRowHeight="15"/>
  <cols>
    <col min="1" max="1" width="7.28515625" style="160" bestFit="1" customWidth="1"/>
    <col min="2" max="2" width="9.140625" style="624" customWidth="1"/>
    <col min="3" max="3" width="33.28515625" style="160" customWidth="1"/>
    <col min="4" max="4" width="11.85546875" style="191" customWidth="1"/>
    <col min="5" max="6" width="14" style="191" hidden="1" customWidth="1"/>
    <col min="7" max="7" width="12.140625" style="191" hidden="1" customWidth="1"/>
    <col min="8" max="8" width="14" style="191" hidden="1" customWidth="1"/>
    <col min="9" max="11" width="12.140625" style="191" hidden="1" customWidth="1"/>
    <col min="12" max="12" width="12.140625" style="191" customWidth="1"/>
    <col min="13" max="13" width="10.7109375" style="191" customWidth="1"/>
    <col min="14" max="14" width="12.140625" style="629" customWidth="1"/>
    <col min="15" max="15" width="12.140625" style="191" customWidth="1"/>
    <col min="16" max="19" width="12.140625" style="191" hidden="1" customWidth="1"/>
    <col min="20" max="20" width="11" style="192" customWidth="1"/>
    <col min="21" max="21" width="12.140625" style="160" customWidth="1"/>
    <col min="22" max="22" width="12.140625" style="159" customWidth="1"/>
    <col min="23" max="23" width="6.140625" style="193" customWidth="1"/>
    <col min="24" max="25" width="7.28515625" style="160" customWidth="1"/>
    <col min="26" max="26" width="7.5703125" style="160" customWidth="1"/>
    <col min="27" max="27" width="10.85546875" style="160" customWidth="1"/>
    <col min="28" max="28" width="11.5703125" style="160" customWidth="1"/>
    <col min="29" max="29" width="10.85546875" style="157" customWidth="1"/>
    <col min="30" max="30" width="12.85546875" style="157" customWidth="1"/>
    <col min="31" max="31" width="17.28515625" style="157" customWidth="1"/>
    <col min="32" max="34" width="18.28515625" style="160" customWidth="1"/>
    <col min="35" max="1018" width="14" style="160"/>
    <col min="1019" max="16384" width="14" style="158"/>
  </cols>
  <sheetData>
    <row r="2" spans="1:1019" ht="20.25">
      <c r="A2" s="668" t="s">
        <v>382</v>
      </c>
      <c r="B2" s="156"/>
      <c r="C2" s="156"/>
      <c r="D2" s="156"/>
      <c r="E2" s="649"/>
      <c r="F2" s="156"/>
      <c r="G2" s="648"/>
      <c r="H2" s="156"/>
      <c r="I2" s="156"/>
      <c r="J2" s="156"/>
      <c r="K2" s="156"/>
      <c r="L2" s="156"/>
      <c r="M2" s="156"/>
      <c r="N2" s="156"/>
      <c r="O2" s="649"/>
      <c r="P2" s="179"/>
      <c r="Q2" s="156"/>
      <c r="R2" s="156"/>
      <c r="S2" s="156"/>
      <c r="T2" s="156"/>
      <c r="U2" s="156"/>
      <c r="V2" s="156"/>
      <c r="W2" s="156"/>
      <c r="X2" s="156"/>
      <c r="Y2" s="156"/>
      <c r="Z2" s="156"/>
      <c r="AB2" s="156"/>
    </row>
    <row r="3" spans="1:1019">
      <c r="D3" s="640"/>
      <c r="E3" s="162"/>
      <c r="F3" s="162"/>
      <c r="G3" s="162"/>
      <c r="H3" s="162"/>
      <c r="I3" s="162"/>
      <c r="J3" s="162"/>
      <c r="K3" s="162"/>
      <c r="L3" s="162"/>
      <c r="M3" s="162"/>
      <c r="N3" s="626"/>
      <c r="O3" s="162"/>
      <c r="P3" s="162"/>
      <c r="Q3" s="162"/>
      <c r="R3" s="162"/>
      <c r="S3" s="162"/>
      <c r="T3" s="162"/>
      <c r="U3" s="641"/>
      <c r="V3" s="641"/>
      <c r="W3" s="165"/>
      <c r="X3" s="163"/>
      <c r="Y3" s="163"/>
      <c r="Z3" s="163"/>
      <c r="AB3" s="157"/>
    </row>
    <row r="4" spans="1:1019" s="167" customFormat="1" ht="75">
      <c r="A4" s="166" t="s">
        <v>0</v>
      </c>
      <c r="B4" s="188" t="s">
        <v>1</v>
      </c>
      <c r="C4" s="166" t="s">
        <v>2</v>
      </c>
      <c r="D4" s="166" t="s">
        <v>3</v>
      </c>
      <c r="E4" s="166" t="s">
        <v>4</v>
      </c>
      <c r="F4" s="166" t="s">
        <v>5</v>
      </c>
      <c r="G4" s="166" t="s">
        <v>6</v>
      </c>
      <c r="H4" s="166" t="s">
        <v>7</v>
      </c>
      <c r="I4" s="166" t="s">
        <v>9</v>
      </c>
      <c r="J4" s="166" t="s">
        <v>423</v>
      </c>
      <c r="K4" s="166" t="s">
        <v>10</v>
      </c>
      <c r="L4" s="166" t="s">
        <v>11</v>
      </c>
      <c r="M4" s="166" t="s">
        <v>414</v>
      </c>
      <c r="N4" s="188" t="s">
        <v>463</v>
      </c>
      <c r="O4" s="166" t="s">
        <v>416</v>
      </c>
      <c r="P4" s="166" t="s">
        <v>12</v>
      </c>
      <c r="Q4" s="166" t="s">
        <v>417</v>
      </c>
      <c r="R4" s="166" t="s">
        <v>418</v>
      </c>
      <c r="S4" s="166" t="s">
        <v>419</v>
      </c>
      <c r="T4" s="166" t="s">
        <v>420</v>
      </c>
      <c r="U4" s="166" t="s">
        <v>464</v>
      </c>
      <c r="V4" s="166" t="s">
        <v>13</v>
      </c>
      <c r="W4" s="166" t="s">
        <v>14</v>
      </c>
      <c r="X4" s="166" t="s">
        <v>15</v>
      </c>
      <c r="Y4" s="166" t="s">
        <v>914</v>
      </c>
      <c r="Z4" s="166" t="s">
        <v>184</v>
      </c>
      <c r="AA4" s="639" t="s">
        <v>16</v>
      </c>
      <c r="AB4" s="157"/>
      <c r="AC4" s="157"/>
      <c r="AD4" s="157"/>
      <c r="AE4" s="157"/>
      <c r="AME4" s="158"/>
    </row>
    <row r="5" spans="1:1019">
      <c r="A5" s="168"/>
      <c r="B5" s="175"/>
      <c r="C5" s="173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87"/>
      <c r="O5" s="169"/>
      <c r="P5" s="169"/>
      <c r="Q5" s="169"/>
      <c r="R5" s="169"/>
      <c r="S5" s="169"/>
      <c r="T5" s="169"/>
      <c r="U5" s="169"/>
      <c r="V5" s="169"/>
      <c r="W5" s="171"/>
      <c r="X5" s="169"/>
      <c r="Y5" s="169"/>
      <c r="Z5" s="168"/>
      <c r="AA5" s="659"/>
      <c r="AB5" s="157"/>
    </row>
    <row r="6" spans="1:1019">
      <c r="A6" s="168">
        <f>A5+1</f>
        <v>1</v>
      </c>
      <c r="B6" s="175">
        <v>179</v>
      </c>
      <c r="C6" s="168" t="s">
        <v>465</v>
      </c>
      <c r="D6" s="169">
        <f>'הנדסה '!D6</f>
        <v>3000000</v>
      </c>
      <c r="E6" s="169">
        <f>'הנדסה '!E6</f>
        <v>3000000</v>
      </c>
      <c r="F6" s="169">
        <f>'הנדסה '!F6</f>
        <v>0</v>
      </c>
      <c r="G6" s="169">
        <f>'הנדסה '!G6</f>
        <v>2970250</v>
      </c>
      <c r="H6" s="169">
        <f>'הנדסה '!H6</f>
        <v>2641510.9700000002</v>
      </c>
      <c r="I6" s="169">
        <f>'הנדסה '!I6</f>
        <v>0</v>
      </c>
      <c r="J6" s="169">
        <f>'הנדסה '!J6</f>
        <v>94175.58</v>
      </c>
      <c r="K6" s="169">
        <f>'הנדסה '!K6</f>
        <v>94175.58</v>
      </c>
      <c r="L6" s="169">
        <f>'הנדסה '!L6</f>
        <v>2735686.5500000003</v>
      </c>
      <c r="M6" s="169">
        <f>'הנדסה '!M6</f>
        <v>34563.449999999721</v>
      </c>
      <c r="N6" s="169">
        <f>'הנדסה '!N6</f>
        <v>100000</v>
      </c>
      <c r="O6" s="169">
        <f>'הנדסה '!O6</f>
        <v>129750</v>
      </c>
      <c r="P6" s="169">
        <f>'הנדסה '!P6</f>
        <v>234563.44999999972</v>
      </c>
      <c r="Q6" s="169">
        <f>'הנדסה '!Q6</f>
        <v>0</v>
      </c>
      <c r="R6" s="169">
        <f>'הנדסה '!R6</f>
        <v>0</v>
      </c>
      <c r="S6" s="169">
        <f>'הנדסה '!S6</f>
        <v>0</v>
      </c>
      <c r="T6" s="169">
        <f>'הנדסה '!T6</f>
        <v>200000</v>
      </c>
      <c r="U6" s="169">
        <f>'הנדסה '!U6</f>
        <v>-100000</v>
      </c>
      <c r="V6" s="169">
        <f>'הנדסה '!V6</f>
        <v>-100000</v>
      </c>
      <c r="W6" s="169">
        <f>'הנדסה '!W6</f>
        <v>0</v>
      </c>
      <c r="X6" s="169">
        <f>'הנדסה '!X6</f>
        <v>0</v>
      </c>
      <c r="Y6" s="169">
        <f>'הנדסה '!Y6</f>
        <v>0</v>
      </c>
      <c r="Z6" s="169">
        <f>'הנדסה '!Z6</f>
        <v>0</v>
      </c>
      <c r="AA6" s="659">
        <f>'הנדסה '!AA6</f>
        <v>732000</v>
      </c>
      <c r="AB6" s="157"/>
    </row>
    <row r="7" spans="1:1019" ht="15" customHeight="1">
      <c r="A7" s="168">
        <f t="shared" ref="A7:A47" si="0">A6+1</f>
        <v>2</v>
      </c>
      <c r="B7" s="175">
        <v>626</v>
      </c>
      <c r="C7" s="168" t="s">
        <v>903</v>
      </c>
      <c r="D7" s="169">
        <f>'הנדסה '!D12</f>
        <v>20025000</v>
      </c>
      <c r="E7" s="169">
        <f>'הנדסה '!E12</f>
        <v>20025000</v>
      </c>
      <c r="F7" s="169">
        <f>'הנדסה '!F12</f>
        <v>0</v>
      </c>
      <c r="G7" s="169">
        <f>'הנדסה '!G12</f>
        <v>14525000</v>
      </c>
      <c r="H7" s="169">
        <f>'הנדסה '!H12</f>
        <v>13520762.77</v>
      </c>
      <c r="I7" s="169">
        <f>'הנדסה '!I12</f>
        <v>151233.85999999999</v>
      </c>
      <c r="J7" s="169">
        <f>'הנדסה '!J12</f>
        <v>94680.29</v>
      </c>
      <c r="K7" s="169">
        <f>'הנדסה '!K12</f>
        <v>245914.14999999997</v>
      </c>
      <c r="L7" s="169">
        <f>'הנדסה '!L12</f>
        <v>13766676.92</v>
      </c>
      <c r="M7" s="169">
        <f>'הנדסה '!M12</f>
        <v>258323.08000000007</v>
      </c>
      <c r="N7" s="169">
        <f>'הנדסה '!N12</f>
        <v>500000</v>
      </c>
      <c r="O7" s="169">
        <f>'הנדסה '!O12</f>
        <v>5500000</v>
      </c>
      <c r="P7" s="169">
        <f>'הנדסה '!P12</f>
        <v>758323.08000000007</v>
      </c>
      <c r="Q7" s="169">
        <f>'הנדסה '!Q12</f>
        <v>0</v>
      </c>
      <c r="R7" s="169">
        <f>'הנדסה '!R12</f>
        <v>0</v>
      </c>
      <c r="S7" s="169">
        <f>'הנדסה '!S12</f>
        <v>0</v>
      </c>
      <c r="T7" s="169">
        <f>'הנדסה '!T12</f>
        <v>500000</v>
      </c>
      <c r="U7" s="169">
        <f>'הנדסה '!U12</f>
        <v>0</v>
      </c>
      <c r="V7" s="169">
        <f>'הנדסה '!V12</f>
        <v>0</v>
      </c>
      <c r="W7" s="169">
        <f>'הנדסה '!W12</f>
        <v>0</v>
      </c>
      <c r="X7" s="169">
        <f>'הנדסה '!X12</f>
        <v>0</v>
      </c>
      <c r="Y7" s="169">
        <f>'הנדסה '!Y12</f>
        <v>0</v>
      </c>
      <c r="Z7" s="169">
        <f>'הנדסה '!Z12</f>
        <v>0</v>
      </c>
      <c r="AA7" s="659">
        <f>'הנדסה '!AA12</f>
        <v>732000</v>
      </c>
      <c r="AB7" s="157"/>
      <c r="AF7" s="172"/>
      <c r="AG7" s="172"/>
      <c r="AH7" s="172"/>
      <c r="AI7" s="172"/>
      <c r="AJ7" s="172"/>
      <c r="AK7" s="172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4"/>
      <c r="ED7" s="174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4"/>
      <c r="EP7" s="174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/>
      <c r="FN7" s="174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4"/>
      <c r="FZ7" s="174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4"/>
      <c r="GM7" s="174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4"/>
      <c r="GY7" s="174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4"/>
      <c r="HK7" s="174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4"/>
      <c r="HW7" s="174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4"/>
      <c r="II7" s="174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4"/>
      <c r="IU7" s="174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4"/>
      <c r="JG7" s="174"/>
      <c r="JH7" s="174"/>
      <c r="JI7" s="174"/>
      <c r="JJ7" s="174"/>
      <c r="JK7" s="174"/>
      <c r="JL7" s="174"/>
      <c r="JM7" s="174"/>
      <c r="JN7" s="174"/>
      <c r="JO7" s="174"/>
      <c r="JP7" s="174"/>
      <c r="JQ7" s="174"/>
      <c r="JR7" s="174"/>
      <c r="JS7" s="174"/>
      <c r="JT7" s="174"/>
      <c r="JU7" s="174"/>
      <c r="JV7" s="174"/>
      <c r="JW7" s="174"/>
      <c r="JX7" s="174"/>
      <c r="JY7" s="174"/>
      <c r="JZ7" s="174"/>
      <c r="KA7" s="174"/>
      <c r="KB7" s="174"/>
      <c r="KC7" s="174"/>
      <c r="KD7" s="174"/>
      <c r="KE7" s="174"/>
      <c r="KF7" s="174"/>
      <c r="KG7" s="174"/>
      <c r="KH7" s="174"/>
      <c r="KI7" s="174"/>
      <c r="KJ7" s="174"/>
      <c r="KK7" s="174"/>
      <c r="KL7" s="174"/>
      <c r="KM7" s="174"/>
      <c r="KN7" s="174"/>
      <c r="KO7" s="174"/>
      <c r="KP7" s="174"/>
      <c r="KQ7" s="174"/>
      <c r="KR7" s="174"/>
      <c r="KS7" s="174"/>
      <c r="KT7" s="174"/>
      <c r="KU7" s="174"/>
      <c r="KV7" s="174"/>
      <c r="KW7" s="174"/>
      <c r="KX7" s="174"/>
      <c r="KY7" s="174"/>
      <c r="KZ7" s="174"/>
      <c r="LA7" s="174"/>
      <c r="LB7" s="174"/>
      <c r="LC7" s="174"/>
      <c r="LD7" s="174"/>
      <c r="LE7" s="174"/>
      <c r="LF7" s="174"/>
      <c r="LG7" s="174"/>
      <c r="LH7" s="174"/>
      <c r="LI7" s="174"/>
      <c r="LJ7" s="174"/>
      <c r="LK7" s="174"/>
      <c r="LL7" s="174"/>
      <c r="LM7" s="174"/>
      <c r="LN7" s="174"/>
      <c r="LO7" s="174"/>
      <c r="LP7" s="174"/>
      <c r="LQ7" s="174"/>
      <c r="LR7" s="174"/>
      <c r="LS7" s="174"/>
      <c r="LT7" s="174"/>
      <c r="LU7" s="174"/>
      <c r="LV7" s="174"/>
      <c r="LW7" s="174"/>
      <c r="LX7" s="174"/>
      <c r="LY7" s="174"/>
      <c r="LZ7" s="174"/>
      <c r="MA7" s="174"/>
      <c r="MB7" s="174"/>
      <c r="MC7" s="174"/>
      <c r="MD7" s="174"/>
      <c r="ME7" s="174"/>
      <c r="MF7" s="174"/>
      <c r="MG7" s="174"/>
      <c r="MH7" s="174"/>
      <c r="MI7" s="174"/>
      <c r="MJ7" s="174"/>
      <c r="MK7" s="174"/>
      <c r="ML7" s="174"/>
      <c r="MM7" s="174"/>
      <c r="MN7" s="174"/>
      <c r="MO7" s="174"/>
      <c r="MP7" s="174"/>
      <c r="MQ7" s="174"/>
      <c r="MR7" s="174"/>
      <c r="MS7" s="174"/>
      <c r="MT7" s="174"/>
      <c r="MU7" s="174"/>
      <c r="MV7" s="174"/>
      <c r="MW7" s="174"/>
      <c r="MX7" s="174"/>
      <c r="MY7" s="174"/>
      <c r="MZ7" s="174"/>
      <c r="NA7" s="174"/>
      <c r="NB7" s="174"/>
      <c r="NC7" s="174"/>
      <c r="ND7" s="174"/>
      <c r="NE7" s="174"/>
      <c r="NF7" s="174"/>
      <c r="NG7" s="174"/>
      <c r="NH7" s="174"/>
      <c r="NI7" s="174"/>
      <c r="NJ7" s="174"/>
      <c r="NK7" s="174"/>
      <c r="NL7" s="174"/>
      <c r="NM7" s="174"/>
      <c r="NN7" s="174"/>
      <c r="NO7" s="174"/>
      <c r="NP7" s="174"/>
      <c r="NQ7" s="174"/>
      <c r="NR7" s="174"/>
      <c r="NS7" s="174"/>
      <c r="NT7" s="174"/>
      <c r="NU7" s="174"/>
      <c r="NV7" s="174"/>
      <c r="NW7" s="174"/>
      <c r="NX7" s="174"/>
      <c r="NY7" s="174"/>
      <c r="NZ7" s="174"/>
      <c r="OA7" s="174"/>
      <c r="OB7" s="174"/>
      <c r="OC7" s="174"/>
      <c r="OD7" s="174"/>
      <c r="OE7" s="174"/>
      <c r="OF7" s="174"/>
      <c r="OG7" s="174"/>
      <c r="OH7" s="174"/>
      <c r="OI7" s="174"/>
      <c r="OJ7" s="174"/>
      <c r="OK7" s="174"/>
      <c r="OL7" s="174"/>
      <c r="OM7" s="174"/>
      <c r="ON7" s="174"/>
      <c r="OO7" s="174"/>
      <c r="OP7" s="174"/>
      <c r="OQ7" s="174"/>
      <c r="OR7" s="174"/>
      <c r="OS7" s="174"/>
      <c r="OT7" s="174"/>
      <c r="OU7" s="174"/>
      <c r="OV7" s="174"/>
      <c r="OW7" s="174"/>
      <c r="OX7" s="174"/>
      <c r="OY7" s="174"/>
      <c r="OZ7" s="174"/>
      <c r="PA7" s="174"/>
      <c r="PB7" s="174"/>
      <c r="PC7" s="174"/>
      <c r="PD7" s="174"/>
      <c r="PE7" s="174"/>
      <c r="PF7" s="174"/>
      <c r="PG7" s="174"/>
      <c r="PH7" s="174"/>
      <c r="PI7" s="174"/>
      <c r="PJ7" s="174"/>
      <c r="PK7" s="174"/>
      <c r="PL7" s="174"/>
      <c r="PM7" s="174"/>
      <c r="PN7" s="174"/>
      <c r="PO7" s="174"/>
      <c r="PP7" s="174"/>
      <c r="PQ7" s="174"/>
      <c r="PR7" s="174"/>
      <c r="PS7" s="174"/>
      <c r="PT7" s="174"/>
      <c r="PU7" s="174"/>
      <c r="PV7" s="174"/>
      <c r="PW7" s="174"/>
      <c r="PX7" s="174"/>
      <c r="PY7" s="174"/>
      <c r="PZ7" s="174"/>
      <c r="QA7" s="174"/>
      <c r="QB7" s="174"/>
      <c r="QC7" s="174"/>
      <c r="QD7" s="174"/>
      <c r="QE7" s="174"/>
      <c r="QF7" s="174"/>
      <c r="QG7" s="174"/>
      <c r="QH7" s="174"/>
      <c r="QI7" s="174"/>
      <c r="QJ7" s="174"/>
      <c r="QK7" s="174"/>
      <c r="QL7" s="174"/>
      <c r="QM7" s="174"/>
      <c r="QN7" s="174"/>
      <c r="QO7" s="174"/>
      <c r="QP7" s="174"/>
      <c r="QQ7" s="174"/>
      <c r="QR7" s="174"/>
      <c r="QS7" s="174"/>
      <c r="QT7" s="174"/>
      <c r="QU7" s="174"/>
      <c r="QV7" s="174"/>
      <c r="QW7" s="174"/>
      <c r="QX7" s="174"/>
      <c r="QY7" s="174"/>
      <c r="QZ7" s="174"/>
      <c r="RA7" s="174"/>
      <c r="RB7" s="174"/>
      <c r="RC7" s="174"/>
      <c r="RD7" s="174"/>
      <c r="RE7" s="174"/>
      <c r="RF7" s="174"/>
      <c r="RG7" s="174"/>
      <c r="RH7" s="174"/>
      <c r="RI7" s="174"/>
      <c r="RJ7" s="174"/>
      <c r="RK7" s="174"/>
      <c r="RL7" s="174"/>
      <c r="RM7" s="174"/>
      <c r="RN7" s="174"/>
      <c r="RO7" s="174"/>
      <c r="RP7" s="174"/>
      <c r="RQ7" s="174"/>
      <c r="RR7" s="174"/>
      <c r="RS7" s="174"/>
      <c r="RT7" s="174"/>
      <c r="RU7" s="174"/>
      <c r="RV7" s="174"/>
      <c r="RW7" s="174"/>
      <c r="RX7" s="174"/>
      <c r="RY7" s="174"/>
      <c r="RZ7" s="174"/>
      <c r="SA7" s="174"/>
      <c r="SB7" s="174"/>
      <c r="SC7" s="174"/>
      <c r="SD7" s="174"/>
      <c r="SE7" s="174"/>
      <c r="SF7" s="174"/>
      <c r="SG7" s="174"/>
      <c r="SH7" s="174"/>
      <c r="SI7" s="174"/>
      <c r="SJ7" s="174"/>
      <c r="SK7" s="174"/>
      <c r="SL7" s="174"/>
      <c r="SM7" s="174"/>
      <c r="SN7" s="174"/>
      <c r="SO7" s="174"/>
      <c r="SP7" s="174"/>
      <c r="SQ7" s="174"/>
      <c r="SR7" s="174"/>
      <c r="SS7" s="174"/>
      <c r="ST7" s="174"/>
      <c r="SU7" s="174"/>
      <c r="SV7" s="174"/>
      <c r="SW7" s="174"/>
      <c r="SX7" s="174"/>
      <c r="SY7" s="174"/>
      <c r="SZ7" s="174"/>
      <c r="TA7" s="174"/>
      <c r="TB7" s="174"/>
      <c r="TC7" s="174"/>
      <c r="TD7" s="174"/>
      <c r="TE7" s="174"/>
      <c r="TF7" s="174"/>
      <c r="TG7" s="174"/>
      <c r="TH7" s="174"/>
      <c r="TI7" s="174"/>
      <c r="TJ7" s="174"/>
      <c r="TK7" s="174"/>
      <c r="TL7" s="174"/>
      <c r="TM7" s="174"/>
      <c r="TN7" s="174"/>
      <c r="TO7" s="174"/>
      <c r="TP7" s="174"/>
      <c r="TQ7" s="174"/>
      <c r="TR7" s="174"/>
      <c r="TS7" s="174"/>
      <c r="TT7" s="174"/>
      <c r="TU7" s="174"/>
      <c r="TV7" s="174"/>
      <c r="TW7" s="174"/>
      <c r="TX7" s="174"/>
      <c r="TY7" s="174"/>
      <c r="TZ7" s="174"/>
      <c r="UA7" s="174"/>
      <c r="UB7" s="174"/>
      <c r="UC7" s="174"/>
      <c r="UD7" s="174"/>
      <c r="UE7" s="174"/>
      <c r="UF7" s="174"/>
      <c r="UG7" s="174"/>
      <c r="UH7" s="174"/>
      <c r="UI7" s="174"/>
      <c r="UJ7" s="174"/>
      <c r="UK7" s="174"/>
      <c r="UL7" s="174"/>
      <c r="UM7" s="174"/>
      <c r="UN7" s="174"/>
      <c r="UO7" s="174"/>
      <c r="UP7" s="174"/>
      <c r="UQ7" s="174"/>
      <c r="UR7" s="174"/>
      <c r="US7" s="174"/>
      <c r="UT7" s="174"/>
      <c r="UU7" s="174"/>
      <c r="UV7" s="174"/>
      <c r="UW7" s="174"/>
      <c r="UX7" s="174"/>
      <c r="UY7" s="174"/>
      <c r="UZ7" s="174"/>
      <c r="VA7" s="174"/>
      <c r="VB7" s="174"/>
      <c r="VC7" s="174"/>
      <c r="VD7" s="174"/>
      <c r="VE7" s="174"/>
      <c r="VF7" s="174"/>
      <c r="VG7" s="174"/>
      <c r="VH7" s="174"/>
      <c r="VI7" s="174"/>
      <c r="VJ7" s="174"/>
      <c r="VK7" s="174"/>
      <c r="VL7" s="174"/>
      <c r="VM7" s="174"/>
      <c r="VN7" s="174"/>
      <c r="VO7" s="174"/>
      <c r="VP7" s="174"/>
      <c r="VQ7" s="174"/>
      <c r="VR7" s="174"/>
      <c r="VS7" s="174"/>
      <c r="VT7" s="174"/>
      <c r="VU7" s="174"/>
      <c r="VV7" s="174"/>
      <c r="VW7" s="174"/>
      <c r="VX7" s="174"/>
      <c r="VY7" s="174"/>
      <c r="VZ7" s="174"/>
      <c r="WA7" s="174"/>
      <c r="WB7" s="174"/>
      <c r="WC7" s="174"/>
      <c r="WD7" s="174"/>
      <c r="WE7" s="174"/>
      <c r="WF7" s="174"/>
      <c r="WG7" s="174"/>
      <c r="WH7" s="174"/>
      <c r="WI7" s="174"/>
      <c r="WJ7" s="174"/>
      <c r="WK7" s="174"/>
      <c r="WL7" s="174"/>
      <c r="WM7" s="174"/>
      <c r="WN7" s="174"/>
      <c r="WO7" s="174"/>
      <c r="WP7" s="174"/>
      <c r="WQ7" s="174"/>
      <c r="WR7" s="174"/>
      <c r="WS7" s="174"/>
      <c r="WT7" s="174"/>
      <c r="WU7" s="174"/>
      <c r="WV7" s="174"/>
      <c r="WW7" s="174"/>
      <c r="WX7" s="174"/>
      <c r="WY7" s="174"/>
      <c r="WZ7" s="174"/>
      <c r="XA7" s="174"/>
      <c r="XB7" s="174"/>
      <c r="XC7" s="174"/>
      <c r="XD7" s="174"/>
      <c r="XE7" s="174"/>
      <c r="XF7" s="174"/>
      <c r="XG7" s="174"/>
      <c r="XH7" s="174"/>
      <c r="XI7" s="174"/>
      <c r="XJ7" s="174"/>
      <c r="XK7" s="174"/>
      <c r="XL7" s="174"/>
      <c r="XM7" s="174"/>
      <c r="XN7" s="174"/>
      <c r="XO7" s="174"/>
      <c r="XP7" s="174"/>
      <c r="XQ7" s="174"/>
      <c r="XR7" s="174"/>
      <c r="XS7" s="174"/>
      <c r="XT7" s="174"/>
      <c r="XU7" s="174"/>
      <c r="XV7" s="174"/>
      <c r="XW7" s="174"/>
      <c r="XX7" s="174"/>
      <c r="XY7" s="174"/>
      <c r="XZ7" s="174"/>
      <c r="YA7" s="174"/>
      <c r="YB7" s="174"/>
      <c r="YC7" s="174"/>
      <c r="YD7" s="174"/>
      <c r="YE7" s="174"/>
      <c r="YF7" s="174"/>
      <c r="YG7" s="174"/>
      <c r="YH7" s="174"/>
      <c r="YI7" s="174"/>
      <c r="YJ7" s="174"/>
      <c r="YK7" s="174"/>
      <c r="YL7" s="174"/>
      <c r="YM7" s="174"/>
      <c r="YN7" s="174"/>
      <c r="YO7" s="174"/>
      <c r="YP7" s="174"/>
      <c r="YQ7" s="174"/>
      <c r="YR7" s="174"/>
      <c r="YS7" s="174"/>
      <c r="YT7" s="174"/>
      <c r="YU7" s="174"/>
      <c r="YV7" s="174"/>
      <c r="YW7" s="174"/>
      <c r="YX7" s="174"/>
      <c r="YY7" s="174"/>
      <c r="YZ7" s="174"/>
      <c r="ZA7" s="174"/>
      <c r="ZB7" s="174"/>
      <c r="ZC7" s="174"/>
      <c r="ZD7" s="174"/>
      <c r="ZE7" s="174"/>
      <c r="ZF7" s="174"/>
      <c r="ZG7" s="174"/>
      <c r="ZH7" s="174"/>
      <c r="ZI7" s="174"/>
      <c r="ZJ7" s="174"/>
      <c r="ZK7" s="174"/>
      <c r="ZL7" s="174"/>
      <c r="ZM7" s="174"/>
      <c r="ZN7" s="174"/>
      <c r="ZO7" s="174"/>
      <c r="ZP7" s="174"/>
      <c r="ZQ7" s="174"/>
      <c r="ZR7" s="174"/>
      <c r="ZS7" s="174"/>
      <c r="ZT7" s="174"/>
      <c r="ZU7" s="174"/>
      <c r="ZV7" s="174"/>
      <c r="ZW7" s="174"/>
      <c r="ZX7" s="174"/>
      <c r="ZY7" s="174"/>
      <c r="ZZ7" s="174"/>
      <c r="AAA7" s="174"/>
      <c r="AAB7" s="174"/>
      <c r="AAC7" s="174"/>
      <c r="AAD7" s="174"/>
      <c r="AAE7" s="174"/>
      <c r="AAF7" s="174"/>
      <c r="AAG7" s="174"/>
      <c r="AAH7" s="174"/>
      <c r="AAI7" s="174"/>
      <c r="AAJ7" s="174"/>
      <c r="AAK7" s="174"/>
      <c r="AAL7" s="174"/>
      <c r="AAM7" s="174"/>
      <c r="AAN7" s="174"/>
      <c r="AAO7" s="174"/>
      <c r="AAP7" s="174"/>
      <c r="AAQ7" s="174"/>
      <c r="AAR7" s="174"/>
      <c r="AAS7" s="174"/>
      <c r="AAT7" s="174"/>
      <c r="AAU7" s="174"/>
      <c r="AAV7" s="174"/>
      <c r="AAW7" s="174"/>
      <c r="AAX7" s="174"/>
      <c r="AAY7" s="174"/>
      <c r="AAZ7" s="174"/>
      <c r="ABA7" s="174"/>
      <c r="ABB7" s="174"/>
      <c r="ABC7" s="174"/>
      <c r="ABD7" s="174"/>
      <c r="ABE7" s="174"/>
      <c r="ABF7" s="174"/>
      <c r="ABG7" s="174"/>
      <c r="ABH7" s="174"/>
      <c r="ABI7" s="174"/>
      <c r="ABJ7" s="174"/>
      <c r="ABK7" s="174"/>
      <c r="ABL7" s="174"/>
      <c r="ABM7" s="174"/>
      <c r="ABN7" s="174"/>
      <c r="ABO7" s="174"/>
      <c r="ABP7" s="174"/>
      <c r="ABQ7" s="174"/>
      <c r="ABR7" s="174"/>
      <c r="ABS7" s="174"/>
      <c r="ABT7" s="174"/>
      <c r="ABU7" s="174"/>
      <c r="ABV7" s="174"/>
      <c r="ABW7" s="174"/>
      <c r="ABX7" s="174"/>
      <c r="ABY7" s="174"/>
      <c r="ABZ7" s="174"/>
      <c r="ACA7" s="174"/>
      <c r="ACB7" s="174"/>
      <c r="ACC7" s="174"/>
      <c r="ACD7" s="174"/>
      <c r="ACE7" s="174"/>
      <c r="ACF7" s="174"/>
      <c r="ACG7" s="174"/>
      <c r="ACH7" s="174"/>
      <c r="ACI7" s="174"/>
      <c r="ACJ7" s="174"/>
      <c r="ACK7" s="174"/>
      <c r="ACL7" s="174"/>
      <c r="ACM7" s="174"/>
      <c r="ACN7" s="174"/>
      <c r="ACO7" s="174"/>
      <c r="ACP7" s="174"/>
      <c r="ACQ7" s="174"/>
      <c r="ACR7" s="174"/>
      <c r="ACS7" s="174"/>
      <c r="ACT7" s="174"/>
      <c r="ACU7" s="174"/>
      <c r="ACV7" s="174"/>
      <c r="ACW7" s="174"/>
      <c r="ACX7" s="174"/>
      <c r="ACY7" s="174"/>
      <c r="ACZ7" s="174"/>
      <c r="ADA7" s="174"/>
      <c r="ADB7" s="174"/>
      <c r="ADC7" s="174"/>
      <c r="ADD7" s="174"/>
      <c r="ADE7" s="174"/>
      <c r="ADF7" s="174"/>
      <c r="ADG7" s="174"/>
      <c r="ADH7" s="174"/>
      <c r="ADI7" s="174"/>
      <c r="ADJ7" s="174"/>
      <c r="ADK7" s="174"/>
      <c r="ADL7" s="174"/>
      <c r="ADM7" s="174"/>
      <c r="ADN7" s="174"/>
      <c r="ADO7" s="174"/>
      <c r="ADP7" s="174"/>
      <c r="ADQ7" s="174"/>
      <c r="ADR7" s="174"/>
      <c r="ADS7" s="174"/>
      <c r="ADT7" s="174"/>
      <c r="ADU7" s="174"/>
      <c r="ADV7" s="174"/>
      <c r="ADW7" s="174"/>
      <c r="ADX7" s="174"/>
      <c r="ADY7" s="174"/>
      <c r="ADZ7" s="174"/>
      <c r="AEA7" s="174"/>
      <c r="AEB7" s="174"/>
      <c r="AEC7" s="174"/>
      <c r="AED7" s="174"/>
      <c r="AEE7" s="174"/>
      <c r="AEF7" s="174"/>
      <c r="AEG7" s="174"/>
      <c r="AEH7" s="174"/>
      <c r="AEI7" s="174"/>
      <c r="AEJ7" s="174"/>
      <c r="AEK7" s="174"/>
      <c r="AEL7" s="174"/>
      <c r="AEM7" s="174"/>
      <c r="AEN7" s="174"/>
      <c r="AEO7" s="174"/>
      <c r="AEP7" s="174"/>
      <c r="AEQ7" s="174"/>
      <c r="AER7" s="174"/>
      <c r="AES7" s="174"/>
      <c r="AET7" s="174"/>
      <c r="AEU7" s="174"/>
      <c r="AEV7" s="174"/>
      <c r="AEW7" s="174"/>
      <c r="AEX7" s="174"/>
      <c r="AEY7" s="174"/>
      <c r="AEZ7" s="174"/>
      <c r="AFA7" s="174"/>
      <c r="AFB7" s="174"/>
      <c r="AFC7" s="174"/>
      <c r="AFD7" s="174"/>
      <c r="AFE7" s="174"/>
      <c r="AFF7" s="174"/>
      <c r="AFG7" s="174"/>
      <c r="AFH7" s="174"/>
      <c r="AFI7" s="174"/>
      <c r="AFJ7" s="174"/>
      <c r="AFK7" s="174"/>
      <c r="AFL7" s="174"/>
      <c r="AFM7" s="174"/>
      <c r="AFN7" s="174"/>
      <c r="AFO7" s="174"/>
      <c r="AFP7" s="174"/>
      <c r="AFQ7" s="174"/>
      <c r="AFR7" s="174"/>
      <c r="AFS7" s="174"/>
      <c r="AFT7" s="174"/>
      <c r="AFU7" s="174"/>
      <c r="AFV7" s="174"/>
      <c r="AFW7" s="174"/>
      <c r="AFX7" s="174"/>
      <c r="AFY7" s="174"/>
      <c r="AFZ7" s="174"/>
      <c r="AGA7" s="174"/>
      <c r="AGB7" s="174"/>
      <c r="AGC7" s="174"/>
      <c r="AGD7" s="174"/>
      <c r="AGE7" s="174"/>
      <c r="AGF7" s="174"/>
      <c r="AGG7" s="174"/>
      <c r="AGH7" s="174"/>
      <c r="AGI7" s="174"/>
      <c r="AGJ7" s="174"/>
      <c r="AGK7" s="174"/>
      <c r="AGL7" s="174"/>
      <c r="AGM7" s="174"/>
      <c r="AGN7" s="174"/>
      <c r="AGO7" s="174"/>
      <c r="AGP7" s="174"/>
      <c r="AGQ7" s="174"/>
      <c r="AGR7" s="174"/>
      <c r="AGS7" s="174"/>
      <c r="AGT7" s="174"/>
      <c r="AGU7" s="174"/>
      <c r="AGV7" s="174"/>
      <c r="AGW7" s="174"/>
      <c r="AGX7" s="174"/>
      <c r="AGY7" s="174"/>
      <c r="AGZ7" s="174"/>
      <c r="AHA7" s="174"/>
      <c r="AHB7" s="174"/>
      <c r="AHC7" s="174"/>
      <c r="AHD7" s="174"/>
      <c r="AHE7" s="174"/>
      <c r="AHF7" s="174"/>
      <c r="AHG7" s="174"/>
      <c r="AHH7" s="174"/>
      <c r="AHI7" s="174"/>
      <c r="AHJ7" s="174"/>
      <c r="AHK7" s="174"/>
      <c r="AHL7" s="174"/>
      <c r="AHM7" s="174"/>
      <c r="AHN7" s="174"/>
      <c r="AHO7" s="174"/>
      <c r="AHP7" s="174"/>
      <c r="AHQ7" s="174"/>
      <c r="AHR7" s="174"/>
      <c r="AHS7" s="174"/>
      <c r="AHT7" s="174"/>
      <c r="AHU7" s="174"/>
      <c r="AHV7" s="174"/>
      <c r="AHW7" s="174"/>
      <c r="AHX7" s="174"/>
      <c r="AHY7" s="174"/>
      <c r="AHZ7" s="174"/>
      <c r="AIA7" s="174"/>
      <c r="AIB7" s="174"/>
      <c r="AIC7" s="174"/>
      <c r="AID7" s="174"/>
      <c r="AIE7" s="174"/>
      <c r="AIF7" s="174"/>
      <c r="AIG7" s="174"/>
      <c r="AIH7" s="174"/>
      <c r="AII7" s="174"/>
      <c r="AIJ7" s="174"/>
      <c r="AIK7" s="174"/>
      <c r="AIL7" s="174"/>
      <c r="AIM7" s="174"/>
      <c r="AIN7" s="174"/>
      <c r="AIO7" s="174"/>
      <c r="AIP7" s="174"/>
      <c r="AIQ7" s="174"/>
      <c r="AIR7" s="174"/>
      <c r="AIS7" s="174"/>
      <c r="AIT7" s="174"/>
      <c r="AIU7" s="174"/>
      <c r="AIV7" s="174"/>
      <c r="AIW7" s="174"/>
      <c r="AIX7" s="174"/>
      <c r="AIY7" s="174"/>
      <c r="AIZ7" s="174"/>
      <c r="AJA7" s="174"/>
      <c r="AJB7" s="174"/>
      <c r="AJC7" s="174"/>
      <c r="AJD7" s="174"/>
      <c r="AJE7" s="174"/>
      <c r="AJF7" s="174"/>
      <c r="AJG7" s="174"/>
      <c r="AJH7" s="174"/>
      <c r="AJI7" s="174"/>
      <c r="AJJ7" s="174"/>
      <c r="AJK7" s="174"/>
      <c r="AJL7" s="174"/>
      <c r="AJM7" s="174"/>
      <c r="AJN7" s="174"/>
      <c r="AJO7" s="174"/>
      <c r="AJP7" s="174"/>
      <c r="AJQ7" s="174"/>
      <c r="AJR7" s="174"/>
      <c r="AJS7" s="174"/>
      <c r="AJT7" s="174"/>
      <c r="AJU7" s="174"/>
      <c r="AJV7" s="174"/>
      <c r="AJW7" s="174"/>
      <c r="AJX7" s="174"/>
      <c r="AJY7" s="174"/>
      <c r="AJZ7" s="174"/>
      <c r="AKA7" s="174"/>
      <c r="AKB7" s="174"/>
      <c r="AKC7" s="174"/>
      <c r="AKD7" s="174"/>
      <c r="AKE7" s="174"/>
      <c r="AKF7" s="174"/>
      <c r="AKG7" s="174"/>
      <c r="AKH7" s="174"/>
      <c r="AKI7" s="174"/>
      <c r="AKJ7" s="174"/>
      <c r="AKK7" s="174"/>
      <c r="AKL7" s="174"/>
      <c r="AKM7" s="174"/>
      <c r="AKN7" s="174"/>
      <c r="AKO7" s="174"/>
      <c r="AKP7" s="174"/>
      <c r="AKQ7" s="174"/>
      <c r="AKR7" s="174"/>
      <c r="AKS7" s="174"/>
      <c r="AKT7" s="174"/>
      <c r="AKU7" s="174"/>
      <c r="AKV7" s="174"/>
      <c r="AKW7" s="174"/>
      <c r="AKX7" s="174"/>
      <c r="AKY7" s="174"/>
      <c r="AKZ7" s="174"/>
      <c r="ALA7" s="174"/>
      <c r="ALB7" s="174"/>
      <c r="ALC7" s="174"/>
      <c r="ALD7" s="174"/>
      <c r="ALE7" s="174"/>
      <c r="ALF7" s="174"/>
      <c r="ALG7" s="174"/>
      <c r="ALH7" s="174"/>
      <c r="ALI7" s="174"/>
      <c r="ALJ7" s="174"/>
      <c r="ALK7" s="174"/>
      <c r="ALL7" s="174"/>
      <c r="ALM7" s="174"/>
      <c r="ALN7" s="174"/>
      <c r="ALO7" s="174"/>
      <c r="ALP7" s="174"/>
      <c r="ALQ7" s="174"/>
      <c r="ALR7" s="174"/>
      <c r="ALS7" s="174"/>
      <c r="ALT7" s="174"/>
      <c r="ALU7" s="174"/>
      <c r="ALV7" s="174"/>
      <c r="ALW7" s="174"/>
      <c r="ALX7" s="174"/>
      <c r="ALY7" s="174"/>
      <c r="ALZ7" s="174"/>
      <c r="AMA7" s="174"/>
      <c r="AMB7" s="174"/>
      <c r="AMC7" s="174"/>
      <c r="AMD7" s="174"/>
    </row>
    <row r="8" spans="1:1019" ht="15" customHeight="1">
      <c r="A8" s="168">
        <f t="shared" si="0"/>
        <v>3</v>
      </c>
      <c r="B8" s="175">
        <v>1100</v>
      </c>
      <c r="C8" s="168" t="s">
        <v>17</v>
      </c>
      <c r="D8" s="169">
        <f>'הנדסה '!D61</f>
        <v>7000000</v>
      </c>
      <c r="E8" s="169">
        <f>'הנדסה '!E61</f>
        <v>7000000</v>
      </c>
      <c r="F8" s="169">
        <f>'הנדסה '!F61</f>
        <v>0</v>
      </c>
      <c r="G8" s="169">
        <f>'הנדסה '!G61</f>
        <v>5100000</v>
      </c>
      <c r="H8" s="169">
        <f>'הנדסה '!H61</f>
        <v>2694319.1</v>
      </c>
      <c r="I8" s="169">
        <f>'הנדסה '!I61</f>
        <v>1717532.41</v>
      </c>
      <c r="J8" s="169">
        <f>'הנדסה '!J61</f>
        <v>78334.31</v>
      </c>
      <c r="K8" s="169">
        <f>'הנדסה '!K61</f>
        <v>1795866.72</v>
      </c>
      <c r="L8" s="169">
        <f>'הנדסה '!L61</f>
        <v>4490185.82</v>
      </c>
      <c r="M8" s="169">
        <f>'הנדסה '!M61</f>
        <v>609814.1799999997</v>
      </c>
      <c r="N8" s="169">
        <f>'הנדסה '!N61</f>
        <v>500000</v>
      </c>
      <c r="O8" s="169">
        <f>'הנדסה '!O61</f>
        <v>1400000</v>
      </c>
      <c r="P8" s="169">
        <f>'הנדסה '!P61</f>
        <v>609814.1799999997</v>
      </c>
      <c r="Q8" s="169">
        <f>'הנדסה '!Q61</f>
        <v>0</v>
      </c>
      <c r="R8" s="169">
        <f>'הנדסה '!R61</f>
        <v>0</v>
      </c>
      <c r="S8" s="169">
        <f>'הנדסה '!S61</f>
        <v>0</v>
      </c>
      <c r="T8" s="169">
        <f>'הנדסה '!T61</f>
        <v>0</v>
      </c>
      <c r="U8" s="169">
        <f>'הנדסה '!U61</f>
        <v>500000</v>
      </c>
      <c r="V8" s="169">
        <f>'הנדסה '!V61</f>
        <v>500000</v>
      </c>
      <c r="W8" s="169">
        <f>'הנדסה '!W61</f>
        <v>0</v>
      </c>
      <c r="X8" s="169">
        <f>'הנדסה '!X61</f>
        <v>0</v>
      </c>
      <c r="Y8" s="169">
        <f>'הנדסה '!Y61</f>
        <v>0</v>
      </c>
      <c r="Z8" s="169">
        <f>'הנדסה '!Z61</f>
        <v>0</v>
      </c>
      <c r="AA8" s="659">
        <f>'הנדסה '!AA61</f>
        <v>732000</v>
      </c>
      <c r="AB8" s="157"/>
    </row>
    <row r="9" spans="1:1019">
      <c r="A9" s="168">
        <f t="shared" si="0"/>
        <v>4</v>
      </c>
      <c r="B9" s="175">
        <v>1220</v>
      </c>
      <c r="C9" s="168" t="s">
        <v>45</v>
      </c>
      <c r="D9" s="169">
        <f>'הנדסה '!D20</f>
        <v>7000000</v>
      </c>
      <c r="E9" s="169">
        <f>'הנדסה '!E20</f>
        <v>5600000</v>
      </c>
      <c r="F9" s="169">
        <f>'הנדסה '!F20</f>
        <v>1400000</v>
      </c>
      <c r="G9" s="169">
        <f>'הנדסה '!G20</f>
        <v>5100000</v>
      </c>
      <c r="H9" s="169">
        <f>'הנדסה '!H20</f>
        <v>4106025.27</v>
      </c>
      <c r="I9" s="169">
        <f>'הנדסה '!I20</f>
        <v>51249.4</v>
      </c>
      <c r="J9" s="169">
        <f>'הנדסה '!J20</f>
        <v>598009.31999999995</v>
      </c>
      <c r="K9" s="169">
        <f>'הנדסה '!K20</f>
        <v>649258.72</v>
      </c>
      <c r="L9" s="169">
        <f>'הנדסה '!L20</f>
        <v>4755283.99</v>
      </c>
      <c r="M9" s="169">
        <f>'הנדסה '!M20</f>
        <v>344716.00999999978</v>
      </c>
      <c r="N9" s="169">
        <f>'הנדסה '!N20</f>
        <v>500000</v>
      </c>
      <c r="O9" s="169">
        <f>'הנדסה '!O20</f>
        <v>1400000</v>
      </c>
      <c r="P9" s="169">
        <f>'הנדסה '!P20</f>
        <v>344716.00999999978</v>
      </c>
      <c r="Q9" s="169">
        <f>'הנדסה '!Q20</f>
        <v>0</v>
      </c>
      <c r="R9" s="169">
        <f>'הנדסה '!R20</f>
        <v>0</v>
      </c>
      <c r="S9" s="169">
        <f>'הנדסה '!S20</f>
        <v>0</v>
      </c>
      <c r="T9" s="169">
        <f>'הנדסה '!T20</f>
        <v>0</v>
      </c>
      <c r="U9" s="169">
        <f>'הנדסה '!U20</f>
        <v>500000</v>
      </c>
      <c r="V9" s="169">
        <f>'הנדסה '!V20</f>
        <v>500000</v>
      </c>
      <c r="W9" s="169">
        <f>'הנדסה '!W20</f>
        <v>0</v>
      </c>
      <c r="X9" s="169">
        <f>'הנדסה '!X20</f>
        <v>0</v>
      </c>
      <c r="Y9" s="169">
        <f>'הנדסה '!Y20</f>
        <v>0</v>
      </c>
      <c r="Z9" s="169">
        <f>'הנדסה '!Z20</f>
        <v>0</v>
      </c>
      <c r="AA9" s="659">
        <f>'הנדסה '!AA20</f>
        <v>732000</v>
      </c>
      <c r="AB9" s="157"/>
      <c r="AF9" s="172"/>
      <c r="AG9" s="172"/>
      <c r="AH9" s="172"/>
      <c r="AI9" s="172"/>
      <c r="AJ9" s="172"/>
      <c r="AK9" s="172"/>
    </row>
    <row r="10" spans="1:1019" ht="15" customHeight="1">
      <c r="A10" s="168">
        <f t="shared" si="0"/>
        <v>5</v>
      </c>
      <c r="B10" s="175">
        <v>1395</v>
      </c>
      <c r="C10" s="168" t="s">
        <v>70</v>
      </c>
      <c r="D10" s="169">
        <f>'הנדסה '!D29</f>
        <v>1671000</v>
      </c>
      <c r="E10" s="169">
        <f>'הנדסה '!E29</f>
        <v>1761000</v>
      </c>
      <c r="F10" s="169">
        <f>'הנדסה '!F29</f>
        <v>-90000</v>
      </c>
      <c r="G10" s="169">
        <f>'הנדסה '!G29</f>
        <v>1761000</v>
      </c>
      <c r="H10" s="169">
        <f>'הנדסה '!H29</f>
        <v>1661606.84</v>
      </c>
      <c r="I10" s="169">
        <f>'הנדסה '!I29</f>
        <v>0</v>
      </c>
      <c r="J10" s="169">
        <f>'הנדסה '!J29</f>
        <v>4586.34</v>
      </c>
      <c r="K10" s="169">
        <f>'הנדסה '!K29</f>
        <v>4586.34</v>
      </c>
      <c r="L10" s="169">
        <f>'הנדסה '!L29</f>
        <v>1666193.1800000002</v>
      </c>
      <c r="M10" s="169">
        <f>'הנדסה '!M29</f>
        <v>4806.8199999998324</v>
      </c>
      <c r="N10" s="169">
        <f>'הנדסה '!N29</f>
        <v>0</v>
      </c>
      <c r="O10" s="169">
        <f>'הנדסה '!O29</f>
        <v>0</v>
      </c>
      <c r="P10" s="169">
        <f>'הנדסה '!P29</f>
        <v>94806.819999999832</v>
      </c>
      <c r="Q10" s="169">
        <f>'הנדסה '!Q29</f>
        <v>0</v>
      </c>
      <c r="R10" s="169">
        <f>'הנדסה '!R29</f>
        <v>0</v>
      </c>
      <c r="S10" s="169">
        <f>'הנדסה '!S29</f>
        <v>0</v>
      </c>
      <c r="T10" s="169">
        <f>'הנדסה '!T29</f>
        <v>90000</v>
      </c>
      <c r="U10" s="169">
        <f>'הנדסה '!U29</f>
        <v>-90000</v>
      </c>
      <c r="V10" s="169">
        <f>'הנדסה '!V29</f>
        <v>-90000</v>
      </c>
      <c r="W10" s="169">
        <f>'הנדסה '!W29</f>
        <v>0</v>
      </c>
      <c r="X10" s="169">
        <f>'הנדסה '!X29</f>
        <v>0</v>
      </c>
      <c r="Y10" s="169">
        <f>'הנדסה '!Y29</f>
        <v>0</v>
      </c>
      <c r="Z10" s="169">
        <f>'הנדסה '!Z29</f>
        <v>0</v>
      </c>
      <c r="AA10" s="659">
        <f>'הנדסה '!AA29</f>
        <v>731000</v>
      </c>
      <c r="AB10" s="157"/>
      <c r="AF10" s="172"/>
    </row>
    <row r="11" spans="1:1019" ht="15" customHeight="1">
      <c r="A11" s="168">
        <f t="shared" si="0"/>
        <v>6</v>
      </c>
      <c r="B11" s="175">
        <v>1406</v>
      </c>
      <c r="C11" s="168" t="s">
        <v>259</v>
      </c>
      <c r="D11" s="169">
        <f>'הנדסה '!D62</f>
        <v>1300000</v>
      </c>
      <c r="E11" s="169">
        <f>'הנדסה '!E62</f>
        <v>1100000</v>
      </c>
      <c r="F11" s="169">
        <f>'הנדסה '!F62</f>
        <v>200000</v>
      </c>
      <c r="G11" s="169">
        <f>'הנדסה '!G62</f>
        <v>700000</v>
      </c>
      <c r="H11" s="169">
        <f>'הנדסה '!H62</f>
        <v>618204.25</v>
      </c>
      <c r="I11" s="169">
        <f>'הנדסה '!I62</f>
        <v>39996.51</v>
      </c>
      <c r="J11" s="169">
        <f>'הנדסה '!J62</f>
        <v>41682.480000000003</v>
      </c>
      <c r="K11" s="169">
        <f>'הנדסה '!K62</f>
        <v>81678.990000000005</v>
      </c>
      <c r="L11" s="169">
        <f>'הנדסה '!L62</f>
        <v>699883.24</v>
      </c>
      <c r="M11" s="169">
        <f>'הנדסה '!M62</f>
        <v>116.76000000000931</v>
      </c>
      <c r="N11" s="169">
        <f>'הנדסה '!N62</f>
        <v>600000</v>
      </c>
      <c r="O11" s="169">
        <f>'הנדסה '!O62</f>
        <v>0</v>
      </c>
      <c r="P11" s="169">
        <f>'הנדסה '!P62</f>
        <v>116.76000000000931</v>
      </c>
      <c r="Q11" s="169">
        <f>'הנדסה '!Q62</f>
        <v>0</v>
      </c>
      <c r="R11" s="169">
        <f>'הנדסה '!R62</f>
        <v>0</v>
      </c>
      <c r="S11" s="169">
        <f>'הנדסה '!S62</f>
        <v>0</v>
      </c>
      <c r="T11" s="169">
        <f>'הנדסה '!T62</f>
        <v>0</v>
      </c>
      <c r="U11" s="169">
        <f>'הנדסה '!U62</f>
        <v>600000</v>
      </c>
      <c r="V11" s="169">
        <f>'הנדסה '!V62</f>
        <v>600000</v>
      </c>
      <c r="W11" s="169">
        <f>'הנדסה '!W62</f>
        <v>0</v>
      </c>
      <c r="X11" s="169">
        <f>'הנדסה '!X62</f>
        <v>0</v>
      </c>
      <c r="Y11" s="169">
        <f>'הנדסה '!Y62</f>
        <v>0</v>
      </c>
      <c r="Z11" s="169">
        <f>'הנדסה '!Z62</f>
        <v>0</v>
      </c>
      <c r="AA11" s="659">
        <f>'הנדסה '!AA62</f>
        <v>732000</v>
      </c>
      <c r="AB11" s="157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  <c r="IT11" s="172"/>
      <c r="IU11" s="172"/>
      <c r="IV11" s="172"/>
      <c r="IW11" s="172"/>
      <c r="IX11" s="172"/>
      <c r="IY11" s="172"/>
      <c r="IZ11" s="172"/>
      <c r="JA11" s="172"/>
      <c r="JB11" s="172"/>
      <c r="JC11" s="172"/>
      <c r="JD11" s="172"/>
      <c r="JE11" s="172"/>
      <c r="JF11" s="172"/>
      <c r="JG11" s="172"/>
      <c r="JH11" s="172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  <c r="KH11" s="172"/>
      <c r="KI11" s="172"/>
      <c r="KJ11" s="172"/>
      <c r="KK11" s="172"/>
      <c r="KL11" s="172"/>
      <c r="KM11" s="172"/>
      <c r="KN11" s="172"/>
      <c r="KO11" s="172"/>
      <c r="KP11" s="172"/>
      <c r="KQ11" s="172"/>
      <c r="KR11" s="172"/>
      <c r="KS11" s="172"/>
      <c r="KT11" s="172"/>
      <c r="KU11" s="172"/>
      <c r="KV11" s="172"/>
      <c r="KW11" s="172"/>
      <c r="KX11" s="172"/>
      <c r="KY11" s="172"/>
      <c r="KZ11" s="172"/>
      <c r="LA11" s="172"/>
      <c r="LB11" s="172"/>
      <c r="LC11" s="172"/>
      <c r="LD11" s="172"/>
      <c r="LE11" s="172"/>
      <c r="LF11" s="172"/>
      <c r="LG11" s="172"/>
      <c r="LH11" s="172"/>
      <c r="LI11" s="172"/>
      <c r="LJ11" s="172"/>
      <c r="LK11" s="172"/>
      <c r="LL11" s="172"/>
      <c r="LM11" s="172"/>
      <c r="LN11" s="172"/>
      <c r="LO11" s="172"/>
      <c r="LP11" s="172"/>
      <c r="LQ11" s="172"/>
      <c r="LR11" s="172"/>
      <c r="LS11" s="172"/>
      <c r="LT11" s="172"/>
      <c r="LU11" s="172"/>
      <c r="LV11" s="172"/>
      <c r="LW11" s="172"/>
      <c r="LX11" s="172"/>
      <c r="LY11" s="172"/>
      <c r="LZ11" s="172"/>
      <c r="MA11" s="172"/>
      <c r="MB11" s="172"/>
      <c r="MC11" s="172"/>
      <c r="MD11" s="172"/>
      <c r="ME11" s="172"/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  <c r="OX11" s="172"/>
      <c r="OY11" s="172"/>
      <c r="OZ11" s="172"/>
      <c r="PA11" s="172"/>
      <c r="PB11" s="172"/>
      <c r="PC11" s="172"/>
      <c r="PD11" s="172"/>
      <c r="PE11" s="172"/>
      <c r="PF11" s="172"/>
      <c r="PG11" s="172"/>
      <c r="PH11" s="172"/>
      <c r="PI11" s="172"/>
      <c r="PJ11" s="172"/>
      <c r="PK11" s="172"/>
      <c r="PL11" s="172"/>
      <c r="PM11" s="172"/>
      <c r="PN11" s="172"/>
      <c r="PO11" s="172"/>
      <c r="PP11" s="172"/>
      <c r="PQ11" s="172"/>
      <c r="PR11" s="172"/>
      <c r="PS11" s="172"/>
      <c r="PT11" s="172"/>
      <c r="PU11" s="172"/>
      <c r="PV11" s="172"/>
      <c r="PW11" s="172"/>
      <c r="PX11" s="172"/>
      <c r="PY11" s="172"/>
      <c r="PZ11" s="172"/>
      <c r="QA11" s="172"/>
      <c r="QB11" s="172"/>
      <c r="QC11" s="172"/>
      <c r="QD11" s="172"/>
      <c r="QE11" s="172"/>
      <c r="QF11" s="172"/>
      <c r="QG11" s="172"/>
      <c r="QH11" s="172"/>
      <c r="QI11" s="172"/>
      <c r="QJ11" s="172"/>
      <c r="QK11" s="172"/>
      <c r="QL11" s="172"/>
      <c r="QM11" s="172"/>
      <c r="QN11" s="172"/>
      <c r="QO11" s="172"/>
      <c r="QP11" s="172"/>
      <c r="QQ11" s="172"/>
      <c r="QR11" s="172"/>
      <c r="QS11" s="172"/>
      <c r="QT11" s="172"/>
      <c r="QU11" s="172"/>
      <c r="QV11" s="172"/>
      <c r="QW11" s="172"/>
      <c r="QX11" s="172"/>
      <c r="QY11" s="172"/>
      <c r="QZ11" s="172"/>
      <c r="RA11" s="172"/>
      <c r="RB11" s="172"/>
      <c r="RC11" s="172"/>
      <c r="RD11" s="172"/>
      <c r="RE11" s="172"/>
      <c r="RF11" s="172"/>
      <c r="RG11" s="172"/>
      <c r="RH11" s="172"/>
      <c r="RI11" s="172"/>
      <c r="RJ11" s="172"/>
      <c r="RK11" s="172"/>
      <c r="RL11" s="172"/>
      <c r="RM11" s="172"/>
      <c r="RN11" s="172"/>
      <c r="RO11" s="172"/>
      <c r="RP11" s="172"/>
      <c r="RQ11" s="172"/>
      <c r="RR11" s="172"/>
      <c r="RS11" s="172"/>
      <c r="RT11" s="172"/>
      <c r="RU11" s="172"/>
      <c r="RV11" s="172"/>
      <c r="RW11" s="172"/>
      <c r="RX11" s="172"/>
      <c r="RY11" s="172"/>
      <c r="RZ11" s="172"/>
      <c r="SA11" s="172"/>
      <c r="SB11" s="172"/>
      <c r="SC11" s="172"/>
      <c r="SD11" s="172"/>
      <c r="SE11" s="172"/>
      <c r="SF11" s="172"/>
      <c r="SG11" s="172"/>
      <c r="SH11" s="172"/>
      <c r="SI11" s="172"/>
      <c r="SJ11" s="172"/>
      <c r="SK11" s="172"/>
      <c r="SL11" s="172"/>
      <c r="SM11" s="172"/>
      <c r="SN11" s="172"/>
      <c r="SO11" s="172"/>
      <c r="SP11" s="172"/>
      <c r="SQ11" s="172"/>
      <c r="SR11" s="172"/>
      <c r="SS11" s="172"/>
      <c r="ST11" s="172"/>
      <c r="SU11" s="172"/>
      <c r="SV11" s="172"/>
      <c r="SW11" s="172"/>
      <c r="SX11" s="172"/>
      <c r="SY11" s="172"/>
      <c r="SZ11" s="172"/>
      <c r="TA11" s="172"/>
      <c r="TB11" s="172"/>
      <c r="TC11" s="172"/>
      <c r="TD11" s="172"/>
      <c r="TE11" s="172"/>
      <c r="TF11" s="172"/>
      <c r="TG11" s="172"/>
      <c r="TH11" s="172"/>
      <c r="TI11" s="172"/>
      <c r="TJ11" s="172"/>
      <c r="TK11" s="172"/>
      <c r="TL11" s="172"/>
      <c r="TM11" s="172"/>
      <c r="TN11" s="172"/>
      <c r="TO11" s="172"/>
      <c r="TP11" s="172"/>
      <c r="TQ11" s="172"/>
      <c r="TR11" s="172"/>
      <c r="TS11" s="172"/>
      <c r="TT11" s="172"/>
      <c r="TU11" s="172"/>
      <c r="TV11" s="172"/>
      <c r="TW11" s="172"/>
      <c r="TX11" s="172"/>
      <c r="TY11" s="172"/>
      <c r="TZ11" s="172"/>
      <c r="UA11" s="172"/>
      <c r="UB11" s="172"/>
      <c r="UC11" s="172"/>
      <c r="UD11" s="172"/>
      <c r="UE11" s="172"/>
      <c r="UF11" s="172"/>
      <c r="UG11" s="172"/>
      <c r="UH11" s="172"/>
      <c r="UI11" s="172"/>
      <c r="UJ11" s="172"/>
      <c r="UK11" s="172"/>
      <c r="UL11" s="172"/>
      <c r="UM11" s="172"/>
      <c r="UN11" s="172"/>
      <c r="UO11" s="172"/>
      <c r="UP11" s="172"/>
      <c r="UQ11" s="172"/>
      <c r="UR11" s="172"/>
      <c r="US11" s="172"/>
      <c r="UT11" s="172"/>
      <c r="UU11" s="172"/>
      <c r="UV11" s="172"/>
      <c r="UW11" s="172"/>
      <c r="UX11" s="172"/>
      <c r="UY11" s="172"/>
      <c r="UZ11" s="172"/>
      <c r="VA11" s="172"/>
      <c r="VB11" s="172"/>
      <c r="VC11" s="172"/>
      <c r="VD11" s="172"/>
      <c r="VE11" s="172"/>
      <c r="VF11" s="172"/>
      <c r="VG11" s="172"/>
      <c r="VH11" s="172"/>
      <c r="VI11" s="172"/>
      <c r="VJ11" s="172"/>
      <c r="VK11" s="172"/>
      <c r="VL11" s="172"/>
      <c r="VM11" s="172"/>
      <c r="VN11" s="172"/>
      <c r="VO11" s="172"/>
      <c r="VP11" s="172"/>
      <c r="VQ11" s="172"/>
      <c r="VR11" s="172"/>
      <c r="VS11" s="172"/>
      <c r="VT11" s="172"/>
      <c r="VU11" s="172"/>
      <c r="VV11" s="172"/>
      <c r="VW11" s="172"/>
      <c r="VX11" s="172"/>
      <c r="VY11" s="172"/>
      <c r="VZ11" s="172"/>
      <c r="WA11" s="172"/>
      <c r="WB11" s="172"/>
      <c r="WC11" s="172"/>
      <c r="WD11" s="172"/>
      <c r="WE11" s="172"/>
      <c r="WF11" s="172"/>
      <c r="WG11" s="172"/>
      <c r="WH11" s="172"/>
      <c r="WI11" s="172"/>
      <c r="WJ11" s="172"/>
      <c r="WK11" s="172"/>
      <c r="WL11" s="172"/>
      <c r="WM11" s="172"/>
      <c r="WN11" s="172"/>
      <c r="WO11" s="172"/>
      <c r="WP11" s="172"/>
      <c r="WQ11" s="172"/>
      <c r="WR11" s="172"/>
      <c r="WS11" s="172"/>
      <c r="WT11" s="172"/>
      <c r="WU11" s="172"/>
      <c r="WV11" s="172"/>
      <c r="WW11" s="172"/>
      <c r="WX11" s="172"/>
      <c r="WY11" s="172"/>
      <c r="WZ11" s="172"/>
      <c r="XA11" s="172"/>
      <c r="XB11" s="172"/>
      <c r="XC11" s="172"/>
      <c r="XD11" s="172"/>
      <c r="XE11" s="172"/>
      <c r="XF11" s="172"/>
      <c r="XG11" s="172"/>
      <c r="XH11" s="172"/>
      <c r="XI11" s="172"/>
      <c r="XJ11" s="172"/>
      <c r="XK11" s="172"/>
      <c r="XL11" s="172"/>
      <c r="XM11" s="172"/>
      <c r="XN11" s="172"/>
      <c r="XO11" s="172"/>
      <c r="XP11" s="172"/>
      <c r="XQ11" s="172"/>
      <c r="XR11" s="172"/>
      <c r="XS11" s="172"/>
      <c r="XT11" s="172"/>
      <c r="XU11" s="172"/>
      <c r="XV11" s="172"/>
      <c r="XW11" s="172"/>
      <c r="XX11" s="172"/>
      <c r="XY11" s="172"/>
      <c r="XZ11" s="172"/>
      <c r="YA11" s="172"/>
      <c r="YB11" s="172"/>
      <c r="YC11" s="172"/>
      <c r="YD11" s="172"/>
      <c r="YE11" s="172"/>
      <c r="YF11" s="172"/>
      <c r="YG11" s="172"/>
      <c r="YH11" s="172"/>
      <c r="YI11" s="172"/>
      <c r="YJ11" s="172"/>
      <c r="YK11" s="172"/>
      <c r="YL11" s="172"/>
      <c r="YM11" s="172"/>
      <c r="YN11" s="172"/>
      <c r="YO11" s="172"/>
      <c r="YP11" s="172"/>
      <c r="YQ11" s="172"/>
      <c r="YR11" s="172"/>
      <c r="YS11" s="172"/>
      <c r="YT11" s="172"/>
      <c r="YU11" s="172"/>
      <c r="YV11" s="172"/>
      <c r="YW11" s="172"/>
      <c r="YX11" s="172"/>
      <c r="YY11" s="172"/>
      <c r="YZ11" s="172"/>
      <c r="ZA11" s="172"/>
      <c r="ZB11" s="172"/>
      <c r="ZC11" s="172"/>
      <c r="ZD11" s="172"/>
      <c r="ZE11" s="172"/>
      <c r="ZF11" s="172"/>
      <c r="ZG11" s="172"/>
      <c r="ZH11" s="172"/>
      <c r="ZI11" s="172"/>
      <c r="ZJ11" s="172"/>
      <c r="ZK11" s="172"/>
      <c r="ZL11" s="172"/>
      <c r="ZM11" s="172"/>
      <c r="ZN11" s="172"/>
      <c r="ZO11" s="172"/>
      <c r="ZP11" s="172"/>
      <c r="ZQ11" s="172"/>
      <c r="ZR11" s="172"/>
      <c r="ZS11" s="172"/>
      <c r="ZT11" s="172"/>
      <c r="ZU11" s="172"/>
      <c r="ZV11" s="172"/>
      <c r="ZW11" s="172"/>
      <c r="ZX11" s="172"/>
      <c r="ZY11" s="172"/>
      <c r="ZZ11" s="172"/>
      <c r="AAA11" s="172"/>
      <c r="AAB11" s="172"/>
      <c r="AAC11" s="172"/>
      <c r="AAD11" s="172"/>
      <c r="AAE11" s="172"/>
      <c r="AAF11" s="172"/>
      <c r="AAG11" s="172"/>
      <c r="AAH11" s="172"/>
      <c r="AAI11" s="172"/>
      <c r="AAJ11" s="172"/>
      <c r="AAK11" s="172"/>
      <c r="AAL11" s="172"/>
      <c r="AAM11" s="172"/>
      <c r="AAN11" s="172"/>
      <c r="AAO11" s="172"/>
      <c r="AAP11" s="172"/>
      <c r="AAQ11" s="172"/>
      <c r="AAR11" s="172"/>
      <c r="AAS11" s="172"/>
      <c r="AAT11" s="172"/>
      <c r="AAU11" s="172"/>
      <c r="AAV11" s="172"/>
      <c r="AAW11" s="172"/>
      <c r="AAX11" s="172"/>
      <c r="AAY11" s="172"/>
      <c r="AAZ11" s="172"/>
      <c r="ABA11" s="172"/>
      <c r="ABB11" s="172"/>
      <c r="ABC11" s="172"/>
      <c r="ABD11" s="172"/>
      <c r="ABE11" s="172"/>
      <c r="ABF11" s="172"/>
      <c r="ABG11" s="172"/>
      <c r="ABH11" s="172"/>
      <c r="ABI11" s="172"/>
      <c r="ABJ11" s="172"/>
      <c r="ABK11" s="172"/>
      <c r="ABL11" s="172"/>
      <c r="ABM11" s="172"/>
      <c r="ABN11" s="172"/>
      <c r="ABO11" s="172"/>
      <c r="ABP11" s="172"/>
      <c r="ABQ11" s="172"/>
      <c r="ABR11" s="172"/>
      <c r="ABS11" s="172"/>
      <c r="ABT11" s="172"/>
      <c r="ABU11" s="172"/>
      <c r="ABV11" s="172"/>
      <c r="ABW11" s="172"/>
      <c r="ABX11" s="172"/>
      <c r="ABY11" s="172"/>
      <c r="ABZ11" s="172"/>
      <c r="ACA11" s="172"/>
      <c r="ACB11" s="172"/>
      <c r="ACC11" s="172"/>
      <c r="ACD11" s="172"/>
      <c r="ACE11" s="172"/>
      <c r="ACF11" s="172"/>
      <c r="ACG11" s="172"/>
      <c r="ACH11" s="172"/>
      <c r="ACI11" s="172"/>
      <c r="ACJ11" s="172"/>
      <c r="ACK11" s="172"/>
      <c r="ACL11" s="172"/>
      <c r="ACM11" s="172"/>
      <c r="ACN11" s="172"/>
      <c r="ACO11" s="172"/>
      <c r="ACP11" s="172"/>
      <c r="ACQ11" s="172"/>
      <c r="ACR11" s="172"/>
      <c r="ACS11" s="172"/>
      <c r="ACT11" s="172"/>
      <c r="ACU11" s="172"/>
      <c r="ACV11" s="172"/>
      <c r="ACW11" s="172"/>
      <c r="ACX11" s="172"/>
      <c r="ACY11" s="172"/>
      <c r="ACZ11" s="172"/>
      <c r="ADA11" s="172"/>
      <c r="ADB11" s="172"/>
      <c r="ADC11" s="172"/>
      <c r="ADD11" s="172"/>
      <c r="ADE11" s="172"/>
      <c r="ADF11" s="172"/>
      <c r="ADG11" s="172"/>
      <c r="ADH11" s="172"/>
      <c r="ADI11" s="172"/>
      <c r="ADJ11" s="172"/>
      <c r="ADK11" s="172"/>
      <c r="ADL11" s="172"/>
      <c r="ADM11" s="172"/>
      <c r="ADN11" s="172"/>
      <c r="ADO11" s="172"/>
      <c r="ADP11" s="172"/>
      <c r="ADQ11" s="172"/>
      <c r="ADR11" s="172"/>
      <c r="ADS11" s="172"/>
      <c r="ADT11" s="172"/>
      <c r="ADU11" s="172"/>
      <c r="ADV11" s="172"/>
      <c r="ADW11" s="172"/>
      <c r="ADX11" s="172"/>
      <c r="ADY11" s="172"/>
      <c r="ADZ11" s="172"/>
      <c r="AEA11" s="172"/>
      <c r="AEB11" s="172"/>
      <c r="AEC11" s="172"/>
      <c r="AED11" s="172"/>
      <c r="AEE11" s="172"/>
      <c r="AEF11" s="172"/>
      <c r="AEG11" s="172"/>
      <c r="AEH11" s="172"/>
      <c r="AEI11" s="172"/>
      <c r="AEJ11" s="172"/>
      <c r="AEK11" s="172"/>
      <c r="AEL11" s="172"/>
      <c r="AEM11" s="172"/>
      <c r="AEN11" s="172"/>
      <c r="AEO11" s="172"/>
      <c r="AEP11" s="172"/>
      <c r="AEQ11" s="172"/>
      <c r="AER11" s="172"/>
      <c r="AES11" s="172"/>
      <c r="AET11" s="172"/>
      <c r="AEU11" s="172"/>
      <c r="AEV11" s="172"/>
      <c r="AEW11" s="172"/>
      <c r="AEX11" s="172"/>
      <c r="AEY11" s="172"/>
      <c r="AEZ11" s="172"/>
      <c r="AFA11" s="172"/>
      <c r="AFB11" s="172"/>
      <c r="AFC11" s="172"/>
      <c r="AFD11" s="172"/>
      <c r="AFE11" s="172"/>
      <c r="AFF11" s="172"/>
      <c r="AFG11" s="172"/>
      <c r="AFH11" s="172"/>
      <c r="AFI11" s="172"/>
      <c r="AFJ11" s="172"/>
      <c r="AFK11" s="172"/>
      <c r="AFL11" s="172"/>
      <c r="AFM11" s="172"/>
      <c r="AFN11" s="172"/>
      <c r="AFO11" s="172"/>
      <c r="AFP11" s="172"/>
      <c r="AFQ11" s="172"/>
      <c r="AFR11" s="172"/>
      <c r="AFS11" s="172"/>
      <c r="AFT11" s="172"/>
      <c r="AFU11" s="172"/>
      <c r="AFV11" s="172"/>
      <c r="AFW11" s="172"/>
      <c r="AFX11" s="172"/>
      <c r="AFY11" s="172"/>
      <c r="AFZ11" s="172"/>
      <c r="AGA11" s="172"/>
      <c r="AGB11" s="172"/>
      <c r="AGC11" s="172"/>
      <c r="AGD11" s="172"/>
      <c r="AGE11" s="172"/>
      <c r="AGF11" s="172"/>
      <c r="AGG11" s="172"/>
      <c r="AGH11" s="172"/>
      <c r="AGI11" s="172"/>
      <c r="AGJ11" s="172"/>
      <c r="AGK11" s="172"/>
      <c r="AGL11" s="172"/>
      <c r="AGM11" s="172"/>
      <c r="AGN11" s="172"/>
      <c r="AGO11" s="172"/>
      <c r="AGP11" s="172"/>
      <c r="AGQ11" s="172"/>
      <c r="AGR11" s="172"/>
      <c r="AGS11" s="172"/>
      <c r="AGT11" s="172"/>
      <c r="AGU11" s="172"/>
      <c r="AGV11" s="172"/>
      <c r="AGW11" s="172"/>
      <c r="AGX11" s="172"/>
      <c r="AGY11" s="172"/>
      <c r="AGZ11" s="172"/>
      <c r="AHA11" s="172"/>
      <c r="AHB11" s="172"/>
      <c r="AHC11" s="172"/>
      <c r="AHD11" s="172"/>
      <c r="AHE11" s="172"/>
      <c r="AHF11" s="172"/>
      <c r="AHG11" s="172"/>
      <c r="AHH11" s="172"/>
      <c r="AHI11" s="172"/>
      <c r="AHJ11" s="172"/>
      <c r="AHK11" s="172"/>
      <c r="AHL11" s="172"/>
      <c r="AHM11" s="172"/>
      <c r="AHN11" s="172"/>
      <c r="AHO11" s="172"/>
      <c r="AHP11" s="172"/>
      <c r="AHQ11" s="172"/>
      <c r="AHR11" s="172"/>
      <c r="AHS11" s="172"/>
      <c r="AHT11" s="172"/>
      <c r="AHU11" s="172"/>
      <c r="AHV11" s="172"/>
      <c r="AHW11" s="172"/>
      <c r="AHX11" s="172"/>
      <c r="AHY11" s="172"/>
      <c r="AHZ11" s="172"/>
      <c r="AIA11" s="172"/>
      <c r="AIB11" s="172"/>
      <c r="AIC11" s="172"/>
      <c r="AID11" s="172"/>
      <c r="AIE11" s="172"/>
      <c r="AIF11" s="172"/>
      <c r="AIG11" s="172"/>
      <c r="AIH11" s="172"/>
      <c r="AII11" s="172"/>
      <c r="AIJ11" s="172"/>
      <c r="AIK11" s="172"/>
      <c r="AIL11" s="172"/>
      <c r="AIM11" s="172"/>
      <c r="AIN11" s="172"/>
      <c r="AIO11" s="172"/>
      <c r="AIP11" s="172"/>
      <c r="AIQ11" s="172"/>
      <c r="AIR11" s="172"/>
      <c r="AIS11" s="172"/>
      <c r="AIT11" s="172"/>
      <c r="AIU11" s="172"/>
      <c r="AIV11" s="172"/>
      <c r="AIW11" s="172"/>
      <c r="AIX11" s="172"/>
      <c r="AIY11" s="172"/>
      <c r="AIZ11" s="172"/>
      <c r="AJA11" s="172"/>
      <c r="AJB11" s="172"/>
      <c r="AJC11" s="172"/>
      <c r="AJD11" s="172"/>
      <c r="AJE11" s="172"/>
      <c r="AJF11" s="172"/>
      <c r="AJG11" s="172"/>
      <c r="AJH11" s="172"/>
      <c r="AJI11" s="172"/>
      <c r="AJJ11" s="172"/>
      <c r="AJK11" s="172"/>
      <c r="AJL11" s="172"/>
      <c r="AJM11" s="172"/>
      <c r="AJN11" s="172"/>
      <c r="AJO11" s="172"/>
      <c r="AJP11" s="172"/>
      <c r="AJQ11" s="172"/>
      <c r="AJR11" s="172"/>
      <c r="AJS11" s="172"/>
      <c r="AJT11" s="172"/>
      <c r="AJU11" s="172"/>
      <c r="AJV11" s="172"/>
      <c r="AJW11" s="172"/>
      <c r="AJX11" s="172"/>
      <c r="AJY11" s="172"/>
      <c r="AJZ11" s="172"/>
      <c r="AKA11" s="172"/>
      <c r="AKB11" s="172"/>
      <c r="AKC11" s="172"/>
      <c r="AKD11" s="172"/>
      <c r="AKE11" s="172"/>
      <c r="AKF11" s="172"/>
      <c r="AKG11" s="172"/>
      <c r="AKH11" s="172"/>
      <c r="AKI11" s="172"/>
      <c r="AKJ11" s="172"/>
      <c r="AKK11" s="172"/>
      <c r="AKL11" s="172"/>
      <c r="AKM11" s="172"/>
      <c r="AKN11" s="172"/>
      <c r="AKO11" s="172"/>
      <c r="AKP11" s="172"/>
      <c r="AKQ11" s="172"/>
      <c r="AKR11" s="172"/>
      <c r="AKS11" s="172"/>
      <c r="AKT11" s="172"/>
      <c r="AKU11" s="172"/>
      <c r="AKV11" s="172"/>
      <c r="AKW11" s="172"/>
      <c r="AKX11" s="172"/>
      <c r="AKY11" s="172"/>
      <c r="AKZ11" s="172"/>
      <c r="ALA11" s="172"/>
      <c r="ALB11" s="172"/>
      <c r="ALC11" s="172"/>
      <c r="ALD11" s="172"/>
      <c r="ALE11" s="172"/>
      <c r="ALF11" s="172"/>
      <c r="ALG11" s="172"/>
      <c r="ALH11" s="172"/>
      <c r="ALI11" s="172"/>
      <c r="ALJ11" s="172"/>
      <c r="ALK11" s="172"/>
      <c r="ALL11" s="172"/>
      <c r="ALM11" s="172"/>
      <c r="ALN11" s="172"/>
      <c r="ALO11" s="172"/>
      <c r="ALP11" s="172"/>
      <c r="ALQ11" s="172"/>
      <c r="ALR11" s="172"/>
      <c r="ALS11" s="172"/>
      <c r="ALT11" s="172"/>
      <c r="ALU11" s="172"/>
      <c r="ALV11" s="172"/>
      <c r="ALW11" s="172"/>
      <c r="ALX11" s="172"/>
      <c r="ALY11" s="172"/>
      <c r="ALZ11" s="172"/>
      <c r="AMA11" s="172"/>
      <c r="AMB11" s="172"/>
      <c r="AMC11" s="172"/>
      <c r="AMD11" s="172"/>
    </row>
    <row r="12" spans="1:1019" s="174" customFormat="1" ht="15" customHeight="1">
      <c r="A12" s="168">
        <f t="shared" si="0"/>
        <v>7</v>
      </c>
      <c r="B12" s="175">
        <v>1407</v>
      </c>
      <c r="C12" s="168" t="s">
        <v>18</v>
      </c>
      <c r="D12" s="169">
        <f>'הנדסה '!D63</f>
        <v>4895000</v>
      </c>
      <c r="E12" s="169">
        <f>'הנדסה '!E63</f>
        <v>4430000</v>
      </c>
      <c r="F12" s="169">
        <f>'הנדסה '!F63</f>
        <v>465000</v>
      </c>
      <c r="G12" s="169">
        <f>'הנדסה '!G63</f>
        <v>3395000</v>
      </c>
      <c r="H12" s="169">
        <f>'הנדסה '!H63</f>
        <v>2040854.84</v>
      </c>
      <c r="I12" s="169">
        <f>'הנדסה '!I63</f>
        <v>78453.42</v>
      </c>
      <c r="J12" s="169">
        <f>'הנדסה '!J63</f>
        <v>804381.62</v>
      </c>
      <c r="K12" s="169">
        <f>'הנדסה '!K63</f>
        <v>882835.04</v>
      </c>
      <c r="L12" s="169">
        <f>'הנדסה '!L63</f>
        <v>2923689.88</v>
      </c>
      <c r="M12" s="169">
        <f>'הנדסה '!M63</f>
        <v>471310.12000000011</v>
      </c>
      <c r="N12" s="169">
        <f>'הנדסה '!N63</f>
        <v>500000</v>
      </c>
      <c r="O12" s="169">
        <f>'הנדסה '!O63</f>
        <v>1000000</v>
      </c>
      <c r="P12" s="169">
        <f>'הנדסה '!P63</f>
        <v>471310.12000000011</v>
      </c>
      <c r="Q12" s="169">
        <f>'הנדסה '!Q63</f>
        <v>0</v>
      </c>
      <c r="R12" s="169">
        <f>'הנדסה '!R63</f>
        <v>0</v>
      </c>
      <c r="S12" s="169">
        <f>'הנדסה '!S63</f>
        <v>0</v>
      </c>
      <c r="T12" s="169">
        <f>'הנדסה '!T63</f>
        <v>0</v>
      </c>
      <c r="U12" s="169">
        <f>'הנדסה '!U63</f>
        <v>500000</v>
      </c>
      <c r="V12" s="169">
        <f>'הנדסה '!V63</f>
        <v>500000</v>
      </c>
      <c r="W12" s="169">
        <f>'הנדסה '!W63</f>
        <v>0</v>
      </c>
      <c r="X12" s="169">
        <f>'הנדסה '!X63</f>
        <v>0</v>
      </c>
      <c r="Y12" s="169">
        <f>'הנדסה '!Y63</f>
        <v>0</v>
      </c>
      <c r="Z12" s="169">
        <f>'הנדסה '!Z63</f>
        <v>0</v>
      </c>
      <c r="AA12" s="659">
        <f>'הנדסה '!AA63</f>
        <v>732000</v>
      </c>
      <c r="AB12" s="157"/>
      <c r="AC12" s="157"/>
      <c r="AD12" s="157"/>
      <c r="AE12" s="157"/>
      <c r="AF12" s="164"/>
      <c r="AME12" s="158"/>
    </row>
    <row r="13" spans="1:1019" s="172" customFormat="1">
      <c r="A13" s="168">
        <f t="shared" si="0"/>
        <v>8</v>
      </c>
      <c r="B13" s="175">
        <v>1408</v>
      </c>
      <c r="C13" s="168" t="s">
        <v>19</v>
      </c>
      <c r="D13" s="169">
        <f>'הנדסה '!D64</f>
        <v>1000000</v>
      </c>
      <c r="E13" s="169">
        <f>'הנדסה '!E64</f>
        <v>1000000</v>
      </c>
      <c r="F13" s="169">
        <f>'הנדסה '!F64</f>
        <v>0</v>
      </c>
      <c r="G13" s="169">
        <f>'הנדסה '!G64</f>
        <v>100000</v>
      </c>
      <c r="H13" s="169">
        <f>'הנדסה '!H64</f>
        <v>0</v>
      </c>
      <c r="I13" s="169">
        <f>'הנדסה '!I64</f>
        <v>0</v>
      </c>
      <c r="J13" s="169">
        <f>'הנדסה '!J64</f>
        <v>0</v>
      </c>
      <c r="K13" s="169">
        <f>'הנדסה '!K64</f>
        <v>0</v>
      </c>
      <c r="L13" s="169">
        <f>'הנדסה '!L64</f>
        <v>0</v>
      </c>
      <c r="M13" s="169">
        <f>'הנדסה '!M64</f>
        <v>100000</v>
      </c>
      <c r="N13" s="169">
        <f>'הנדסה '!N64</f>
        <v>100000</v>
      </c>
      <c r="O13" s="169">
        <f>'הנדסה '!O64</f>
        <v>800000</v>
      </c>
      <c r="P13" s="169">
        <f>'הנדסה '!P64</f>
        <v>100000</v>
      </c>
      <c r="Q13" s="169">
        <f>'הנדסה '!Q64</f>
        <v>0</v>
      </c>
      <c r="R13" s="169">
        <f>'הנדסה '!R64</f>
        <v>0</v>
      </c>
      <c r="S13" s="169">
        <f>'הנדסה '!S64</f>
        <v>0</v>
      </c>
      <c r="T13" s="169">
        <f>'הנדסה '!T64</f>
        <v>0</v>
      </c>
      <c r="U13" s="169">
        <f>'הנדסה '!U64</f>
        <v>100000</v>
      </c>
      <c r="V13" s="169">
        <f>'הנדסה '!V64</f>
        <v>100000</v>
      </c>
      <c r="W13" s="169">
        <f>'הנדסה '!W64</f>
        <v>0</v>
      </c>
      <c r="X13" s="169">
        <f>'הנדסה '!X64</f>
        <v>0</v>
      </c>
      <c r="Y13" s="169">
        <f>'הנדסה '!Y64</f>
        <v>0</v>
      </c>
      <c r="Z13" s="169">
        <f>'הנדסה '!Z64</f>
        <v>0</v>
      </c>
      <c r="AA13" s="659">
        <f>'הנדסה '!AA64</f>
        <v>732000</v>
      </c>
      <c r="AB13" s="157"/>
      <c r="AC13" s="157"/>
      <c r="AD13" s="157"/>
      <c r="AE13" s="157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  <c r="EB13" s="176"/>
      <c r="EC13" s="176"/>
      <c r="ED13" s="176"/>
      <c r="EE13" s="176"/>
      <c r="EF13" s="176"/>
      <c r="EG13" s="176"/>
      <c r="EH13" s="176"/>
      <c r="EI13" s="176"/>
      <c r="EJ13" s="176"/>
      <c r="EK13" s="176"/>
      <c r="EL13" s="176"/>
      <c r="EM13" s="176"/>
      <c r="EN13" s="176"/>
      <c r="EO13" s="176"/>
      <c r="EP13" s="176"/>
      <c r="EQ13" s="176"/>
      <c r="ER13" s="176"/>
      <c r="ES13" s="176"/>
      <c r="ET13" s="176"/>
      <c r="EU13" s="176"/>
      <c r="EV13" s="176"/>
      <c r="EW13" s="176"/>
      <c r="EX13" s="176"/>
      <c r="EY13" s="176"/>
      <c r="EZ13" s="176"/>
      <c r="FA13" s="176"/>
      <c r="FB13" s="176"/>
      <c r="FC13" s="176"/>
      <c r="FD13" s="176"/>
      <c r="FE13" s="176"/>
      <c r="FF13" s="176"/>
      <c r="FG13" s="176"/>
      <c r="FH13" s="176"/>
      <c r="FI13" s="176"/>
      <c r="FJ13" s="176"/>
      <c r="FK13" s="176"/>
      <c r="FL13" s="176"/>
      <c r="FM13" s="176"/>
      <c r="FN13" s="176"/>
      <c r="FO13" s="176"/>
      <c r="FP13" s="176"/>
      <c r="FQ13" s="176"/>
      <c r="FR13" s="176"/>
      <c r="FS13" s="176"/>
      <c r="FT13" s="176"/>
      <c r="FU13" s="176"/>
      <c r="FV13" s="176"/>
      <c r="FW13" s="176"/>
      <c r="FX13" s="176"/>
      <c r="FY13" s="176"/>
      <c r="FZ13" s="176"/>
      <c r="GA13" s="176"/>
      <c r="GB13" s="176"/>
      <c r="GC13" s="176"/>
      <c r="GD13" s="176"/>
      <c r="GE13" s="176"/>
      <c r="GF13" s="176"/>
      <c r="GG13" s="176"/>
      <c r="GH13" s="176"/>
      <c r="GI13" s="176"/>
      <c r="GJ13" s="176"/>
      <c r="GK13" s="176"/>
      <c r="GL13" s="176"/>
      <c r="GM13" s="176"/>
      <c r="GN13" s="176"/>
      <c r="GO13" s="176"/>
      <c r="GP13" s="176"/>
      <c r="GQ13" s="176"/>
      <c r="GR13" s="176"/>
      <c r="GS13" s="176"/>
      <c r="GT13" s="176"/>
      <c r="GU13" s="176"/>
      <c r="GV13" s="176"/>
      <c r="GW13" s="176"/>
      <c r="GX13" s="176"/>
      <c r="GY13" s="176"/>
      <c r="GZ13" s="176"/>
      <c r="HA13" s="176"/>
      <c r="HB13" s="176"/>
      <c r="HC13" s="176"/>
      <c r="HD13" s="176"/>
      <c r="HE13" s="176"/>
      <c r="HF13" s="176"/>
      <c r="HG13" s="176"/>
      <c r="HH13" s="176"/>
      <c r="HI13" s="176"/>
      <c r="HJ13" s="176"/>
      <c r="HK13" s="176"/>
      <c r="HL13" s="176"/>
      <c r="HM13" s="176"/>
      <c r="HN13" s="176"/>
      <c r="HO13" s="176"/>
      <c r="HP13" s="176"/>
      <c r="HQ13" s="176"/>
      <c r="HR13" s="176"/>
      <c r="HS13" s="176"/>
      <c r="HT13" s="176"/>
      <c r="HU13" s="176"/>
      <c r="HV13" s="176"/>
      <c r="HW13" s="176"/>
      <c r="HX13" s="176"/>
      <c r="HY13" s="176"/>
      <c r="HZ13" s="176"/>
      <c r="IA13" s="176"/>
      <c r="IB13" s="176"/>
      <c r="IC13" s="176"/>
      <c r="ID13" s="176"/>
      <c r="IE13" s="176"/>
      <c r="IF13" s="176"/>
      <c r="IG13" s="176"/>
      <c r="IH13" s="176"/>
      <c r="II13" s="176"/>
      <c r="IJ13" s="176"/>
      <c r="IK13" s="176"/>
      <c r="IL13" s="176"/>
      <c r="IM13" s="176"/>
      <c r="IN13" s="176"/>
      <c r="IO13" s="176"/>
      <c r="IP13" s="176"/>
      <c r="IQ13" s="176"/>
      <c r="IR13" s="176"/>
      <c r="IS13" s="176"/>
      <c r="IT13" s="176"/>
      <c r="IU13" s="176"/>
      <c r="IV13" s="176"/>
      <c r="IW13" s="176"/>
      <c r="IX13" s="176"/>
      <c r="IY13" s="176"/>
      <c r="IZ13" s="176"/>
      <c r="JA13" s="176"/>
      <c r="JB13" s="176"/>
      <c r="JC13" s="176"/>
      <c r="JD13" s="176"/>
      <c r="JE13" s="176"/>
      <c r="JF13" s="176"/>
      <c r="JG13" s="176"/>
      <c r="JH13" s="176"/>
      <c r="JI13" s="176"/>
      <c r="JJ13" s="176"/>
      <c r="JK13" s="176"/>
      <c r="JL13" s="176"/>
      <c r="JM13" s="176"/>
      <c r="JN13" s="176"/>
      <c r="JO13" s="176"/>
      <c r="JP13" s="176"/>
      <c r="JQ13" s="176"/>
      <c r="JR13" s="176"/>
      <c r="JS13" s="176"/>
      <c r="JT13" s="176"/>
      <c r="JU13" s="176"/>
      <c r="JV13" s="176"/>
      <c r="JW13" s="176"/>
      <c r="JX13" s="176"/>
      <c r="JY13" s="176"/>
      <c r="JZ13" s="176"/>
      <c r="KA13" s="176"/>
      <c r="KB13" s="176"/>
      <c r="KC13" s="176"/>
      <c r="KD13" s="176"/>
      <c r="KE13" s="176"/>
      <c r="KF13" s="176"/>
      <c r="KG13" s="176"/>
      <c r="KH13" s="176"/>
      <c r="KI13" s="176"/>
      <c r="KJ13" s="176"/>
      <c r="KK13" s="176"/>
      <c r="KL13" s="176"/>
      <c r="KM13" s="176"/>
      <c r="KN13" s="176"/>
      <c r="KO13" s="176"/>
      <c r="KP13" s="176"/>
      <c r="KQ13" s="176"/>
      <c r="KR13" s="176"/>
      <c r="KS13" s="176"/>
      <c r="KT13" s="176"/>
      <c r="KU13" s="176"/>
      <c r="KV13" s="176"/>
      <c r="KW13" s="176"/>
      <c r="KX13" s="176"/>
      <c r="KY13" s="176"/>
      <c r="KZ13" s="176"/>
      <c r="LA13" s="176"/>
      <c r="LB13" s="176"/>
      <c r="LC13" s="176"/>
      <c r="LD13" s="176"/>
      <c r="LE13" s="176"/>
      <c r="LF13" s="176"/>
      <c r="LG13" s="176"/>
      <c r="LH13" s="176"/>
      <c r="LI13" s="176"/>
      <c r="LJ13" s="176"/>
      <c r="LK13" s="176"/>
      <c r="LL13" s="176"/>
      <c r="LM13" s="176"/>
      <c r="LN13" s="176"/>
      <c r="LO13" s="176"/>
      <c r="LP13" s="176"/>
      <c r="LQ13" s="176"/>
      <c r="LR13" s="176"/>
      <c r="LS13" s="176"/>
      <c r="LT13" s="176"/>
      <c r="LU13" s="176"/>
      <c r="LV13" s="176"/>
      <c r="LW13" s="176"/>
      <c r="LX13" s="176"/>
      <c r="LY13" s="176"/>
      <c r="LZ13" s="176"/>
      <c r="MA13" s="176"/>
      <c r="MB13" s="176"/>
      <c r="MC13" s="176"/>
      <c r="MD13" s="176"/>
      <c r="ME13" s="176"/>
      <c r="MF13" s="176"/>
      <c r="MG13" s="176"/>
      <c r="MH13" s="176"/>
      <c r="MI13" s="176"/>
      <c r="MJ13" s="176"/>
      <c r="MK13" s="176"/>
      <c r="ML13" s="176"/>
      <c r="MM13" s="176"/>
      <c r="MN13" s="176"/>
      <c r="MO13" s="176"/>
      <c r="MP13" s="176"/>
      <c r="MQ13" s="176"/>
      <c r="MR13" s="176"/>
      <c r="MS13" s="176"/>
      <c r="MT13" s="176"/>
      <c r="MU13" s="176"/>
      <c r="MV13" s="176"/>
      <c r="MW13" s="176"/>
      <c r="MX13" s="176"/>
      <c r="MY13" s="176"/>
      <c r="MZ13" s="176"/>
      <c r="NA13" s="176"/>
      <c r="NB13" s="176"/>
      <c r="NC13" s="176"/>
      <c r="ND13" s="176"/>
      <c r="NE13" s="176"/>
      <c r="NF13" s="176"/>
      <c r="NG13" s="176"/>
      <c r="NH13" s="176"/>
      <c r="NI13" s="176"/>
      <c r="NJ13" s="176"/>
      <c r="NK13" s="176"/>
      <c r="NL13" s="176"/>
      <c r="NM13" s="176"/>
      <c r="NN13" s="176"/>
      <c r="NO13" s="176"/>
      <c r="NP13" s="176"/>
      <c r="NQ13" s="176"/>
      <c r="NR13" s="176"/>
      <c r="NS13" s="176"/>
      <c r="NT13" s="176"/>
      <c r="NU13" s="176"/>
      <c r="NV13" s="176"/>
      <c r="NW13" s="176"/>
      <c r="NX13" s="176"/>
      <c r="NY13" s="176"/>
      <c r="NZ13" s="176"/>
      <c r="OA13" s="176"/>
      <c r="OB13" s="176"/>
      <c r="OC13" s="176"/>
      <c r="OD13" s="176"/>
      <c r="OE13" s="176"/>
      <c r="OF13" s="176"/>
      <c r="OG13" s="176"/>
      <c r="OH13" s="176"/>
      <c r="OI13" s="176"/>
      <c r="OJ13" s="176"/>
      <c r="OK13" s="176"/>
      <c r="OL13" s="176"/>
      <c r="OM13" s="176"/>
      <c r="ON13" s="176"/>
      <c r="OO13" s="176"/>
      <c r="OP13" s="176"/>
      <c r="OQ13" s="176"/>
      <c r="OR13" s="176"/>
      <c r="OS13" s="176"/>
      <c r="OT13" s="176"/>
      <c r="OU13" s="176"/>
      <c r="OV13" s="176"/>
      <c r="OW13" s="176"/>
      <c r="OX13" s="176"/>
      <c r="OY13" s="176"/>
      <c r="OZ13" s="176"/>
      <c r="PA13" s="176"/>
      <c r="PB13" s="176"/>
      <c r="PC13" s="176"/>
      <c r="PD13" s="176"/>
      <c r="PE13" s="176"/>
      <c r="PF13" s="176"/>
      <c r="PG13" s="176"/>
      <c r="PH13" s="176"/>
      <c r="PI13" s="176"/>
      <c r="PJ13" s="176"/>
      <c r="PK13" s="176"/>
      <c r="PL13" s="176"/>
      <c r="PM13" s="176"/>
      <c r="PN13" s="176"/>
      <c r="PO13" s="176"/>
      <c r="PP13" s="176"/>
      <c r="PQ13" s="176"/>
      <c r="PR13" s="176"/>
      <c r="PS13" s="176"/>
      <c r="PT13" s="176"/>
      <c r="PU13" s="176"/>
      <c r="PV13" s="176"/>
      <c r="PW13" s="176"/>
      <c r="PX13" s="176"/>
      <c r="PY13" s="176"/>
      <c r="PZ13" s="176"/>
      <c r="QA13" s="176"/>
      <c r="QB13" s="176"/>
      <c r="QC13" s="176"/>
      <c r="QD13" s="176"/>
      <c r="QE13" s="176"/>
      <c r="QF13" s="176"/>
      <c r="QG13" s="176"/>
      <c r="QH13" s="176"/>
      <c r="QI13" s="176"/>
      <c r="QJ13" s="176"/>
      <c r="QK13" s="176"/>
      <c r="QL13" s="176"/>
      <c r="QM13" s="176"/>
      <c r="QN13" s="176"/>
      <c r="QO13" s="176"/>
      <c r="QP13" s="176"/>
      <c r="QQ13" s="176"/>
      <c r="QR13" s="176"/>
      <c r="QS13" s="176"/>
      <c r="QT13" s="176"/>
      <c r="QU13" s="176"/>
      <c r="QV13" s="176"/>
      <c r="QW13" s="176"/>
      <c r="QX13" s="176"/>
      <c r="QY13" s="176"/>
      <c r="QZ13" s="176"/>
      <c r="RA13" s="176"/>
      <c r="RB13" s="176"/>
      <c r="RC13" s="176"/>
      <c r="RD13" s="176"/>
      <c r="RE13" s="176"/>
      <c r="RF13" s="176"/>
      <c r="RG13" s="176"/>
      <c r="RH13" s="176"/>
      <c r="RI13" s="176"/>
      <c r="RJ13" s="176"/>
      <c r="RK13" s="176"/>
      <c r="RL13" s="176"/>
      <c r="RM13" s="176"/>
      <c r="RN13" s="176"/>
      <c r="RO13" s="176"/>
      <c r="RP13" s="176"/>
      <c r="RQ13" s="176"/>
      <c r="RR13" s="176"/>
      <c r="RS13" s="176"/>
      <c r="RT13" s="176"/>
      <c r="RU13" s="176"/>
      <c r="RV13" s="176"/>
      <c r="RW13" s="176"/>
      <c r="RX13" s="176"/>
      <c r="RY13" s="176"/>
      <c r="RZ13" s="176"/>
      <c r="SA13" s="176"/>
      <c r="SB13" s="176"/>
      <c r="SC13" s="176"/>
      <c r="SD13" s="176"/>
      <c r="SE13" s="176"/>
      <c r="SF13" s="176"/>
      <c r="SG13" s="176"/>
      <c r="SH13" s="176"/>
      <c r="SI13" s="176"/>
      <c r="SJ13" s="176"/>
      <c r="SK13" s="176"/>
      <c r="SL13" s="176"/>
      <c r="SM13" s="176"/>
      <c r="SN13" s="176"/>
      <c r="SO13" s="176"/>
      <c r="SP13" s="176"/>
      <c r="SQ13" s="176"/>
      <c r="SR13" s="176"/>
      <c r="SS13" s="176"/>
      <c r="ST13" s="176"/>
      <c r="SU13" s="176"/>
      <c r="SV13" s="176"/>
      <c r="SW13" s="176"/>
      <c r="SX13" s="176"/>
      <c r="SY13" s="176"/>
      <c r="SZ13" s="176"/>
      <c r="TA13" s="176"/>
      <c r="TB13" s="176"/>
      <c r="TC13" s="176"/>
      <c r="TD13" s="176"/>
      <c r="TE13" s="176"/>
      <c r="TF13" s="176"/>
      <c r="TG13" s="176"/>
      <c r="TH13" s="176"/>
      <c r="TI13" s="176"/>
      <c r="TJ13" s="176"/>
      <c r="TK13" s="176"/>
      <c r="TL13" s="176"/>
      <c r="TM13" s="176"/>
      <c r="TN13" s="176"/>
      <c r="TO13" s="176"/>
      <c r="TP13" s="176"/>
      <c r="TQ13" s="176"/>
      <c r="TR13" s="176"/>
      <c r="TS13" s="176"/>
      <c r="TT13" s="176"/>
      <c r="TU13" s="176"/>
      <c r="TV13" s="176"/>
      <c r="TW13" s="176"/>
      <c r="TX13" s="176"/>
      <c r="TY13" s="176"/>
      <c r="TZ13" s="176"/>
      <c r="UA13" s="176"/>
      <c r="UB13" s="176"/>
      <c r="UC13" s="176"/>
      <c r="UD13" s="176"/>
      <c r="UE13" s="176"/>
      <c r="UF13" s="176"/>
      <c r="UG13" s="176"/>
      <c r="UH13" s="176"/>
      <c r="UI13" s="176"/>
      <c r="UJ13" s="176"/>
      <c r="UK13" s="176"/>
      <c r="UL13" s="176"/>
      <c r="UM13" s="176"/>
      <c r="UN13" s="176"/>
      <c r="UO13" s="176"/>
      <c r="UP13" s="176"/>
      <c r="UQ13" s="176"/>
      <c r="UR13" s="176"/>
      <c r="US13" s="176"/>
      <c r="UT13" s="176"/>
      <c r="UU13" s="176"/>
      <c r="UV13" s="176"/>
      <c r="UW13" s="176"/>
      <c r="UX13" s="176"/>
      <c r="UY13" s="176"/>
      <c r="UZ13" s="176"/>
      <c r="VA13" s="176"/>
      <c r="VB13" s="176"/>
      <c r="VC13" s="176"/>
      <c r="VD13" s="176"/>
      <c r="VE13" s="176"/>
      <c r="VF13" s="176"/>
      <c r="VG13" s="176"/>
      <c r="VH13" s="176"/>
      <c r="VI13" s="176"/>
      <c r="VJ13" s="176"/>
      <c r="VK13" s="176"/>
      <c r="VL13" s="176"/>
      <c r="VM13" s="176"/>
      <c r="VN13" s="176"/>
      <c r="VO13" s="176"/>
      <c r="VP13" s="176"/>
      <c r="VQ13" s="176"/>
      <c r="VR13" s="176"/>
      <c r="VS13" s="176"/>
      <c r="VT13" s="176"/>
      <c r="VU13" s="176"/>
      <c r="VV13" s="176"/>
      <c r="VW13" s="176"/>
      <c r="VX13" s="176"/>
      <c r="VY13" s="176"/>
      <c r="VZ13" s="176"/>
      <c r="WA13" s="176"/>
      <c r="WB13" s="176"/>
      <c r="WC13" s="176"/>
      <c r="WD13" s="176"/>
      <c r="WE13" s="176"/>
      <c r="WF13" s="176"/>
      <c r="WG13" s="176"/>
      <c r="WH13" s="176"/>
      <c r="WI13" s="176"/>
      <c r="WJ13" s="176"/>
      <c r="WK13" s="176"/>
      <c r="WL13" s="176"/>
      <c r="WM13" s="176"/>
      <c r="WN13" s="176"/>
      <c r="WO13" s="176"/>
      <c r="WP13" s="176"/>
      <c r="WQ13" s="176"/>
      <c r="WR13" s="176"/>
      <c r="WS13" s="176"/>
      <c r="WT13" s="176"/>
      <c r="WU13" s="176"/>
      <c r="WV13" s="176"/>
      <c r="WW13" s="176"/>
      <c r="WX13" s="176"/>
      <c r="WY13" s="176"/>
      <c r="WZ13" s="176"/>
      <c r="XA13" s="176"/>
      <c r="XB13" s="176"/>
      <c r="XC13" s="176"/>
      <c r="XD13" s="176"/>
      <c r="XE13" s="176"/>
      <c r="XF13" s="176"/>
      <c r="XG13" s="176"/>
      <c r="XH13" s="176"/>
      <c r="XI13" s="176"/>
      <c r="XJ13" s="176"/>
      <c r="XK13" s="176"/>
      <c r="XL13" s="176"/>
      <c r="XM13" s="176"/>
      <c r="XN13" s="176"/>
      <c r="XO13" s="176"/>
      <c r="XP13" s="176"/>
      <c r="XQ13" s="176"/>
      <c r="XR13" s="176"/>
      <c r="XS13" s="176"/>
      <c r="XT13" s="176"/>
      <c r="XU13" s="176"/>
      <c r="XV13" s="176"/>
      <c r="XW13" s="176"/>
      <c r="XX13" s="176"/>
      <c r="XY13" s="176"/>
      <c r="XZ13" s="176"/>
      <c r="YA13" s="176"/>
      <c r="YB13" s="176"/>
      <c r="YC13" s="176"/>
      <c r="YD13" s="176"/>
      <c r="YE13" s="176"/>
      <c r="YF13" s="176"/>
      <c r="YG13" s="176"/>
      <c r="YH13" s="176"/>
      <c r="YI13" s="176"/>
      <c r="YJ13" s="176"/>
      <c r="YK13" s="176"/>
      <c r="YL13" s="176"/>
      <c r="YM13" s="176"/>
      <c r="YN13" s="176"/>
      <c r="YO13" s="176"/>
      <c r="YP13" s="176"/>
      <c r="YQ13" s="176"/>
      <c r="YR13" s="176"/>
      <c r="YS13" s="176"/>
      <c r="YT13" s="176"/>
      <c r="YU13" s="176"/>
      <c r="YV13" s="176"/>
      <c r="YW13" s="176"/>
      <c r="YX13" s="176"/>
      <c r="YY13" s="176"/>
      <c r="YZ13" s="176"/>
      <c r="ZA13" s="176"/>
      <c r="ZB13" s="176"/>
      <c r="ZC13" s="176"/>
      <c r="ZD13" s="176"/>
      <c r="ZE13" s="176"/>
      <c r="ZF13" s="176"/>
      <c r="ZG13" s="176"/>
      <c r="ZH13" s="176"/>
      <c r="ZI13" s="176"/>
      <c r="ZJ13" s="176"/>
      <c r="ZK13" s="176"/>
      <c r="ZL13" s="176"/>
      <c r="ZM13" s="176"/>
      <c r="ZN13" s="176"/>
      <c r="ZO13" s="176"/>
      <c r="ZP13" s="176"/>
      <c r="ZQ13" s="176"/>
      <c r="ZR13" s="176"/>
      <c r="ZS13" s="176"/>
      <c r="ZT13" s="176"/>
      <c r="ZU13" s="176"/>
      <c r="ZV13" s="176"/>
      <c r="ZW13" s="176"/>
      <c r="ZX13" s="176"/>
      <c r="ZY13" s="176"/>
      <c r="ZZ13" s="176"/>
      <c r="AAA13" s="176"/>
      <c r="AAB13" s="176"/>
      <c r="AAC13" s="176"/>
      <c r="AAD13" s="176"/>
      <c r="AAE13" s="176"/>
      <c r="AAF13" s="176"/>
      <c r="AAG13" s="176"/>
      <c r="AAH13" s="176"/>
      <c r="AAI13" s="176"/>
      <c r="AAJ13" s="176"/>
      <c r="AAK13" s="176"/>
      <c r="AAL13" s="176"/>
      <c r="AAM13" s="176"/>
      <c r="AAN13" s="176"/>
      <c r="AAO13" s="176"/>
      <c r="AAP13" s="176"/>
      <c r="AAQ13" s="176"/>
      <c r="AAR13" s="176"/>
      <c r="AAS13" s="176"/>
      <c r="AAT13" s="176"/>
      <c r="AAU13" s="176"/>
      <c r="AAV13" s="176"/>
      <c r="AAW13" s="176"/>
      <c r="AAX13" s="176"/>
      <c r="AAY13" s="176"/>
      <c r="AAZ13" s="176"/>
      <c r="ABA13" s="176"/>
      <c r="ABB13" s="176"/>
      <c r="ABC13" s="176"/>
      <c r="ABD13" s="176"/>
      <c r="ABE13" s="176"/>
      <c r="ABF13" s="176"/>
      <c r="ABG13" s="176"/>
      <c r="ABH13" s="176"/>
      <c r="ABI13" s="176"/>
      <c r="ABJ13" s="176"/>
      <c r="ABK13" s="176"/>
      <c r="ABL13" s="176"/>
      <c r="ABM13" s="176"/>
      <c r="ABN13" s="176"/>
      <c r="ABO13" s="176"/>
      <c r="ABP13" s="176"/>
      <c r="ABQ13" s="176"/>
      <c r="ABR13" s="176"/>
      <c r="ABS13" s="176"/>
      <c r="ABT13" s="176"/>
      <c r="ABU13" s="176"/>
      <c r="ABV13" s="176"/>
      <c r="ABW13" s="176"/>
      <c r="ABX13" s="176"/>
      <c r="ABY13" s="176"/>
      <c r="ABZ13" s="176"/>
      <c r="ACA13" s="176"/>
      <c r="ACB13" s="176"/>
      <c r="ACC13" s="176"/>
      <c r="ACD13" s="176"/>
      <c r="ACE13" s="176"/>
      <c r="ACF13" s="176"/>
      <c r="ACG13" s="176"/>
      <c r="ACH13" s="176"/>
      <c r="ACI13" s="176"/>
      <c r="ACJ13" s="176"/>
      <c r="ACK13" s="176"/>
      <c r="ACL13" s="176"/>
      <c r="ACM13" s="176"/>
      <c r="ACN13" s="176"/>
      <c r="ACO13" s="176"/>
      <c r="ACP13" s="176"/>
      <c r="ACQ13" s="176"/>
      <c r="ACR13" s="176"/>
      <c r="ACS13" s="176"/>
      <c r="ACT13" s="176"/>
      <c r="ACU13" s="176"/>
      <c r="ACV13" s="176"/>
      <c r="ACW13" s="176"/>
      <c r="ACX13" s="176"/>
      <c r="ACY13" s="176"/>
      <c r="ACZ13" s="176"/>
      <c r="ADA13" s="176"/>
      <c r="ADB13" s="176"/>
      <c r="ADC13" s="176"/>
      <c r="ADD13" s="176"/>
      <c r="ADE13" s="176"/>
      <c r="ADF13" s="176"/>
      <c r="ADG13" s="176"/>
      <c r="ADH13" s="176"/>
      <c r="ADI13" s="176"/>
      <c r="ADJ13" s="176"/>
      <c r="ADK13" s="176"/>
      <c r="ADL13" s="176"/>
      <c r="ADM13" s="176"/>
      <c r="ADN13" s="176"/>
      <c r="ADO13" s="176"/>
      <c r="ADP13" s="176"/>
      <c r="ADQ13" s="176"/>
      <c r="ADR13" s="176"/>
      <c r="ADS13" s="176"/>
      <c r="ADT13" s="176"/>
      <c r="ADU13" s="176"/>
      <c r="ADV13" s="176"/>
      <c r="ADW13" s="176"/>
      <c r="ADX13" s="176"/>
      <c r="ADY13" s="176"/>
      <c r="ADZ13" s="176"/>
      <c r="AEA13" s="176"/>
      <c r="AEB13" s="176"/>
      <c r="AEC13" s="176"/>
      <c r="AED13" s="176"/>
      <c r="AEE13" s="176"/>
      <c r="AEF13" s="176"/>
      <c r="AEG13" s="176"/>
      <c r="AEH13" s="176"/>
      <c r="AEI13" s="176"/>
      <c r="AEJ13" s="176"/>
      <c r="AEK13" s="176"/>
      <c r="AEL13" s="176"/>
      <c r="AEM13" s="176"/>
      <c r="AEN13" s="176"/>
      <c r="AEO13" s="176"/>
      <c r="AEP13" s="176"/>
      <c r="AEQ13" s="176"/>
      <c r="AER13" s="176"/>
      <c r="AES13" s="176"/>
      <c r="AET13" s="176"/>
      <c r="AEU13" s="176"/>
      <c r="AEV13" s="176"/>
      <c r="AEW13" s="176"/>
      <c r="AEX13" s="176"/>
      <c r="AEY13" s="176"/>
      <c r="AEZ13" s="176"/>
      <c r="AFA13" s="176"/>
      <c r="AFB13" s="176"/>
      <c r="AFC13" s="176"/>
      <c r="AFD13" s="176"/>
      <c r="AFE13" s="176"/>
      <c r="AFF13" s="176"/>
      <c r="AFG13" s="176"/>
      <c r="AFH13" s="176"/>
      <c r="AFI13" s="176"/>
      <c r="AFJ13" s="176"/>
      <c r="AFK13" s="176"/>
      <c r="AFL13" s="176"/>
      <c r="AFM13" s="176"/>
      <c r="AFN13" s="176"/>
      <c r="AFO13" s="176"/>
      <c r="AFP13" s="176"/>
      <c r="AFQ13" s="176"/>
      <c r="AFR13" s="176"/>
      <c r="AFS13" s="176"/>
      <c r="AFT13" s="176"/>
      <c r="AFU13" s="176"/>
      <c r="AFV13" s="176"/>
      <c r="AFW13" s="176"/>
      <c r="AFX13" s="176"/>
      <c r="AFY13" s="176"/>
      <c r="AFZ13" s="176"/>
      <c r="AGA13" s="176"/>
      <c r="AGB13" s="176"/>
      <c r="AGC13" s="176"/>
      <c r="AGD13" s="176"/>
      <c r="AGE13" s="176"/>
      <c r="AGF13" s="176"/>
      <c r="AGG13" s="176"/>
      <c r="AGH13" s="176"/>
      <c r="AGI13" s="176"/>
      <c r="AGJ13" s="176"/>
      <c r="AGK13" s="176"/>
      <c r="AGL13" s="176"/>
      <c r="AGM13" s="176"/>
      <c r="AGN13" s="176"/>
      <c r="AGO13" s="176"/>
      <c r="AGP13" s="176"/>
      <c r="AGQ13" s="176"/>
      <c r="AGR13" s="176"/>
      <c r="AGS13" s="176"/>
      <c r="AGT13" s="176"/>
      <c r="AGU13" s="176"/>
      <c r="AGV13" s="176"/>
      <c r="AGW13" s="176"/>
      <c r="AGX13" s="176"/>
      <c r="AGY13" s="176"/>
      <c r="AGZ13" s="176"/>
      <c r="AHA13" s="176"/>
      <c r="AHB13" s="176"/>
      <c r="AHC13" s="176"/>
      <c r="AHD13" s="176"/>
      <c r="AHE13" s="176"/>
      <c r="AHF13" s="176"/>
      <c r="AHG13" s="176"/>
      <c r="AHH13" s="176"/>
      <c r="AHI13" s="176"/>
      <c r="AHJ13" s="176"/>
      <c r="AHK13" s="176"/>
      <c r="AHL13" s="176"/>
      <c r="AHM13" s="176"/>
      <c r="AHN13" s="176"/>
      <c r="AHO13" s="176"/>
      <c r="AHP13" s="176"/>
      <c r="AHQ13" s="176"/>
      <c r="AHR13" s="176"/>
      <c r="AHS13" s="176"/>
      <c r="AHT13" s="176"/>
      <c r="AHU13" s="176"/>
      <c r="AHV13" s="176"/>
      <c r="AHW13" s="176"/>
      <c r="AHX13" s="176"/>
      <c r="AHY13" s="176"/>
      <c r="AHZ13" s="176"/>
      <c r="AIA13" s="176"/>
      <c r="AIB13" s="176"/>
      <c r="AIC13" s="176"/>
      <c r="AID13" s="176"/>
      <c r="AIE13" s="176"/>
      <c r="AIF13" s="176"/>
      <c r="AIG13" s="176"/>
      <c r="AIH13" s="176"/>
      <c r="AII13" s="176"/>
      <c r="AIJ13" s="176"/>
      <c r="AIK13" s="176"/>
      <c r="AIL13" s="176"/>
      <c r="AIM13" s="176"/>
      <c r="AIN13" s="176"/>
      <c r="AIO13" s="176"/>
      <c r="AIP13" s="176"/>
      <c r="AIQ13" s="176"/>
      <c r="AIR13" s="176"/>
      <c r="AIS13" s="176"/>
      <c r="AIT13" s="176"/>
      <c r="AIU13" s="176"/>
      <c r="AIV13" s="176"/>
      <c r="AIW13" s="176"/>
      <c r="AIX13" s="176"/>
      <c r="AIY13" s="176"/>
      <c r="AIZ13" s="176"/>
      <c r="AJA13" s="176"/>
      <c r="AJB13" s="176"/>
      <c r="AJC13" s="176"/>
      <c r="AJD13" s="176"/>
      <c r="AJE13" s="176"/>
      <c r="AJF13" s="176"/>
      <c r="AJG13" s="176"/>
      <c r="AJH13" s="176"/>
      <c r="AJI13" s="176"/>
      <c r="AJJ13" s="176"/>
      <c r="AJK13" s="176"/>
      <c r="AJL13" s="176"/>
      <c r="AJM13" s="176"/>
      <c r="AJN13" s="176"/>
      <c r="AJO13" s="176"/>
      <c r="AJP13" s="176"/>
      <c r="AJQ13" s="176"/>
      <c r="AJR13" s="176"/>
      <c r="AJS13" s="176"/>
      <c r="AJT13" s="176"/>
      <c r="AJU13" s="176"/>
      <c r="AJV13" s="176"/>
      <c r="AJW13" s="176"/>
      <c r="AJX13" s="176"/>
      <c r="AJY13" s="176"/>
      <c r="AJZ13" s="176"/>
      <c r="AKA13" s="176"/>
      <c r="AKB13" s="176"/>
      <c r="AKC13" s="176"/>
      <c r="AKD13" s="176"/>
      <c r="AKE13" s="176"/>
      <c r="AKF13" s="176"/>
      <c r="AKG13" s="176"/>
      <c r="AKH13" s="176"/>
      <c r="AKI13" s="176"/>
      <c r="AKJ13" s="176"/>
      <c r="AKK13" s="176"/>
      <c r="AKL13" s="176"/>
      <c r="AKM13" s="176"/>
      <c r="AKN13" s="176"/>
      <c r="AKO13" s="176"/>
      <c r="AKP13" s="176"/>
      <c r="AKQ13" s="176"/>
      <c r="AKR13" s="176"/>
      <c r="AKS13" s="176"/>
      <c r="AKT13" s="176"/>
      <c r="AKU13" s="176"/>
      <c r="AKV13" s="176"/>
      <c r="AKW13" s="176"/>
      <c r="AKX13" s="176"/>
      <c r="AKY13" s="176"/>
      <c r="AKZ13" s="176"/>
      <c r="ALA13" s="176"/>
      <c r="ALB13" s="176"/>
      <c r="ALC13" s="176"/>
      <c r="ALD13" s="176"/>
      <c r="ALE13" s="176"/>
      <c r="ALF13" s="176"/>
      <c r="ALG13" s="176"/>
      <c r="ALH13" s="176"/>
      <c r="ALI13" s="176"/>
      <c r="ALJ13" s="176"/>
      <c r="ALK13" s="176"/>
      <c r="ALL13" s="176"/>
      <c r="ALM13" s="176"/>
      <c r="ALN13" s="176"/>
      <c r="ALO13" s="176"/>
      <c r="ALP13" s="176"/>
      <c r="ALQ13" s="176"/>
      <c r="ALR13" s="176"/>
      <c r="ALS13" s="176"/>
      <c r="ALT13" s="176"/>
      <c r="ALU13" s="176"/>
      <c r="ALV13" s="176"/>
      <c r="ALW13" s="176"/>
      <c r="ALX13" s="176"/>
      <c r="ALY13" s="176"/>
      <c r="ALZ13" s="176"/>
      <c r="AMA13" s="176"/>
      <c r="AMB13" s="176"/>
      <c r="AMC13" s="176"/>
      <c r="AMD13" s="176"/>
      <c r="AME13" s="158"/>
    </row>
    <row r="14" spans="1:1019" s="172" customFormat="1" ht="15" customHeight="1">
      <c r="A14" s="168">
        <f t="shared" si="0"/>
        <v>9</v>
      </c>
      <c r="B14" s="175">
        <v>1409</v>
      </c>
      <c r="C14" s="168" t="s">
        <v>345</v>
      </c>
      <c r="D14" s="169">
        <f>'הנדסה '!D86</f>
        <v>4300000</v>
      </c>
      <c r="E14" s="169">
        <f>'הנדסה '!E86</f>
        <v>3500000</v>
      </c>
      <c r="F14" s="169">
        <f>'הנדסה '!F86</f>
        <v>800000</v>
      </c>
      <c r="G14" s="169">
        <f>'הנדסה '!G86</f>
        <v>3300000</v>
      </c>
      <c r="H14" s="169">
        <f>'הנדסה '!H86</f>
        <v>2261196.9500000002</v>
      </c>
      <c r="I14" s="169">
        <f>'הנדסה '!I86</f>
        <v>688781.13</v>
      </c>
      <c r="J14" s="169">
        <f>'הנדסה '!J86</f>
        <v>4560</v>
      </c>
      <c r="K14" s="169">
        <f>'הנדסה '!K86</f>
        <v>693341.13</v>
      </c>
      <c r="L14" s="169">
        <f>'הנדסה '!L86</f>
        <v>2954538.08</v>
      </c>
      <c r="M14" s="169">
        <f>'הנדסה '!M86</f>
        <v>345461.91999999993</v>
      </c>
      <c r="N14" s="169">
        <f>'הנדסה '!N86</f>
        <v>700000</v>
      </c>
      <c r="O14" s="169">
        <f>'הנדסה '!O86</f>
        <v>300000</v>
      </c>
      <c r="P14" s="169">
        <f>'הנדסה '!P86</f>
        <v>345461.91999999993</v>
      </c>
      <c r="Q14" s="169">
        <f>'הנדסה '!Q86</f>
        <v>0</v>
      </c>
      <c r="R14" s="169">
        <f>'הנדסה '!R86</f>
        <v>0</v>
      </c>
      <c r="S14" s="169">
        <f>'הנדסה '!S86</f>
        <v>0</v>
      </c>
      <c r="T14" s="169">
        <f>'הנדסה '!T86</f>
        <v>0</v>
      </c>
      <c r="U14" s="169">
        <f>'הנדסה '!U86</f>
        <v>700000</v>
      </c>
      <c r="V14" s="169">
        <f>'הנדסה '!V86</f>
        <v>700000</v>
      </c>
      <c r="W14" s="169">
        <f>'הנדסה '!W86</f>
        <v>0</v>
      </c>
      <c r="X14" s="169">
        <f>'הנדסה '!X86</f>
        <v>0</v>
      </c>
      <c r="Y14" s="169">
        <f>'הנדסה '!Y86</f>
        <v>0</v>
      </c>
      <c r="Z14" s="169">
        <f>'הנדסה '!Z86</f>
        <v>0</v>
      </c>
      <c r="AA14" s="659">
        <f>'הנדסה '!AA86</f>
        <v>732000</v>
      </c>
      <c r="AB14" s="157"/>
      <c r="AC14" s="157"/>
      <c r="AD14" s="157"/>
      <c r="AE14" s="157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4"/>
      <c r="EJ14" s="174"/>
      <c r="EK14" s="174"/>
      <c r="EL14" s="174"/>
      <c r="EM14" s="174"/>
      <c r="EN14" s="174"/>
      <c r="EO14" s="174"/>
      <c r="EP14" s="174"/>
      <c r="EQ14" s="174"/>
      <c r="ER14" s="174"/>
      <c r="ES14" s="174"/>
      <c r="ET14" s="174"/>
      <c r="EU14" s="174"/>
      <c r="EV14" s="174"/>
      <c r="EW14" s="174"/>
      <c r="EX14" s="174"/>
      <c r="EY14" s="174"/>
      <c r="EZ14" s="174"/>
      <c r="FA14" s="174"/>
      <c r="FB14" s="174"/>
      <c r="FC14" s="174"/>
      <c r="FD14" s="174"/>
      <c r="FE14" s="174"/>
      <c r="FF14" s="174"/>
      <c r="FG14" s="174"/>
      <c r="FH14" s="174"/>
      <c r="FI14" s="174"/>
      <c r="FJ14" s="174"/>
      <c r="FK14" s="174"/>
      <c r="FL14" s="174"/>
      <c r="FM14" s="174"/>
      <c r="FN14" s="174"/>
      <c r="FO14" s="174"/>
      <c r="FP14" s="174"/>
      <c r="FQ14" s="174"/>
      <c r="FR14" s="174"/>
      <c r="FS14" s="174"/>
      <c r="FT14" s="174"/>
      <c r="FU14" s="174"/>
      <c r="FV14" s="174"/>
      <c r="FW14" s="174"/>
      <c r="FX14" s="174"/>
      <c r="FY14" s="174"/>
      <c r="FZ14" s="174"/>
      <c r="GA14" s="174"/>
      <c r="GB14" s="174"/>
      <c r="GC14" s="174"/>
      <c r="GD14" s="174"/>
      <c r="GE14" s="174"/>
      <c r="GF14" s="174"/>
      <c r="GG14" s="174"/>
      <c r="GH14" s="174"/>
      <c r="GI14" s="174"/>
      <c r="GJ14" s="174"/>
      <c r="GK14" s="174"/>
      <c r="GL14" s="174"/>
      <c r="GM14" s="174"/>
      <c r="GN14" s="174"/>
      <c r="GO14" s="174"/>
      <c r="GP14" s="174"/>
      <c r="GQ14" s="174"/>
      <c r="GR14" s="174"/>
      <c r="GS14" s="174"/>
      <c r="GT14" s="174"/>
      <c r="GU14" s="174"/>
      <c r="GV14" s="174"/>
      <c r="GW14" s="174"/>
      <c r="GX14" s="174"/>
      <c r="GY14" s="174"/>
      <c r="GZ14" s="174"/>
      <c r="HA14" s="174"/>
      <c r="HB14" s="174"/>
      <c r="HC14" s="174"/>
      <c r="HD14" s="174"/>
      <c r="HE14" s="174"/>
      <c r="HF14" s="174"/>
      <c r="HG14" s="174"/>
      <c r="HH14" s="174"/>
      <c r="HI14" s="174"/>
      <c r="HJ14" s="174"/>
      <c r="HK14" s="174"/>
      <c r="HL14" s="174"/>
      <c r="HM14" s="174"/>
      <c r="HN14" s="174"/>
      <c r="HO14" s="174"/>
      <c r="HP14" s="174"/>
      <c r="HQ14" s="174"/>
      <c r="HR14" s="174"/>
      <c r="HS14" s="174"/>
      <c r="HT14" s="174"/>
      <c r="HU14" s="174"/>
      <c r="HV14" s="174"/>
      <c r="HW14" s="174"/>
      <c r="HX14" s="174"/>
      <c r="HY14" s="174"/>
      <c r="HZ14" s="174"/>
      <c r="IA14" s="174"/>
      <c r="IB14" s="174"/>
      <c r="IC14" s="174"/>
      <c r="ID14" s="174"/>
      <c r="IE14" s="174"/>
      <c r="IF14" s="174"/>
      <c r="IG14" s="174"/>
      <c r="IH14" s="174"/>
      <c r="II14" s="174"/>
      <c r="IJ14" s="174"/>
      <c r="IK14" s="174"/>
      <c r="IL14" s="174"/>
      <c r="IM14" s="174"/>
      <c r="IN14" s="174"/>
      <c r="IO14" s="174"/>
      <c r="IP14" s="174"/>
      <c r="IQ14" s="174"/>
      <c r="IR14" s="174"/>
      <c r="IS14" s="174"/>
      <c r="IT14" s="174"/>
      <c r="IU14" s="174"/>
      <c r="IV14" s="174"/>
      <c r="IW14" s="174"/>
      <c r="IX14" s="174"/>
      <c r="IY14" s="174"/>
      <c r="IZ14" s="174"/>
      <c r="JA14" s="174"/>
      <c r="JB14" s="174"/>
      <c r="JC14" s="174"/>
      <c r="JD14" s="174"/>
      <c r="JE14" s="174"/>
      <c r="JF14" s="174"/>
      <c r="JG14" s="174"/>
      <c r="JH14" s="174"/>
      <c r="JI14" s="174"/>
      <c r="JJ14" s="174"/>
      <c r="JK14" s="174"/>
      <c r="JL14" s="174"/>
      <c r="JM14" s="174"/>
      <c r="JN14" s="174"/>
      <c r="JO14" s="174"/>
      <c r="JP14" s="174"/>
      <c r="JQ14" s="174"/>
      <c r="JR14" s="174"/>
      <c r="JS14" s="174"/>
      <c r="JT14" s="174"/>
      <c r="JU14" s="174"/>
      <c r="JV14" s="174"/>
      <c r="JW14" s="174"/>
      <c r="JX14" s="174"/>
      <c r="JY14" s="174"/>
      <c r="JZ14" s="174"/>
      <c r="KA14" s="174"/>
      <c r="KB14" s="174"/>
      <c r="KC14" s="174"/>
      <c r="KD14" s="174"/>
      <c r="KE14" s="174"/>
      <c r="KF14" s="174"/>
      <c r="KG14" s="174"/>
      <c r="KH14" s="174"/>
      <c r="KI14" s="174"/>
      <c r="KJ14" s="174"/>
      <c r="KK14" s="174"/>
      <c r="KL14" s="174"/>
      <c r="KM14" s="174"/>
      <c r="KN14" s="174"/>
      <c r="KO14" s="174"/>
      <c r="KP14" s="174"/>
      <c r="KQ14" s="174"/>
      <c r="KR14" s="174"/>
      <c r="KS14" s="174"/>
      <c r="KT14" s="174"/>
      <c r="KU14" s="174"/>
      <c r="KV14" s="174"/>
      <c r="KW14" s="174"/>
      <c r="KX14" s="174"/>
      <c r="KY14" s="174"/>
      <c r="KZ14" s="174"/>
      <c r="LA14" s="174"/>
      <c r="LB14" s="174"/>
      <c r="LC14" s="174"/>
      <c r="LD14" s="174"/>
      <c r="LE14" s="174"/>
      <c r="LF14" s="174"/>
      <c r="LG14" s="174"/>
      <c r="LH14" s="174"/>
      <c r="LI14" s="174"/>
      <c r="LJ14" s="174"/>
      <c r="LK14" s="174"/>
      <c r="LL14" s="174"/>
      <c r="LM14" s="174"/>
      <c r="LN14" s="174"/>
      <c r="LO14" s="174"/>
      <c r="LP14" s="174"/>
      <c r="LQ14" s="174"/>
      <c r="LR14" s="174"/>
      <c r="LS14" s="174"/>
      <c r="LT14" s="174"/>
      <c r="LU14" s="174"/>
      <c r="LV14" s="174"/>
      <c r="LW14" s="174"/>
      <c r="LX14" s="174"/>
      <c r="LY14" s="174"/>
      <c r="LZ14" s="174"/>
      <c r="MA14" s="174"/>
      <c r="MB14" s="174"/>
      <c r="MC14" s="174"/>
      <c r="MD14" s="174"/>
      <c r="ME14" s="174"/>
      <c r="MF14" s="174"/>
      <c r="MG14" s="174"/>
      <c r="MH14" s="174"/>
      <c r="MI14" s="174"/>
      <c r="MJ14" s="174"/>
      <c r="MK14" s="174"/>
      <c r="ML14" s="174"/>
      <c r="MM14" s="174"/>
      <c r="MN14" s="174"/>
      <c r="MO14" s="174"/>
      <c r="MP14" s="174"/>
      <c r="MQ14" s="174"/>
      <c r="MR14" s="174"/>
      <c r="MS14" s="174"/>
      <c r="MT14" s="174"/>
      <c r="MU14" s="174"/>
      <c r="MV14" s="174"/>
      <c r="MW14" s="174"/>
      <c r="MX14" s="174"/>
      <c r="MY14" s="174"/>
      <c r="MZ14" s="174"/>
      <c r="NA14" s="174"/>
      <c r="NB14" s="174"/>
      <c r="NC14" s="174"/>
      <c r="ND14" s="174"/>
      <c r="NE14" s="174"/>
      <c r="NF14" s="174"/>
      <c r="NG14" s="174"/>
      <c r="NH14" s="174"/>
      <c r="NI14" s="174"/>
      <c r="NJ14" s="174"/>
      <c r="NK14" s="174"/>
      <c r="NL14" s="174"/>
      <c r="NM14" s="174"/>
      <c r="NN14" s="174"/>
      <c r="NO14" s="174"/>
      <c r="NP14" s="174"/>
      <c r="NQ14" s="174"/>
      <c r="NR14" s="174"/>
      <c r="NS14" s="174"/>
      <c r="NT14" s="174"/>
      <c r="NU14" s="174"/>
      <c r="NV14" s="174"/>
      <c r="NW14" s="174"/>
      <c r="NX14" s="174"/>
      <c r="NY14" s="174"/>
      <c r="NZ14" s="174"/>
      <c r="OA14" s="174"/>
      <c r="OB14" s="174"/>
      <c r="OC14" s="174"/>
      <c r="OD14" s="174"/>
      <c r="OE14" s="174"/>
      <c r="OF14" s="174"/>
      <c r="OG14" s="174"/>
      <c r="OH14" s="174"/>
      <c r="OI14" s="174"/>
      <c r="OJ14" s="174"/>
      <c r="OK14" s="174"/>
      <c r="OL14" s="174"/>
      <c r="OM14" s="174"/>
      <c r="ON14" s="174"/>
      <c r="OO14" s="174"/>
      <c r="OP14" s="174"/>
      <c r="OQ14" s="174"/>
      <c r="OR14" s="174"/>
      <c r="OS14" s="174"/>
      <c r="OT14" s="174"/>
      <c r="OU14" s="174"/>
      <c r="OV14" s="174"/>
      <c r="OW14" s="174"/>
      <c r="OX14" s="174"/>
      <c r="OY14" s="174"/>
      <c r="OZ14" s="174"/>
      <c r="PA14" s="174"/>
      <c r="PB14" s="174"/>
      <c r="PC14" s="174"/>
      <c r="PD14" s="174"/>
      <c r="PE14" s="174"/>
      <c r="PF14" s="174"/>
      <c r="PG14" s="174"/>
      <c r="PH14" s="174"/>
      <c r="PI14" s="174"/>
      <c r="PJ14" s="174"/>
      <c r="PK14" s="174"/>
      <c r="PL14" s="174"/>
      <c r="PM14" s="174"/>
      <c r="PN14" s="174"/>
      <c r="PO14" s="174"/>
      <c r="PP14" s="174"/>
      <c r="PQ14" s="174"/>
      <c r="PR14" s="174"/>
      <c r="PS14" s="174"/>
      <c r="PT14" s="174"/>
      <c r="PU14" s="174"/>
      <c r="PV14" s="174"/>
      <c r="PW14" s="174"/>
      <c r="PX14" s="174"/>
      <c r="PY14" s="174"/>
      <c r="PZ14" s="174"/>
      <c r="QA14" s="174"/>
      <c r="QB14" s="174"/>
      <c r="QC14" s="174"/>
      <c r="QD14" s="174"/>
      <c r="QE14" s="174"/>
      <c r="QF14" s="174"/>
      <c r="QG14" s="174"/>
      <c r="QH14" s="174"/>
      <c r="QI14" s="174"/>
      <c r="QJ14" s="174"/>
      <c r="QK14" s="174"/>
      <c r="QL14" s="174"/>
      <c r="QM14" s="174"/>
      <c r="QN14" s="174"/>
      <c r="QO14" s="174"/>
      <c r="QP14" s="174"/>
      <c r="QQ14" s="174"/>
      <c r="QR14" s="174"/>
      <c r="QS14" s="174"/>
      <c r="QT14" s="174"/>
      <c r="QU14" s="174"/>
      <c r="QV14" s="174"/>
      <c r="QW14" s="174"/>
      <c r="QX14" s="174"/>
      <c r="QY14" s="174"/>
      <c r="QZ14" s="174"/>
      <c r="RA14" s="174"/>
      <c r="RB14" s="174"/>
      <c r="RC14" s="174"/>
      <c r="RD14" s="174"/>
      <c r="RE14" s="174"/>
      <c r="RF14" s="174"/>
      <c r="RG14" s="174"/>
      <c r="RH14" s="174"/>
      <c r="RI14" s="174"/>
      <c r="RJ14" s="174"/>
      <c r="RK14" s="174"/>
      <c r="RL14" s="174"/>
      <c r="RM14" s="174"/>
      <c r="RN14" s="174"/>
      <c r="RO14" s="174"/>
      <c r="RP14" s="174"/>
      <c r="RQ14" s="174"/>
      <c r="RR14" s="174"/>
      <c r="RS14" s="174"/>
      <c r="RT14" s="174"/>
      <c r="RU14" s="174"/>
      <c r="RV14" s="174"/>
      <c r="RW14" s="174"/>
      <c r="RX14" s="174"/>
      <c r="RY14" s="174"/>
      <c r="RZ14" s="174"/>
      <c r="SA14" s="174"/>
      <c r="SB14" s="174"/>
      <c r="SC14" s="174"/>
      <c r="SD14" s="174"/>
      <c r="SE14" s="174"/>
      <c r="SF14" s="174"/>
      <c r="SG14" s="174"/>
      <c r="SH14" s="174"/>
      <c r="SI14" s="174"/>
      <c r="SJ14" s="174"/>
      <c r="SK14" s="174"/>
      <c r="SL14" s="174"/>
      <c r="SM14" s="174"/>
      <c r="SN14" s="174"/>
      <c r="SO14" s="174"/>
      <c r="SP14" s="174"/>
      <c r="SQ14" s="174"/>
      <c r="SR14" s="174"/>
      <c r="SS14" s="174"/>
      <c r="ST14" s="174"/>
      <c r="SU14" s="174"/>
      <c r="SV14" s="174"/>
      <c r="SW14" s="174"/>
      <c r="SX14" s="174"/>
      <c r="SY14" s="174"/>
      <c r="SZ14" s="174"/>
      <c r="TA14" s="174"/>
      <c r="TB14" s="174"/>
      <c r="TC14" s="174"/>
      <c r="TD14" s="174"/>
      <c r="TE14" s="174"/>
      <c r="TF14" s="174"/>
      <c r="TG14" s="174"/>
      <c r="TH14" s="174"/>
      <c r="TI14" s="174"/>
      <c r="TJ14" s="174"/>
      <c r="TK14" s="174"/>
      <c r="TL14" s="174"/>
      <c r="TM14" s="174"/>
      <c r="TN14" s="174"/>
      <c r="TO14" s="174"/>
      <c r="TP14" s="174"/>
      <c r="TQ14" s="174"/>
      <c r="TR14" s="174"/>
      <c r="TS14" s="174"/>
      <c r="TT14" s="174"/>
      <c r="TU14" s="174"/>
      <c r="TV14" s="174"/>
      <c r="TW14" s="174"/>
      <c r="TX14" s="174"/>
      <c r="TY14" s="174"/>
      <c r="TZ14" s="174"/>
      <c r="UA14" s="174"/>
      <c r="UB14" s="174"/>
      <c r="UC14" s="174"/>
      <c r="UD14" s="174"/>
      <c r="UE14" s="174"/>
      <c r="UF14" s="174"/>
      <c r="UG14" s="174"/>
      <c r="UH14" s="174"/>
      <c r="UI14" s="174"/>
      <c r="UJ14" s="174"/>
      <c r="UK14" s="174"/>
      <c r="UL14" s="174"/>
      <c r="UM14" s="174"/>
      <c r="UN14" s="174"/>
      <c r="UO14" s="174"/>
      <c r="UP14" s="174"/>
      <c r="UQ14" s="174"/>
      <c r="UR14" s="174"/>
      <c r="US14" s="174"/>
      <c r="UT14" s="174"/>
      <c r="UU14" s="174"/>
      <c r="UV14" s="174"/>
      <c r="UW14" s="174"/>
      <c r="UX14" s="174"/>
      <c r="UY14" s="174"/>
      <c r="UZ14" s="174"/>
      <c r="VA14" s="174"/>
      <c r="VB14" s="174"/>
      <c r="VC14" s="174"/>
      <c r="VD14" s="174"/>
      <c r="VE14" s="174"/>
      <c r="VF14" s="174"/>
      <c r="VG14" s="174"/>
      <c r="VH14" s="174"/>
      <c r="VI14" s="174"/>
      <c r="VJ14" s="174"/>
      <c r="VK14" s="174"/>
      <c r="VL14" s="174"/>
      <c r="VM14" s="174"/>
      <c r="VN14" s="174"/>
      <c r="VO14" s="174"/>
      <c r="VP14" s="174"/>
      <c r="VQ14" s="174"/>
      <c r="VR14" s="174"/>
      <c r="VS14" s="174"/>
      <c r="VT14" s="174"/>
      <c r="VU14" s="174"/>
      <c r="VV14" s="174"/>
      <c r="VW14" s="174"/>
      <c r="VX14" s="174"/>
      <c r="VY14" s="174"/>
      <c r="VZ14" s="174"/>
      <c r="WA14" s="174"/>
      <c r="WB14" s="174"/>
      <c r="WC14" s="174"/>
      <c r="WD14" s="174"/>
      <c r="WE14" s="174"/>
      <c r="WF14" s="174"/>
      <c r="WG14" s="174"/>
      <c r="WH14" s="174"/>
      <c r="WI14" s="174"/>
      <c r="WJ14" s="174"/>
      <c r="WK14" s="174"/>
      <c r="WL14" s="174"/>
      <c r="WM14" s="174"/>
      <c r="WN14" s="174"/>
      <c r="WO14" s="174"/>
      <c r="WP14" s="174"/>
      <c r="WQ14" s="174"/>
      <c r="WR14" s="174"/>
      <c r="WS14" s="174"/>
      <c r="WT14" s="174"/>
      <c r="WU14" s="174"/>
      <c r="WV14" s="174"/>
      <c r="WW14" s="174"/>
      <c r="WX14" s="174"/>
      <c r="WY14" s="174"/>
      <c r="WZ14" s="174"/>
      <c r="XA14" s="174"/>
      <c r="XB14" s="174"/>
      <c r="XC14" s="174"/>
      <c r="XD14" s="174"/>
      <c r="XE14" s="174"/>
      <c r="XF14" s="174"/>
      <c r="XG14" s="174"/>
      <c r="XH14" s="174"/>
      <c r="XI14" s="174"/>
      <c r="XJ14" s="174"/>
      <c r="XK14" s="174"/>
      <c r="XL14" s="174"/>
      <c r="XM14" s="174"/>
      <c r="XN14" s="174"/>
      <c r="XO14" s="174"/>
      <c r="XP14" s="174"/>
      <c r="XQ14" s="174"/>
      <c r="XR14" s="174"/>
      <c r="XS14" s="174"/>
      <c r="XT14" s="174"/>
      <c r="XU14" s="174"/>
      <c r="XV14" s="174"/>
      <c r="XW14" s="174"/>
      <c r="XX14" s="174"/>
      <c r="XY14" s="174"/>
      <c r="XZ14" s="174"/>
      <c r="YA14" s="174"/>
      <c r="YB14" s="174"/>
      <c r="YC14" s="174"/>
      <c r="YD14" s="174"/>
      <c r="YE14" s="174"/>
      <c r="YF14" s="174"/>
      <c r="YG14" s="174"/>
      <c r="YH14" s="174"/>
      <c r="YI14" s="174"/>
      <c r="YJ14" s="174"/>
      <c r="YK14" s="174"/>
      <c r="YL14" s="174"/>
      <c r="YM14" s="174"/>
      <c r="YN14" s="174"/>
      <c r="YO14" s="174"/>
      <c r="YP14" s="174"/>
      <c r="YQ14" s="174"/>
      <c r="YR14" s="174"/>
      <c r="YS14" s="174"/>
      <c r="YT14" s="174"/>
      <c r="YU14" s="174"/>
      <c r="YV14" s="174"/>
      <c r="YW14" s="174"/>
      <c r="YX14" s="174"/>
      <c r="YY14" s="174"/>
      <c r="YZ14" s="174"/>
      <c r="ZA14" s="174"/>
      <c r="ZB14" s="174"/>
      <c r="ZC14" s="174"/>
      <c r="ZD14" s="174"/>
      <c r="ZE14" s="174"/>
      <c r="ZF14" s="174"/>
      <c r="ZG14" s="174"/>
      <c r="ZH14" s="174"/>
      <c r="ZI14" s="174"/>
      <c r="ZJ14" s="174"/>
      <c r="ZK14" s="174"/>
      <c r="ZL14" s="174"/>
      <c r="ZM14" s="174"/>
      <c r="ZN14" s="174"/>
      <c r="ZO14" s="174"/>
      <c r="ZP14" s="174"/>
      <c r="ZQ14" s="174"/>
      <c r="ZR14" s="174"/>
      <c r="ZS14" s="174"/>
      <c r="ZT14" s="174"/>
      <c r="ZU14" s="174"/>
      <c r="ZV14" s="174"/>
      <c r="ZW14" s="174"/>
      <c r="ZX14" s="174"/>
      <c r="ZY14" s="174"/>
      <c r="ZZ14" s="174"/>
      <c r="AAA14" s="174"/>
      <c r="AAB14" s="174"/>
      <c r="AAC14" s="174"/>
      <c r="AAD14" s="174"/>
      <c r="AAE14" s="174"/>
      <c r="AAF14" s="174"/>
      <c r="AAG14" s="174"/>
      <c r="AAH14" s="174"/>
      <c r="AAI14" s="174"/>
      <c r="AAJ14" s="174"/>
      <c r="AAK14" s="174"/>
      <c r="AAL14" s="174"/>
      <c r="AAM14" s="174"/>
      <c r="AAN14" s="174"/>
      <c r="AAO14" s="174"/>
      <c r="AAP14" s="174"/>
      <c r="AAQ14" s="174"/>
      <c r="AAR14" s="174"/>
      <c r="AAS14" s="174"/>
      <c r="AAT14" s="174"/>
      <c r="AAU14" s="174"/>
      <c r="AAV14" s="174"/>
      <c r="AAW14" s="174"/>
      <c r="AAX14" s="174"/>
      <c r="AAY14" s="174"/>
      <c r="AAZ14" s="174"/>
      <c r="ABA14" s="174"/>
      <c r="ABB14" s="174"/>
      <c r="ABC14" s="174"/>
      <c r="ABD14" s="174"/>
      <c r="ABE14" s="174"/>
      <c r="ABF14" s="174"/>
      <c r="ABG14" s="174"/>
      <c r="ABH14" s="174"/>
      <c r="ABI14" s="174"/>
      <c r="ABJ14" s="174"/>
      <c r="ABK14" s="174"/>
      <c r="ABL14" s="174"/>
      <c r="ABM14" s="174"/>
      <c r="ABN14" s="174"/>
      <c r="ABO14" s="174"/>
      <c r="ABP14" s="174"/>
      <c r="ABQ14" s="174"/>
      <c r="ABR14" s="174"/>
      <c r="ABS14" s="174"/>
      <c r="ABT14" s="174"/>
      <c r="ABU14" s="174"/>
      <c r="ABV14" s="174"/>
      <c r="ABW14" s="174"/>
      <c r="ABX14" s="174"/>
      <c r="ABY14" s="174"/>
      <c r="ABZ14" s="174"/>
      <c r="ACA14" s="174"/>
      <c r="ACB14" s="174"/>
      <c r="ACC14" s="174"/>
      <c r="ACD14" s="174"/>
      <c r="ACE14" s="174"/>
      <c r="ACF14" s="174"/>
      <c r="ACG14" s="174"/>
      <c r="ACH14" s="174"/>
      <c r="ACI14" s="174"/>
      <c r="ACJ14" s="174"/>
      <c r="ACK14" s="174"/>
      <c r="ACL14" s="174"/>
      <c r="ACM14" s="174"/>
      <c r="ACN14" s="174"/>
      <c r="ACO14" s="174"/>
      <c r="ACP14" s="174"/>
      <c r="ACQ14" s="174"/>
      <c r="ACR14" s="174"/>
      <c r="ACS14" s="174"/>
      <c r="ACT14" s="174"/>
      <c r="ACU14" s="174"/>
      <c r="ACV14" s="174"/>
      <c r="ACW14" s="174"/>
      <c r="ACX14" s="174"/>
      <c r="ACY14" s="174"/>
      <c r="ACZ14" s="174"/>
      <c r="ADA14" s="174"/>
      <c r="ADB14" s="174"/>
      <c r="ADC14" s="174"/>
      <c r="ADD14" s="174"/>
      <c r="ADE14" s="174"/>
      <c r="ADF14" s="174"/>
      <c r="ADG14" s="174"/>
      <c r="ADH14" s="174"/>
      <c r="ADI14" s="174"/>
      <c r="ADJ14" s="174"/>
      <c r="ADK14" s="174"/>
      <c r="ADL14" s="174"/>
      <c r="ADM14" s="174"/>
      <c r="ADN14" s="174"/>
      <c r="ADO14" s="174"/>
      <c r="ADP14" s="174"/>
      <c r="ADQ14" s="174"/>
      <c r="ADR14" s="174"/>
      <c r="ADS14" s="174"/>
      <c r="ADT14" s="174"/>
      <c r="ADU14" s="174"/>
      <c r="ADV14" s="174"/>
      <c r="ADW14" s="174"/>
      <c r="ADX14" s="174"/>
      <c r="ADY14" s="174"/>
      <c r="ADZ14" s="174"/>
      <c r="AEA14" s="174"/>
      <c r="AEB14" s="174"/>
      <c r="AEC14" s="174"/>
      <c r="AED14" s="174"/>
      <c r="AEE14" s="174"/>
      <c r="AEF14" s="174"/>
      <c r="AEG14" s="174"/>
      <c r="AEH14" s="174"/>
      <c r="AEI14" s="174"/>
      <c r="AEJ14" s="174"/>
      <c r="AEK14" s="174"/>
      <c r="AEL14" s="174"/>
      <c r="AEM14" s="174"/>
      <c r="AEN14" s="174"/>
      <c r="AEO14" s="174"/>
      <c r="AEP14" s="174"/>
      <c r="AEQ14" s="174"/>
      <c r="AER14" s="174"/>
      <c r="AES14" s="174"/>
      <c r="AET14" s="174"/>
      <c r="AEU14" s="174"/>
      <c r="AEV14" s="174"/>
      <c r="AEW14" s="174"/>
      <c r="AEX14" s="174"/>
      <c r="AEY14" s="174"/>
      <c r="AEZ14" s="174"/>
      <c r="AFA14" s="174"/>
      <c r="AFB14" s="174"/>
      <c r="AFC14" s="174"/>
      <c r="AFD14" s="174"/>
      <c r="AFE14" s="174"/>
      <c r="AFF14" s="174"/>
      <c r="AFG14" s="174"/>
      <c r="AFH14" s="174"/>
      <c r="AFI14" s="174"/>
      <c r="AFJ14" s="174"/>
      <c r="AFK14" s="174"/>
      <c r="AFL14" s="174"/>
      <c r="AFM14" s="174"/>
      <c r="AFN14" s="174"/>
      <c r="AFO14" s="174"/>
      <c r="AFP14" s="174"/>
      <c r="AFQ14" s="174"/>
      <c r="AFR14" s="174"/>
      <c r="AFS14" s="174"/>
      <c r="AFT14" s="174"/>
      <c r="AFU14" s="174"/>
      <c r="AFV14" s="174"/>
      <c r="AFW14" s="174"/>
      <c r="AFX14" s="174"/>
      <c r="AFY14" s="174"/>
      <c r="AFZ14" s="174"/>
      <c r="AGA14" s="174"/>
      <c r="AGB14" s="174"/>
      <c r="AGC14" s="174"/>
      <c r="AGD14" s="174"/>
      <c r="AGE14" s="174"/>
      <c r="AGF14" s="174"/>
      <c r="AGG14" s="174"/>
      <c r="AGH14" s="174"/>
      <c r="AGI14" s="174"/>
      <c r="AGJ14" s="174"/>
      <c r="AGK14" s="174"/>
      <c r="AGL14" s="174"/>
      <c r="AGM14" s="174"/>
      <c r="AGN14" s="174"/>
      <c r="AGO14" s="174"/>
      <c r="AGP14" s="174"/>
      <c r="AGQ14" s="174"/>
      <c r="AGR14" s="174"/>
      <c r="AGS14" s="174"/>
      <c r="AGT14" s="174"/>
      <c r="AGU14" s="174"/>
      <c r="AGV14" s="174"/>
      <c r="AGW14" s="174"/>
      <c r="AGX14" s="174"/>
      <c r="AGY14" s="174"/>
      <c r="AGZ14" s="174"/>
      <c r="AHA14" s="174"/>
      <c r="AHB14" s="174"/>
      <c r="AHC14" s="174"/>
      <c r="AHD14" s="174"/>
      <c r="AHE14" s="174"/>
      <c r="AHF14" s="174"/>
      <c r="AHG14" s="174"/>
      <c r="AHH14" s="174"/>
      <c r="AHI14" s="174"/>
      <c r="AHJ14" s="174"/>
      <c r="AHK14" s="174"/>
      <c r="AHL14" s="174"/>
      <c r="AHM14" s="174"/>
      <c r="AHN14" s="174"/>
      <c r="AHO14" s="174"/>
      <c r="AHP14" s="174"/>
      <c r="AHQ14" s="174"/>
      <c r="AHR14" s="174"/>
      <c r="AHS14" s="174"/>
      <c r="AHT14" s="174"/>
      <c r="AHU14" s="174"/>
      <c r="AHV14" s="174"/>
      <c r="AHW14" s="174"/>
      <c r="AHX14" s="174"/>
      <c r="AHY14" s="174"/>
      <c r="AHZ14" s="174"/>
      <c r="AIA14" s="174"/>
      <c r="AIB14" s="174"/>
      <c r="AIC14" s="174"/>
      <c r="AID14" s="174"/>
      <c r="AIE14" s="174"/>
      <c r="AIF14" s="174"/>
      <c r="AIG14" s="174"/>
      <c r="AIH14" s="174"/>
      <c r="AII14" s="174"/>
      <c r="AIJ14" s="174"/>
      <c r="AIK14" s="174"/>
      <c r="AIL14" s="174"/>
      <c r="AIM14" s="174"/>
      <c r="AIN14" s="174"/>
      <c r="AIO14" s="174"/>
      <c r="AIP14" s="174"/>
      <c r="AIQ14" s="174"/>
      <c r="AIR14" s="174"/>
      <c r="AIS14" s="174"/>
      <c r="AIT14" s="174"/>
      <c r="AIU14" s="174"/>
      <c r="AIV14" s="174"/>
      <c r="AIW14" s="174"/>
      <c r="AIX14" s="174"/>
      <c r="AIY14" s="174"/>
      <c r="AIZ14" s="174"/>
      <c r="AJA14" s="174"/>
      <c r="AJB14" s="174"/>
      <c r="AJC14" s="174"/>
      <c r="AJD14" s="174"/>
      <c r="AJE14" s="174"/>
      <c r="AJF14" s="174"/>
      <c r="AJG14" s="174"/>
      <c r="AJH14" s="174"/>
      <c r="AJI14" s="174"/>
      <c r="AJJ14" s="174"/>
      <c r="AJK14" s="174"/>
      <c r="AJL14" s="174"/>
      <c r="AJM14" s="174"/>
      <c r="AJN14" s="174"/>
      <c r="AJO14" s="174"/>
      <c r="AJP14" s="174"/>
      <c r="AJQ14" s="174"/>
      <c r="AJR14" s="174"/>
      <c r="AJS14" s="174"/>
      <c r="AJT14" s="174"/>
      <c r="AJU14" s="174"/>
      <c r="AJV14" s="174"/>
      <c r="AJW14" s="174"/>
      <c r="AJX14" s="174"/>
      <c r="AJY14" s="174"/>
      <c r="AJZ14" s="174"/>
      <c r="AKA14" s="174"/>
      <c r="AKB14" s="174"/>
      <c r="AKC14" s="174"/>
      <c r="AKD14" s="174"/>
      <c r="AKE14" s="174"/>
      <c r="AKF14" s="174"/>
      <c r="AKG14" s="174"/>
      <c r="AKH14" s="174"/>
      <c r="AKI14" s="174"/>
      <c r="AKJ14" s="174"/>
      <c r="AKK14" s="174"/>
      <c r="AKL14" s="174"/>
      <c r="AKM14" s="174"/>
      <c r="AKN14" s="174"/>
      <c r="AKO14" s="174"/>
      <c r="AKP14" s="174"/>
      <c r="AKQ14" s="174"/>
      <c r="AKR14" s="174"/>
      <c r="AKS14" s="174"/>
      <c r="AKT14" s="174"/>
      <c r="AKU14" s="174"/>
      <c r="AKV14" s="174"/>
      <c r="AKW14" s="174"/>
      <c r="AKX14" s="174"/>
      <c r="AKY14" s="174"/>
      <c r="AKZ14" s="174"/>
      <c r="ALA14" s="174"/>
      <c r="ALB14" s="174"/>
      <c r="ALC14" s="174"/>
      <c r="ALD14" s="174"/>
      <c r="ALE14" s="174"/>
      <c r="ALF14" s="174"/>
      <c r="ALG14" s="174"/>
      <c r="ALH14" s="174"/>
      <c r="ALI14" s="174"/>
      <c r="ALJ14" s="174"/>
      <c r="ALK14" s="174"/>
      <c r="ALL14" s="174"/>
      <c r="ALM14" s="174"/>
      <c r="ALN14" s="174"/>
      <c r="ALO14" s="174"/>
      <c r="ALP14" s="174"/>
      <c r="ALQ14" s="174"/>
      <c r="ALR14" s="174"/>
      <c r="ALS14" s="174"/>
      <c r="ALT14" s="174"/>
      <c r="ALU14" s="174"/>
      <c r="ALV14" s="174"/>
      <c r="ALW14" s="174"/>
      <c r="ALX14" s="174"/>
      <c r="ALY14" s="174"/>
      <c r="ALZ14" s="174"/>
      <c r="AMA14" s="174"/>
      <c r="AMB14" s="174"/>
      <c r="AMC14" s="174"/>
      <c r="AMD14" s="174"/>
      <c r="AME14" s="158"/>
    </row>
    <row r="15" spans="1:1019" s="172" customFormat="1">
      <c r="A15" s="168">
        <f t="shared" si="0"/>
        <v>10</v>
      </c>
      <c r="B15" s="175">
        <v>1464</v>
      </c>
      <c r="C15" s="168" t="s">
        <v>20</v>
      </c>
      <c r="D15" s="169">
        <f>'הנדסה '!D65</f>
        <v>200000</v>
      </c>
      <c r="E15" s="169">
        <f>'הנדסה '!E65</f>
        <v>200000</v>
      </c>
      <c r="F15" s="169">
        <f>'הנדסה '!F65</f>
        <v>0</v>
      </c>
      <c r="G15" s="169">
        <f>'הנדסה '!G65</f>
        <v>20000</v>
      </c>
      <c r="H15" s="169">
        <f>'הנדסה '!H65</f>
        <v>17198.810000000001</v>
      </c>
      <c r="I15" s="169">
        <f>'הנדסה '!I65</f>
        <v>1445.98</v>
      </c>
      <c r="J15" s="169">
        <f>'הנדסה '!J65</f>
        <v>0</v>
      </c>
      <c r="K15" s="169">
        <f>'הנדסה '!K65</f>
        <v>1445.98</v>
      </c>
      <c r="L15" s="169">
        <f>'הנדסה '!L65</f>
        <v>18644.79</v>
      </c>
      <c r="M15" s="169">
        <f>'הנדסה '!M65</f>
        <v>1355.2099999999991</v>
      </c>
      <c r="N15" s="169">
        <f>'הנדסה '!N65</f>
        <v>180000</v>
      </c>
      <c r="O15" s="169">
        <f>'הנדסה '!O65</f>
        <v>0</v>
      </c>
      <c r="P15" s="169">
        <f>'הנדסה '!P65</f>
        <v>1355.2099999999991</v>
      </c>
      <c r="Q15" s="169">
        <f>'הנדסה '!Q65</f>
        <v>0</v>
      </c>
      <c r="R15" s="169">
        <f>'הנדסה '!R65</f>
        <v>0</v>
      </c>
      <c r="S15" s="169">
        <f>'הנדסה '!S65</f>
        <v>0</v>
      </c>
      <c r="T15" s="169">
        <f>'הנדסה '!T65</f>
        <v>0</v>
      </c>
      <c r="U15" s="169">
        <f>'הנדסה '!U65</f>
        <v>180000</v>
      </c>
      <c r="V15" s="169">
        <f>'הנדסה '!V65</f>
        <v>180000</v>
      </c>
      <c r="W15" s="169">
        <f>'הנדסה '!W65</f>
        <v>0</v>
      </c>
      <c r="X15" s="169">
        <f>'הנדסה '!X65</f>
        <v>0</v>
      </c>
      <c r="Y15" s="169">
        <f>'הנדסה '!Y65</f>
        <v>0</v>
      </c>
      <c r="Z15" s="169">
        <f>'הנדסה '!Z65</f>
        <v>0</v>
      </c>
      <c r="AA15" s="659">
        <f>'הנדסה '!AA65</f>
        <v>732000</v>
      </c>
      <c r="AB15" s="157"/>
      <c r="AC15" s="157"/>
      <c r="AD15" s="157"/>
      <c r="AE15" s="157"/>
      <c r="AME15" s="158"/>
    </row>
    <row r="16" spans="1:1019" s="174" customFormat="1" ht="15" customHeight="1">
      <c r="A16" s="168">
        <f t="shared" si="0"/>
        <v>11</v>
      </c>
      <c r="B16" s="175">
        <v>1466</v>
      </c>
      <c r="C16" s="168" t="s">
        <v>21</v>
      </c>
      <c r="D16" s="169">
        <f>'הנדסה '!D87</f>
        <v>2200000</v>
      </c>
      <c r="E16" s="169">
        <f>'הנדסה '!E87</f>
        <v>1800000</v>
      </c>
      <c r="F16" s="169">
        <f>'הנדסה '!F87</f>
        <v>400000</v>
      </c>
      <c r="G16" s="169">
        <f>'הנדסה '!G87</f>
        <v>1300000</v>
      </c>
      <c r="H16" s="169">
        <f>'הנדסה '!H87</f>
        <v>983288.89</v>
      </c>
      <c r="I16" s="169">
        <f>'הנדסה '!I87</f>
        <v>0</v>
      </c>
      <c r="J16" s="169">
        <f>'הנדסה '!J87</f>
        <v>94723.68</v>
      </c>
      <c r="K16" s="169">
        <f>'הנדסה '!K87</f>
        <v>94723.68</v>
      </c>
      <c r="L16" s="169">
        <f>'הנדסה '!L87</f>
        <v>1078012.57</v>
      </c>
      <c r="M16" s="169">
        <f>'הנדסה '!M87</f>
        <v>221987.42999999993</v>
      </c>
      <c r="N16" s="169">
        <f>'הנדסה '!N87</f>
        <v>400000</v>
      </c>
      <c r="O16" s="169">
        <f>'הנדסה '!O87</f>
        <v>500000</v>
      </c>
      <c r="P16" s="169">
        <f>'הנדסה '!P87</f>
        <v>221987.42999999993</v>
      </c>
      <c r="Q16" s="169">
        <f>'הנדסה '!Q87</f>
        <v>0</v>
      </c>
      <c r="R16" s="169">
        <f>'הנדסה '!R87</f>
        <v>0</v>
      </c>
      <c r="S16" s="169">
        <f>'הנדסה '!S87</f>
        <v>0</v>
      </c>
      <c r="T16" s="169">
        <f>'הנדסה '!T87</f>
        <v>0</v>
      </c>
      <c r="U16" s="169">
        <f>'הנדסה '!U87</f>
        <v>400000</v>
      </c>
      <c r="V16" s="169">
        <f>'הנדסה '!V87</f>
        <v>400000</v>
      </c>
      <c r="W16" s="169">
        <f>'הנדסה '!W87</f>
        <v>0</v>
      </c>
      <c r="X16" s="169">
        <f>'הנדסה '!X87</f>
        <v>0</v>
      </c>
      <c r="Y16" s="169">
        <f>'הנדסה '!Y87</f>
        <v>0</v>
      </c>
      <c r="Z16" s="169">
        <f>'הנדסה '!Z87</f>
        <v>0</v>
      </c>
      <c r="AA16" s="659">
        <f>'הנדסה '!AA87</f>
        <v>732000</v>
      </c>
      <c r="AB16" s="157"/>
      <c r="AC16" s="157"/>
      <c r="AD16" s="157"/>
      <c r="AE16" s="157"/>
      <c r="AF16" s="172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58"/>
    </row>
    <row r="17" spans="1:1019" s="172" customFormat="1" ht="15" customHeight="1">
      <c r="A17" s="168">
        <f t="shared" si="0"/>
        <v>12</v>
      </c>
      <c r="B17" s="175">
        <v>1527</v>
      </c>
      <c r="C17" s="168" t="s">
        <v>401</v>
      </c>
      <c r="D17" s="169">
        <f>'הנדסה '!D88</f>
        <v>3000000</v>
      </c>
      <c r="E17" s="169">
        <f>'הנדסה '!E88</f>
        <v>3000000</v>
      </c>
      <c r="F17" s="169">
        <f>'הנדסה '!F88</f>
        <v>0</v>
      </c>
      <c r="G17" s="169">
        <f>'הנדסה '!G88</f>
        <v>2000000</v>
      </c>
      <c r="H17" s="169">
        <f>'הנדסה '!H88</f>
        <v>815200.42</v>
      </c>
      <c r="I17" s="169">
        <f>'הנדסה '!I88</f>
        <v>0</v>
      </c>
      <c r="J17" s="169">
        <f>'הנדסה '!J88</f>
        <v>0</v>
      </c>
      <c r="K17" s="169">
        <f>'הנדסה '!K88</f>
        <v>0</v>
      </c>
      <c r="L17" s="169">
        <f>'הנדסה '!L88</f>
        <v>815200.42</v>
      </c>
      <c r="M17" s="169">
        <f>'הנדסה '!M88</f>
        <v>184799.58000000007</v>
      </c>
      <c r="N17" s="169">
        <f>'הנדסה '!N88</f>
        <v>500000</v>
      </c>
      <c r="O17" s="169">
        <f>'הנדסה '!O88</f>
        <v>1500000</v>
      </c>
      <c r="P17" s="169">
        <f>'הנדסה '!P88</f>
        <v>1184799.58</v>
      </c>
      <c r="Q17" s="169">
        <f>'הנדסה '!Q88</f>
        <v>0</v>
      </c>
      <c r="R17" s="169">
        <f>'הנדסה '!R88</f>
        <v>0</v>
      </c>
      <c r="S17" s="169">
        <f>'הנדסה '!S88</f>
        <v>0</v>
      </c>
      <c r="T17" s="169">
        <f>'הנדסה '!T88</f>
        <v>1000000</v>
      </c>
      <c r="U17" s="169">
        <f>'הנדסה '!U88</f>
        <v>-500000</v>
      </c>
      <c r="V17" s="169">
        <f>'הנדסה '!V88</f>
        <v>-500000</v>
      </c>
      <c r="W17" s="169">
        <f>'הנדסה '!W88</f>
        <v>0</v>
      </c>
      <c r="X17" s="169">
        <f>'הנדסה '!X88</f>
        <v>0</v>
      </c>
      <c r="Y17" s="169">
        <f>'הנדסה '!Y88</f>
        <v>0</v>
      </c>
      <c r="Z17" s="169">
        <f>'הנדסה '!Z88</f>
        <v>0</v>
      </c>
      <c r="AA17" s="659">
        <f>'הנדסה '!AA88</f>
        <v>732000</v>
      </c>
      <c r="AB17" s="157"/>
      <c r="AC17" s="157"/>
      <c r="AD17" s="157"/>
      <c r="AE17" s="157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58"/>
    </row>
    <row r="18" spans="1:1019" ht="15" customHeight="1">
      <c r="A18" s="168">
        <f t="shared" si="0"/>
        <v>13</v>
      </c>
      <c r="B18" s="175">
        <v>1551</v>
      </c>
      <c r="C18" s="168" t="s">
        <v>214</v>
      </c>
      <c r="D18" s="169">
        <f>'הנדסה '!D66</f>
        <v>225240</v>
      </c>
      <c r="E18" s="169">
        <f>'הנדסה '!E66</f>
        <v>6000000</v>
      </c>
      <c r="F18" s="169">
        <f>'הנדסה '!F66</f>
        <v>-5774760</v>
      </c>
      <c r="G18" s="169">
        <f>'הנדסה '!G66</f>
        <v>489240</v>
      </c>
      <c r="H18" s="169">
        <f>'הנדסה '!H66</f>
        <v>204671</v>
      </c>
      <c r="I18" s="169">
        <f>'הנדסה '!I66</f>
        <v>0</v>
      </c>
      <c r="J18" s="169">
        <f>'הנדסה '!J66</f>
        <v>19855</v>
      </c>
      <c r="K18" s="169">
        <f>'הנדסה '!K66</f>
        <v>19855</v>
      </c>
      <c r="L18" s="169">
        <f>'הנדסה '!L66</f>
        <v>224526</v>
      </c>
      <c r="M18" s="169">
        <f>'הנדסה '!M66</f>
        <v>714</v>
      </c>
      <c r="N18" s="169">
        <f>'הנדסה '!N66</f>
        <v>0</v>
      </c>
      <c r="O18" s="169">
        <f>'הנדסה '!O66</f>
        <v>0</v>
      </c>
      <c r="P18" s="169">
        <f>'הנדסה '!P66</f>
        <v>264714</v>
      </c>
      <c r="Q18" s="169">
        <f>'הנדסה '!Q66</f>
        <v>0</v>
      </c>
      <c r="R18" s="169">
        <f>'הנדסה '!R66</f>
        <v>0</v>
      </c>
      <c r="S18" s="169">
        <f>'הנדסה '!S66</f>
        <v>0</v>
      </c>
      <c r="T18" s="169">
        <f>'הנדסה '!T66</f>
        <v>264000</v>
      </c>
      <c r="U18" s="169">
        <f>'הנדסה '!U66</f>
        <v>-264000</v>
      </c>
      <c r="V18" s="169">
        <f>'הנדסה '!V66</f>
        <v>-264000</v>
      </c>
      <c r="W18" s="169">
        <f>'הנדסה '!W66</f>
        <v>0</v>
      </c>
      <c r="X18" s="169">
        <f>'הנדסה '!X66</f>
        <v>0</v>
      </c>
      <c r="Y18" s="169">
        <f>'הנדסה '!Y66</f>
        <v>0</v>
      </c>
      <c r="Z18" s="169">
        <f>'הנדסה '!Z66</f>
        <v>0</v>
      </c>
      <c r="AA18" s="659">
        <f>'הנדסה '!AA66</f>
        <v>732000</v>
      </c>
      <c r="AB18" s="157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/>
      <c r="EI18" s="172"/>
      <c r="EJ18" s="172"/>
      <c r="EK18" s="172"/>
      <c r="EL18" s="172"/>
      <c r="EM18" s="172"/>
      <c r="EN18" s="172"/>
      <c r="EO18" s="172"/>
      <c r="EP18" s="172"/>
      <c r="EQ18" s="172"/>
      <c r="ER18" s="172"/>
      <c r="ES18" s="172"/>
      <c r="ET18" s="172"/>
      <c r="EU18" s="172"/>
      <c r="EV18" s="172"/>
      <c r="EW18" s="172"/>
      <c r="EX18" s="172"/>
      <c r="EY18" s="172"/>
      <c r="EZ18" s="172"/>
      <c r="FA18" s="172"/>
      <c r="FB18" s="172"/>
      <c r="FC18" s="172"/>
      <c r="FD18" s="172"/>
      <c r="FE18" s="172"/>
      <c r="FF18" s="172"/>
      <c r="FG18" s="172"/>
      <c r="FH18" s="172"/>
      <c r="FI18" s="172"/>
      <c r="FJ18" s="172"/>
      <c r="FK18" s="172"/>
      <c r="FL18" s="172"/>
      <c r="FM18" s="172"/>
      <c r="FN18" s="172"/>
      <c r="FO18" s="172"/>
      <c r="FP18" s="172"/>
      <c r="FQ18" s="172"/>
      <c r="FR18" s="172"/>
      <c r="FS18" s="172"/>
      <c r="FT18" s="172"/>
      <c r="FU18" s="172"/>
      <c r="FV18" s="172"/>
      <c r="FW18" s="172"/>
      <c r="FX18" s="172"/>
      <c r="FY18" s="172"/>
      <c r="FZ18" s="172"/>
      <c r="GA18" s="172"/>
      <c r="GB18" s="172"/>
      <c r="GC18" s="172"/>
      <c r="GD18" s="172"/>
      <c r="GE18" s="172"/>
      <c r="GF18" s="172"/>
      <c r="GG18" s="172"/>
      <c r="GH18" s="172"/>
      <c r="GI18" s="172"/>
      <c r="GJ18" s="172"/>
      <c r="GK18" s="172"/>
      <c r="GL18" s="172"/>
      <c r="GM18" s="172"/>
      <c r="GN18" s="172"/>
      <c r="GO18" s="172"/>
      <c r="GP18" s="172"/>
      <c r="GQ18" s="172"/>
      <c r="GR18" s="172"/>
      <c r="GS18" s="172"/>
      <c r="GT18" s="172"/>
      <c r="GU18" s="172"/>
      <c r="GV18" s="172"/>
      <c r="GW18" s="172"/>
      <c r="GX18" s="172"/>
      <c r="GY18" s="172"/>
      <c r="GZ18" s="172"/>
      <c r="HA18" s="172"/>
      <c r="HB18" s="172"/>
      <c r="HC18" s="172"/>
      <c r="HD18" s="172"/>
      <c r="HE18" s="172"/>
      <c r="HF18" s="172"/>
      <c r="HG18" s="172"/>
      <c r="HH18" s="172"/>
      <c r="HI18" s="172"/>
      <c r="HJ18" s="172"/>
      <c r="HK18" s="172"/>
      <c r="HL18" s="172"/>
      <c r="HM18" s="172"/>
      <c r="HN18" s="172"/>
      <c r="HO18" s="172"/>
      <c r="HP18" s="172"/>
      <c r="HQ18" s="172"/>
      <c r="HR18" s="172"/>
      <c r="HS18" s="172"/>
      <c r="HT18" s="172"/>
      <c r="HU18" s="172"/>
      <c r="HV18" s="172"/>
      <c r="HW18" s="172"/>
      <c r="HX18" s="172"/>
      <c r="HY18" s="172"/>
      <c r="HZ18" s="172"/>
      <c r="IA18" s="172"/>
      <c r="IB18" s="172"/>
      <c r="IC18" s="172"/>
      <c r="ID18" s="172"/>
      <c r="IE18" s="172"/>
      <c r="IF18" s="172"/>
      <c r="IG18" s="172"/>
      <c r="IH18" s="172"/>
      <c r="II18" s="172"/>
      <c r="IJ18" s="172"/>
      <c r="IK18" s="172"/>
      <c r="IL18" s="172"/>
      <c r="IM18" s="172"/>
      <c r="IN18" s="172"/>
      <c r="IO18" s="172"/>
      <c r="IP18" s="172"/>
      <c r="IQ18" s="172"/>
      <c r="IR18" s="172"/>
      <c r="IS18" s="172"/>
      <c r="IT18" s="172"/>
      <c r="IU18" s="172"/>
      <c r="IV18" s="172"/>
      <c r="IW18" s="172"/>
      <c r="IX18" s="172"/>
      <c r="IY18" s="172"/>
      <c r="IZ18" s="172"/>
      <c r="JA18" s="172"/>
      <c r="JB18" s="172"/>
      <c r="JC18" s="172"/>
      <c r="JD18" s="172"/>
      <c r="JE18" s="172"/>
      <c r="JF18" s="172"/>
      <c r="JG18" s="172"/>
      <c r="JH18" s="172"/>
      <c r="JI18" s="172"/>
      <c r="JJ18" s="172"/>
      <c r="JK18" s="172"/>
      <c r="JL18" s="172"/>
      <c r="JM18" s="172"/>
      <c r="JN18" s="172"/>
      <c r="JO18" s="172"/>
      <c r="JP18" s="172"/>
      <c r="JQ18" s="172"/>
      <c r="JR18" s="172"/>
      <c r="JS18" s="172"/>
      <c r="JT18" s="172"/>
      <c r="JU18" s="172"/>
      <c r="JV18" s="172"/>
      <c r="JW18" s="172"/>
      <c r="JX18" s="172"/>
      <c r="JY18" s="172"/>
      <c r="JZ18" s="172"/>
      <c r="KA18" s="172"/>
      <c r="KB18" s="172"/>
      <c r="KC18" s="172"/>
      <c r="KD18" s="172"/>
      <c r="KE18" s="172"/>
      <c r="KF18" s="172"/>
      <c r="KG18" s="172"/>
      <c r="KH18" s="172"/>
      <c r="KI18" s="172"/>
      <c r="KJ18" s="172"/>
      <c r="KK18" s="172"/>
      <c r="KL18" s="172"/>
      <c r="KM18" s="172"/>
      <c r="KN18" s="172"/>
      <c r="KO18" s="172"/>
      <c r="KP18" s="172"/>
      <c r="KQ18" s="172"/>
      <c r="KR18" s="172"/>
      <c r="KS18" s="172"/>
      <c r="KT18" s="172"/>
      <c r="KU18" s="172"/>
      <c r="KV18" s="172"/>
      <c r="KW18" s="172"/>
      <c r="KX18" s="172"/>
      <c r="KY18" s="172"/>
      <c r="KZ18" s="172"/>
      <c r="LA18" s="172"/>
      <c r="LB18" s="172"/>
      <c r="LC18" s="172"/>
      <c r="LD18" s="172"/>
      <c r="LE18" s="172"/>
      <c r="LF18" s="172"/>
      <c r="LG18" s="172"/>
      <c r="LH18" s="172"/>
      <c r="LI18" s="172"/>
      <c r="LJ18" s="172"/>
      <c r="LK18" s="172"/>
      <c r="LL18" s="172"/>
      <c r="LM18" s="172"/>
      <c r="LN18" s="172"/>
      <c r="LO18" s="172"/>
      <c r="LP18" s="172"/>
      <c r="LQ18" s="172"/>
      <c r="LR18" s="172"/>
      <c r="LS18" s="172"/>
      <c r="LT18" s="172"/>
      <c r="LU18" s="172"/>
      <c r="LV18" s="172"/>
      <c r="LW18" s="172"/>
      <c r="LX18" s="172"/>
      <c r="LY18" s="172"/>
      <c r="LZ18" s="172"/>
      <c r="MA18" s="172"/>
      <c r="MB18" s="172"/>
      <c r="MC18" s="172"/>
      <c r="MD18" s="172"/>
      <c r="ME18" s="172"/>
      <c r="MF18" s="172"/>
      <c r="MG18" s="172"/>
      <c r="MH18" s="172"/>
      <c r="MI18" s="172"/>
      <c r="MJ18" s="172"/>
      <c r="MK18" s="172"/>
      <c r="ML18" s="172"/>
      <c r="MM18" s="172"/>
      <c r="MN18" s="172"/>
      <c r="MO18" s="172"/>
      <c r="MP18" s="172"/>
      <c r="MQ18" s="172"/>
      <c r="MR18" s="172"/>
      <c r="MS18" s="172"/>
      <c r="MT18" s="172"/>
      <c r="MU18" s="172"/>
      <c r="MV18" s="172"/>
      <c r="MW18" s="172"/>
      <c r="MX18" s="172"/>
      <c r="MY18" s="172"/>
      <c r="MZ18" s="172"/>
      <c r="NA18" s="172"/>
      <c r="NB18" s="172"/>
      <c r="NC18" s="172"/>
      <c r="ND18" s="172"/>
      <c r="NE18" s="172"/>
      <c r="NF18" s="172"/>
      <c r="NG18" s="172"/>
      <c r="NH18" s="172"/>
      <c r="NI18" s="172"/>
      <c r="NJ18" s="172"/>
      <c r="NK18" s="172"/>
      <c r="NL18" s="172"/>
      <c r="NM18" s="172"/>
      <c r="NN18" s="172"/>
      <c r="NO18" s="172"/>
      <c r="NP18" s="172"/>
      <c r="NQ18" s="172"/>
      <c r="NR18" s="172"/>
      <c r="NS18" s="172"/>
      <c r="NT18" s="172"/>
      <c r="NU18" s="172"/>
      <c r="NV18" s="172"/>
      <c r="NW18" s="172"/>
      <c r="NX18" s="172"/>
      <c r="NY18" s="172"/>
      <c r="NZ18" s="172"/>
      <c r="OA18" s="172"/>
      <c r="OB18" s="172"/>
      <c r="OC18" s="172"/>
      <c r="OD18" s="172"/>
      <c r="OE18" s="172"/>
      <c r="OF18" s="172"/>
      <c r="OG18" s="172"/>
      <c r="OH18" s="172"/>
      <c r="OI18" s="172"/>
      <c r="OJ18" s="172"/>
      <c r="OK18" s="172"/>
      <c r="OL18" s="172"/>
      <c r="OM18" s="172"/>
      <c r="ON18" s="172"/>
      <c r="OO18" s="172"/>
      <c r="OP18" s="172"/>
      <c r="OQ18" s="172"/>
      <c r="OR18" s="172"/>
      <c r="OS18" s="172"/>
      <c r="OT18" s="172"/>
      <c r="OU18" s="172"/>
      <c r="OV18" s="172"/>
      <c r="OW18" s="172"/>
      <c r="OX18" s="172"/>
      <c r="OY18" s="172"/>
      <c r="OZ18" s="172"/>
      <c r="PA18" s="172"/>
      <c r="PB18" s="172"/>
      <c r="PC18" s="172"/>
      <c r="PD18" s="172"/>
      <c r="PE18" s="172"/>
      <c r="PF18" s="172"/>
      <c r="PG18" s="172"/>
      <c r="PH18" s="172"/>
      <c r="PI18" s="172"/>
      <c r="PJ18" s="172"/>
      <c r="PK18" s="172"/>
      <c r="PL18" s="172"/>
      <c r="PM18" s="172"/>
      <c r="PN18" s="172"/>
      <c r="PO18" s="172"/>
      <c r="PP18" s="172"/>
      <c r="PQ18" s="172"/>
      <c r="PR18" s="172"/>
      <c r="PS18" s="172"/>
      <c r="PT18" s="172"/>
      <c r="PU18" s="172"/>
      <c r="PV18" s="172"/>
      <c r="PW18" s="172"/>
      <c r="PX18" s="172"/>
      <c r="PY18" s="172"/>
      <c r="PZ18" s="172"/>
      <c r="QA18" s="172"/>
      <c r="QB18" s="172"/>
      <c r="QC18" s="172"/>
      <c r="QD18" s="172"/>
      <c r="QE18" s="172"/>
      <c r="QF18" s="172"/>
      <c r="QG18" s="172"/>
      <c r="QH18" s="172"/>
      <c r="QI18" s="172"/>
      <c r="QJ18" s="172"/>
      <c r="QK18" s="172"/>
      <c r="QL18" s="172"/>
      <c r="QM18" s="172"/>
      <c r="QN18" s="172"/>
      <c r="QO18" s="172"/>
      <c r="QP18" s="172"/>
      <c r="QQ18" s="172"/>
      <c r="QR18" s="172"/>
      <c r="QS18" s="172"/>
      <c r="QT18" s="172"/>
      <c r="QU18" s="172"/>
      <c r="QV18" s="172"/>
      <c r="QW18" s="172"/>
      <c r="QX18" s="172"/>
      <c r="QY18" s="172"/>
      <c r="QZ18" s="172"/>
      <c r="RA18" s="172"/>
      <c r="RB18" s="172"/>
      <c r="RC18" s="172"/>
      <c r="RD18" s="172"/>
      <c r="RE18" s="172"/>
      <c r="RF18" s="172"/>
      <c r="RG18" s="172"/>
      <c r="RH18" s="172"/>
      <c r="RI18" s="172"/>
      <c r="RJ18" s="172"/>
      <c r="RK18" s="172"/>
      <c r="RL18" s="172"/>
      <c r="RM18" s="172"/>
      <c r="RN18" s="172"/>
      <c r="RO18" s="172"/>
      <c r="RP18" s="172"/>
      <c r="RQ18" s="172"/>
      <c r="RR18" s="172"/>
      <c r="RS18" s="172"/>
      <c r="RT18" s="172"/>
      <c r="RU18" s="172"/>
      <c r="RV18" s="172"/>
      <c r="RW18" s="172"/>
      <c r="RX18" s="172"/>
      <c r="RY18" s="172"/>
      <c r="RZ18" s="172"/>
      <c r="SA18" s="172"/>
      <c r="SB18" s="172"/>
      <c r="SC18" s="172"/>
      <c r="SD18" s="172"/>
      <c r="SE18" s="172"/>
      <c r="SF18" s="172"/>
      <c r="SG18" s="172"/>
      <c r="SH18" s="172"/>
      <c r="SI18" s="172"/>
      <c r="SJ18" s="172"/>
      <c r="SK18" s="172"/>
      <c r="SL18" s="172"/>
      <c r="SM18" s="172"/>
      <c r="SN18" s="172"/>
      <c r="SO18" s="172"/>
      <c r="SP18" s="172"/>
      <c r="SQ18" s="172"/>
      <c r="SR18" s="172"/>
      <c r="SS18" s="172"/>
      <c r="ST18" s="172"/>
      <c r="SU18" s="172"/>
      <c r="SV18" s="172"/>
      <c r="SW18" s="172"/>
      <c r="SX18" s="172"/>
      <c r="SY18" s="172"/>
      <c r="SZ18" s="172"/>
      <c r="TA18" s="172"/>
      <c r="TB18" s="172"/>
      <c r="TC18" s="172"/>
      <c r="TD18" s="172"/>
      <c r="TE18" s="172"/>
      <c r="TF18" s="172"/>
      <c r="TG18" s="172"/>
      <c r="TH18" s="172"/>
      <c r="TI18" s="172"/>
      <c r="TJ18" s="172"/>
      <c r="TK18" s="172"/>
      <c r="TL18" s="172"/>
      <c r="TM18" s="172"/>
      <c r="TN18" s="172"/>
      <c r="TO18" s="172"/>
      <c r="TP18" s="172"/>
      <c r="TQ18" s="172"/>
      <c r="TR18" s="172"/>
      <c r="TS18" s="172"/>
      <c r="TT18" s="172"/>
      <c r="TU18" s="172"/>
      <c r="TV18" s="172"/>
      <c r="TW18" s="172"/>
      <c r="TX18" s="172"/>
      <c r="TY18" s="172"/>
      <c r="TZ18" s="172"/>
      <c r="UA18" s="172"/>
      <c r="UB18" s="172"/>
      <c r="UC18" s="172"/>
      <c r="UD18" s="172"/>
      <c r="UE18" s="172"/>
      <c r="UF18" s="172"/>
      <c r="UG18" s="172"/>
      <c r="UH18" s="172"/>
      <c r="UI18" s="172"/>
      <c r="UJ18" s="172"/>
      <c r="UK18" s="172"/>
      <c r="UL18" s="172"/>
      <c r="UM18" s="172"/>
      <c r="UN18" s="172"/>
      <c r="UO18" s="172"/>
      <c r="UP18" s="172"/>
      <c r="UQ18" s="172"/>
      <c r="UR18" s="172"/>
      <c r="US18" s="172"/>
      <c r="UT18" s="172"/>
      <c r="UU18" s="172"/>
      <c r="UV18" s="172"/>
      <c r="UW18" s="172"/>
      <c r="UX18" s="172"/>
      <c r="UY18" s="172"/>
      <c r="UZ18" s="172"/>
      <c r="VA18" s="172"/>
      <c r="VB18" s="172"/>
      <c r="VC18" s="172"/>
      <c r="VD18" s="172"/>
      <c r="VE18" s="172"/>
      <c r="VF18" s="172"/>
      <c r="VG18" s="172"/>
      <c r="VH18" s="172"/>
      <c r="VI18" s="172"/>
      <c r="VJ18" s="172"/>
      <c r="VK18" s="172"/>
      <c r="VL18" s="172"/>
      <c r="VM18" s="172"/>
      <c r="VN18" s="172"/>
      <c r="VO18" s="172"/>
      <c r="VP18" s="172"/>
      <c r="VQ18" s="172"/>
      <c r="VR18" s="172"/>
      <c r="VS18" s="172"/>
      <c r="VT18" s="172"/>
      <c r="VU18" s="172"/>
      <c r="VV18" s="172"/>
      <c r="VW18" s="172"/>
      <c r="VX18" s="172"/>
      <c r="VY18" s="172"/>
      <c r="VZ18" s="172"/>
      <c r="WA18" s="172"/>
      <c r="WB18" s="172"/>
      <c r="WC18" s="172"/>
      <c r="WD18" s="172"/>
      <c r="WE18" s="172"/>
      <c r="WF18" s="172"/>
      <c r="WG18" s="172"/>
      <c r="WH18" s="172"/>
      <c r="WI18" s="172"/>
      <c r="WJ18" s="172"/>
      <c r="WK18" s="172"/>
      <c r="WL18" s="172"/>
      <c r="WM18" s="172"/>
      <c r="WN18" s="172"/>
      <c r="WO18" s="172"/>
      <c r="WP18" s="172"/>
      <c r="WQ18" s="172"/>
      <c r="WR18" s="172"/>
      <c r="WS18" s="172"/>
      <c r="WT18" s="172"/>
      <c r="WU18" s="172"/>
      <c r="WV18" s="172"/>
      <c r="WW18" s="172"/>
      <c r="WX18" s="172"/>
      <c r="WY18" s="172"/>
      <c r="WZ18" s="172"/>
      <c r="XA18" s="172"/>
      <c r="XB18" s="172"/>
      <c r="XC18" s="172"/>
      <c r="XD18" s="172"/>
      <c r="XE18" s="172"/>
      <c r="XF18" s="172"/>
      <c r="XG18" s="172"/>
      <c r="XH18" s="172"/>
      <c r="XI18" s="172"/>
      <c r="XJ18" s="172"/>
      <c r="XK18" s="172"/>
      <c r="XL18" s="172"/>
      <c r="XM18" s="172"/>
      <c r="XN18" s="172"/>
      <c r="XO18" s="172"/>
      <c r="XP18" s="172"/>
      <c r="XQ18" s="172"/>
      <c r="XR18" s="172"/>
      <c r="XS18" s="172"/>
      <c r="XT18" s="172"/>
      <c r="XU18" s="172"/>
      <c r="XV18" s="172"/>
      <c r="XW18" s="172"/>
      <c r="XX18" s="172"/>
      <c r="XY18" s="172"/>
      <c r="XZ18" s="172"/>
      <c r="YA18" s="172"/>
      <c r="YB18" s="172"/>
      <c r="YC18" s="172"/>
      <c r="YD18" s="172"/>
      <c r="YE18" s="172"/>
      <c r="YF18" s="172"/>
      <c r="YG18" s="172"/>
      <c r="YH18" s="172"/>
      <c r="YI18" s="172"/>
      <c r="YJ18" s="172"/>
      <c r="YK18" s="172"/>
      <c r="YL18" s="172"/>
      <c r="YM18" s="172"/>
      <c r="YN18" s="172"/>
      <c r="YO18" s="172"/>
      <c r="YP18" s="172"/>
      <c r="YQ18" s="172"/>
      <c r="YR18" s="172"/>
      <c r="YS18" s="172"/>
      <c r="YT18" s="172"/>
      <c r="YU18" s="172"/>
      <c r="YV18" s="172"/>
      <c r="YW18" s="172"/>
      <c r="YX18" s="172"/>
      <c r="YY18" s="172"/>
      <c r="YZ18" s="172"/>
      <c r="ZA18" s="172"/>
      <c r="ZB18" s="172"/>
      <c r="ZC18" s="172"/>
      <c r="ZD18" s="172"/>
      <c r="ZE18" s="172"/>
      <c r="ZF18" s="172"/>
      <c r="ZG18" s="172"/>
      <c r="ZH18" s="172"/>
      <c r="ZI18" s="172"/>
      <c r="ZJ18" s="172"/>
      <c r="ZK18" s="172"/>
      <c r="ZL18" s="172"/>
      <c r="ZM18" s="172"/>
      <c r="ZN18" s="172"/>
      <c r="ZO18" s="172"/>
      <c r="ZP18" s="172"/>
      <c r="ZQ18" s="172"/>
      <c r="ZR18" s="172"/>
      <c r="ZS18" s="172"/>
      <c r="ZT18" s="172"/>
      <c r="ZU18" s="172"/>
      <c r="ZV18" s="172"/>
      <c r="ZW18" s="172"/>
      <c r="ZX18" s="172"/>
      <c r="ZY18" s="172"/>
      <c r="ZZ18" s="172"/>
      <c r="AAA18" s="172"/>
      <c r="AAB18" s="172"/>
      <c r="AAC18" s="172"/>
      <c r="AAD18" s="172"/>
      <c r="AAE18" s="172"/>
      <c r="AAF18" s="172"/>
      <c r="AAG18" s="172"/>
      <c r="AAH18" s="172"/>
      <c r="AAI18" s="172"/>
      <c r="AAJ18" s="172"/>
      <c r="AAK18" s="172"/>
      <c r="AAL18" s="172"/>
      <c r="AAM18" s="172"/>
      <c r="AAN18" s="172"/>
      <c r="AAO18" s="172"/>
      <c r="AAP18" s="172"/>
      <c r="AAQ18" s="172"/>
      <c r="AAR18" s="172"/>
      <c r="AAS18" s="172"/>
      <c r="AAT18" s="172"/>
      <c r="AAU18" s="172"/>
      <c r="AAV18" s="172"/>
      <c r="AAW18" s="172"/>
      <c r="AAX18" s="172"/>
      <c r="AAY18" s="172"/>
      <c r="AAZ18" s="172"/>
      <c r="ABA18" s="172"/>
      <c r="ABB18" s="172"/>
      <c r="ABC18" s="172"/>
      <c r="ABD18" s="172"/>
      <c r="ABE18" s="172"/>
      <c r="ABF18" s="172"/>
      <c r="ABG18" s="172"/>
      <c r="ABH18" s="172"/>
      <c r="ABI18" s="172"/>
      <c r="ABJ18" s="172"/>
      <c r="ABK18" s="172"/>
      <c r="ABL18" s="172"/>
      <c r="ABM18" s="172"/>
      <c r="ABN18" s="172"/>
      <c r="ABO18" s="172"/>
      <c r="ABP18" s="172"/>
      <c r="ABQ18" s="172"/>
      <c r="ABR18" s="172"/>
      <c r="ABS18" s="172"/>
      <c r="ABT18" s="172"/>
      <c r="ABU18" s="172"/>
      <c r="ABV18" s="172"/>
      <c r="ABW18" s="172"/>
      <c r="ABX18" s="172"/>
      <c r="ABY18" s="172"/>
      <c r="ABZ18" s="172"/>
      <c r="ACA18" s="172"/>
      <c r="ACB18" s="172"/>
      <c r="ACC18" s="172"/>
      <c r="ACD18" s="172"/>
      <c r="ACE18" s="172"/>
      <c r="ACF18" s="172"/>
      <c r="ACG18" s="172"/>
      <c r="ACH18" s="172"/>
      <c r="ACI18" s="172"/>
      <c r="ACJ18" s="172"/>
      <c r="ACK18" s="172"/>
      <c r="ACL18" s="172"/>
      <c r="ACM18" s="172"/>
      <c r="ACN18" s="172"/>
      <c r="ACO18" s="172"/>
      <c r="ACP18" s="172"/>
      <c r="ACQ18" s="172"/>
      <c r="ACR18" s="172"/>
      <c r="ACS18" s="172"/>
      <c r="ACT18" s="172"/>
      <c r="ACU18" s="172"/>
      <c r="ACV18" s="172"/>
      <c r="ACW18" s="172"/>
      <c r="ACX18" s="172"/>
      <c r="ACY18" s="172"/>
      <c r="ACZ18" s="172"/>
      <c r="ADA18" s="172"/>
      <c r="ADB18" s="172"/>
      <c r="ADC18" s="172"/>
      <c r="ADD18" s="172"/>
      <c r="ADE18" s="172"/>
      <c r="ADF18" s="172"/>
      <c r="ADG18" s="172"/>
      <c r="ADH18" s="172"/>
      <c r="ADI18" s="172"/>
      <c r="ADJ18" s="172"/>
      <c r="ADK18" s="172"/>
      <c r="ADL18" s="172"/>
      <c r="ADM18" s="172"/>
      <c r="ADN18" s="172"/>
      <c r="ADO18" s="172"/>
      <c r="ADP18" s="172"/>
      <c r="ADQ18" s="172"/>
      <c r="ADR18" s="172"/>
      <c r="ADS18" s="172"/>
      <c r="ADT18" s="172"/>
      <c r="ADU18" s="172"/>
      <c r="ADV18" s="172"/>
      <c r="ADW18" s="172"/>
      <c r="ADX18" s="172"/>
      <c r="ADY18" s="172"/>
      <c r="ADZ18" s="172"/>
      <c r="AEA18" s="172"/>
      <c r="AEB18" s="172"/>
      <c r="AEC18" s="172"/>
      <c r="AED18" s="172"/>
      <c r="AEE18" s="172"/>
      <c r="AEF18" s="172"/>
      <c r="AEG18" s="172"/>
      <c r="AEH18" s="172"/>
      <c r="AEI18" s="172"/>
      <c r="AEJ18" s="172"/>
      <c r="AEK18" s="172"/>
      <c r="AEL18" s="172"/>
      <c r="AEM18" s="172"/>
      <c r="AEN18" s="172"/>
      <c r="AEO18" s="172"/>
      <c r="AEP18" s="172"/>
      <c r="AEQ18" s="172"/>
      <c r="AER18" s="172"/>
      <c r="AES18" s="172"/>
      <c r="AET18" s="172"/>
      <c r="AEU18" s="172"/>
      <c r="AEV18" s="172"/>
      <c r="AEW18" s="172"/>
      <c r="AEX18" s="172"/>
      <c r="AEY18" s="172"/>
      <c r="AEZ18" s="172"/>
      <c r="AFA18" s="172"/>
      <c r="AFB18" s="172"/>
      <c r="AFC18" s="172"/>
      <c r="AFD18" s="172"/>
      <c r="AFE18" s="172"/>
      <c r="AFF18" s="172"/>
      <c r="AFG18" s="172"/>
      <c r="AFH18" s="172"/>
      <c r="AFI18" s="172"/>
      <c r="AFJ18" s="172"/>
      <c r="AFK18" s="172"/>
      <c r="AFL18" s="172"/>
      <c r="AFM18" s="172"/>
      <c r="AFN18" s="172"/>
      <c r="AFO18" s="172"/>
      <c r="AFP18" s="172"/>
      <c r="AFQ18" s="172"/>
      <c r="AFR18" s="172"/>
      <c r="AFS18" s="172"/>
      <c r="AFT18" s="172"/>
      <c r="AFU18" s="172"/>
      <c r="AFV18" s="172"/>
      <c r="AFW18" s="172"/>
      <c r="AFX18" s="172"/>
      <c r="AFY18" s="172"/>
      <c r="AFZ18" s="172"/>
      <c r="AGA18" s="172"/>
      <c r="AGB18" s="172"/>
      <c r="AGC18" s="172"/>
      <c r="AGD18" s="172"/>
      <c r="AGE18" s="172"/>
      <c r="AGF18" s="172"/>
      <c r="AGG18" s="172"/>
      <c r="AGH18" s="172"/>
      <c r="AGI18" s="172"/>
      <c r="AGJ18" s="172"/>
      <c r="AGK18" s="172"/>
      <c r="AGL18" s="172"/>
      <c r="AGM18" s="172"/>
      <c r="AGN18" s="172"/>
      <c r="AGO18" s="172"/>
      <c r="AGP18" s="172"/>
      <c r="AGQ18" s="172"/>
      <c r="AGR18" s="172"/>
      <c r="AGS18" s="172"/>
      <c r="AGT18" s="172"/>
      <c r="AGU18" s="172"/>
      <c r="AGV18" s="172"/>
      <c r="AGW18" s="172"/>
      <c r="AGX18" s="172"/>
      <c r="AGY18" s="172"/>
      <c r="AGZ18" s="172"/>
      <c r="AHA18" s="172"/>
      <c r="AHB18" s="172"/>
      <c r="AHC18" s="172"/>
      <c r="AHD18" s="172"/>
      <c r="AHE18" s="172"/>
      <c r="AHF18" s="172"/>
      <c r="AHG18" s="172"/>
      <c r="AHH18" s="172"/>
      <c r="AHI18" s="172"/>
      <c r="AHJ18" s="172"/>
      <c r="AHK18" s="172"/>
      <c r="AHL18" s="172"/>
      <c r="AHM18" s="172"/>
      <c r="AHN18" s="172"/>
      <c r="AHO18" s="172"/>
      <c r="AHP18" s="172"/>
      <c r="AHQ18" s="172"/>
      <c r="AHR18" s="172"/>
      <c r="AHS18" s="172"/>
      <c r="AHT18" s="172"/>
      <c r="AHU18" s="172"/>
      <c r="AHV18" s="172"/>
      <c r="AHW18" s="172"/>
      <c r="AHX18" s="172"/>
      <c r="AHY18" s="172"/>
      <c r="AHZ18" s="172"/>
      <c r="AIA18" s="172"/>
      <c r="AIB18" s="172"/>
      <c r="AIC18" s="172"/>
      <c r="AID18" s="172"/>
      <c r="AIE18" s="172"/>
      <c r="AIF18" s="172"/>
      <c r="AIG18" s="172"/>
      <c r="AIH18" s="172"/>
      <c r="AII18" s="172"/>
      <c r="AIJ18" s="172"/>
      <c r="AIK18" s="172"/>
      <c r="AIL18" s="172"/>
      <c r="AIM18" s="172"/>
      <c r="AIN18" s="172"/>
      <c r="AIO18" s="172"/>
      <c r="AIP18" s="172"/>
      <c r="AIQ18" s="172"/>
      <c r="AIR18" s="172"/>
      <c r="AIS18" s="172"/>
      <c r="AIT18" s="172"/>
      <c r="AIU18" s="172"/>
      <c r="AIV18" s="172"/>
      <c r="AIW18" s="172"/>
      <c r="AIX18" s="172"/>
      <c r="AIY18" s="172"/>
      <c r="AIZ18" s="172"/>
      <c r="AJA18" s="172"/>
      <c r="AJB18" s="172"/>
      <c r="AJC18" s="172"/>
      <c r="AJD18" s="172"/>
      <c r="AJE18" s="172"/>
      <c r="AJF18" s="172"/>
      <c r="AJG18" s="172"/>
      <c r="AJH18" s="172"/>
      <c r="AJI18" s="172"/>
      <c r="AJJ18" s="172"/>
      <c r="AJK18" s="172"/>
      <c r="AJL18" s="172"/>
      <c r="AJM18" s="172"/>
      <c r="AJN18" s="172"/>
      <c r="AJO18" s="172"/>
      <c r="AJP18" s="172"/>
      <c r="AJQ18" s="172"/>
      <c r="AJR18" s="172"/>
      <c r="AJS18" s="172"/>
      <c r="AJT18" s="172"/>
      <c r="AJU18" s="172"/>
      <c r="AJV18" s="172"/>
      <c r="AJW18" s="172"/>
      <c r="AJX18" s="172"/>
      <c r="AJY18" s="172"/>
      <c r="AJZ18" s="172"/>
      <c r="AKA18" s="172"/>
      <c r="AKB18" s="172"/>
      <c r="AKC18" s="172"/>
      <c r="AKD18" s="172"/>
      <c r="AKE18" s="172"/>
      <c r="AKF18" s="172"/>
      <c r="AKG18" s="172"/>
      <c r="AKH18" s="172"/>
      <c r="AKI18" s="172"/>
      <c r="AKJ18" s="172"/>
      <c r="AKK18" s="172"/>
      <c r="AKL18" s="172"/>
      <c r="AKM18" s="172"/>
      <c r="AKN18" s="172"/>
      <c r="AKO18" s="172"/>
      <c r="AKP18" s="172"/>
      <c r="AKQ18" s="172"/>
      <c r="AKR18" s="172"/>
      <c r="AKS18" s="172"/>
      <c r="AKT18" s="172"/>
      <c r="AKU18" s="172"/>
      <c r="AKV18" s="172"/>
      <c r="AKW18" s="172"/>
      <c r="AKX18" s="172"/>
      <c r="AKY18" s="172"/>
      <c r="AKZ18" s="172"/>
      <c r="ALA18" s="172"/>
      <c r="ALB18" s="172"/>
      <c r="ALC18" s="172"/>
      <c r="ALD18" s="172"/>
      <c r="ALE18" s="172"/>
      <c r="ALF18" s="172"/>
      <c r="ALG18" s="172"/>
      <c r="ALH18" s="172"/>
      <c r="ALI18" s="172"/>
      <c r="ALJ18" s="172"/>
      <c r="ALK18" s="172"/>
      <c r="ALL18" s="172"/>
      <c r="ALM18" s="172"/>
      <c r="ALN18" s="172"/>
      <c r="ALO18" s="172"/>
      <c r="ALP18" s="172"/>
      <c r="ALQ18" s="172"/>
      <c r="ALR18" s="172"/>
      <c r="ALS18" s="172"/>
      <c r="ALT18" s="172"/>
      <c r="ALU18" s="172"/>
      <c r="ALV18" s="172"/>
      <c r="ALW18" s="172"/>
      <c r="ALX18" s="172"/>
      <c r="ALY18" s="172"/>
      <c r="ALZ18" s="172"/>
      <c r="AMA18" s="172"/>
      <c r="AMB18" s="172"/>
      <c r="AMC18" s="172"/>
      <c r="AMD18" s="172"/>
    </row>
    <row r="19" spans="1:1019" s="174" customFormat="1">
      <c r="A19" s="168">
        <f t="shared" si="0"/>
        <v>14</v>
      </c>
      <c r="B19" s="175">
        <v>1576</v>
      </c>
      <c r="C19" s="168" t="s">
        <v>73</v>
      </c>
      <c r="D19" s="169">
        <f>'הנדסה '!D34</f>
        <v>1000000</v>
      </c>
      <c r="E19" s="169">
        <f>'הנדסה '!E34</f>
        <v>1000000</v>
      </c>
      <c r="F19" s="169">
        <f>'הנדסה '!F34</f>
        <v>0</v>
      </c>
      <c r="G19" s="169">
        <f>'הנדסה '!G34</f>
        <v>500000</v>
      </c>
      <c r="H19" s="169">
        <f>'הנדסה '!H34</f>
        <v>354021.17</v>
      </c>
      <c r="I19" s="169">
        <f>'הנדסה '!I34</f>
        <v>44752</v>
      </c>
      <c r="J19" s="169">
        <f>'הנדסה '!J34</f>
        <v>0</v>
      </c>
      <c r="K19" s="169">
        <f>'הנדסה '!K34</f>
        <v>44752</v>
      </c>
      <c r="L19" s="169">
        <f>'הנדסה '!L34</f>
        <v>398773.17</v>
      </c>
      <c r="M19" s="169">
        <f>'הנדסה '!M34</f>
        <v>51226.830000000016</v>
      </c>
      <c r="N19" s="169">
        <f>'הנדסה '!N34</f>
        <v>0</v>
      </c>
      <c r="O19" s="169">
        <f>'הנדסה '!O34</f>
        <v>550000</v>
      </c>
      <c r="P19" s="169">
        <f>'הנדסה '!P34</f>
        <v>101226.83000000002</v>
      </c>
      <c r="Q19" s="169">
        <f>'הנדסה '!Q34</f>
        <v>0</v>
      </c>
      <c r="R19" s="169">
        <f>'הנדסה '!R34</f>
        <v>0</v>
      </c>
      <c r="S19" s="169">
        <f>'הנדסה '!S34</f>
        <v>0</v>
      </c>
      <c r="T19" s="169">
        <f>'הנדסה '!T34</f>
        <v>50000</v>
      </c>
      <c r="U19" s="169">
        <f>'הנדסה '!U34</f>
        <v>-50000</v>
      </c>
      <c r="V19" s="169">
        <f>'הנדסה '!V34</f>
        <v>-50000</v>
      </c>
      <c r="W19" s="169">
        <f>'הנדסה '!W34</f>
        <v>0</v>
      </c>
      <c r="X19" s="169">
        <f>'הנדסה '!X34</f>
        <v>0</v>
      </c>
      <c r="Y19" s="169">
        <f>'הנדסה '!Y34</f>
        <v>0</v>
      </c>
      <c r="Z19" s="169">
        <f>'הנדסה '!Z34</f>
        <v>0</v>
      </c>
      <c r="AA19" s="659">
        <f>'הנדסה '!AA34</f>
        <v>732000</v>
      </c>
      <c r="AB19" s="157"/>
      <c r="AC19" s="157"/>
      <c r="AD19" s="157"/>
      <c r="AE19" s="157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  <c r="JD19" s="172"/>
      <c r="JE19" s="172"/>
      <c r="JF19" s="172"/>
      <c r="JG19" s="172"/>
      <c r="JH19" s="172"/>
      <c r="JI19" s="172"/>
      <c r="JJ19" s="172"/>
      <c r="JK19" s="172"/>
      <c r="JL19" s="172"/>
      <c r="JM19" s="172"/>
      <c r="JN19" s="172"/>
      <c r="JO19" s="172"/>
      <c r="JP19" s="172"/>
      <c r="JQ19" s="172"/>
      <c r="JR19" s="172"/>
      <c r="JS19" s="172"/>
      <c r="JT19" s="172"/>
      <c r="JU19" s="172"/>
      <c r="JV19" s="172"/>
      <c r="JW19" s="172"/>
      <c r="JX19" s="172"/>
      <c r="JY19" s="172"/>
      <c r="JZ19" s="172"/>
      <c r="KA19" s="172"/>
      <c r="KB19" s="172"/>
      <c r="KC19" s="172"/>
      <c r="KD19" s="172"/>
      <c r="KE19" s="172"/>
      <c r="KF19" s="172"/>
      <c r="KG19" s="172"/>
      <c r="KH19" s="172"/>
      <c r="KI19" s="172"/>
      <c r="KJ19" s="172"/>
      <c r="KK19" s="172"/>
      <c r="KL19" s="172"/>
      <c r="KM19" s="172"/>
      <c r="KN19" s="172"/>
      <c r="KO19" s="172"/>
      <c r="KP19" s="172"/>
      <c r="KQ19" s="172"/>
      <c r="KR19" s="172"/>
      <c r="KS19" s="172"/>
      <c r="KT19" s="172"/>
      <c r="KU19" s="172"/>
      <c r="KV19" s="172"/>
      <c r="KW19" s="172"/>
      <c r="KX19" s="172"/>
      <c r="KY19" s="172"/>
      <c r="KZ19" s="172"/>
      <c r="LA19" s="172"/>
      <c r="LB19" s="172"/>
      <c r="LC19" s="172"/>
      <c r="LD19" s="172"/>
      <c r="LE19" s="172"/>
      <c r="LF19" s="172"/>
      <c r="LG19" s="172"/>
      <c r="LH19" s="172"/>
      <c r="LI19" s="172"/>
      <c r="LJ19" s="172"/>
      <c r="LK19" s="172"/>
      <c r="LL19" s="172"/>
      <c r="LM19" s="172"/>
      <c r="LN19" s="172"/>
      <c r="LO19" s="172"/>
      <c r="LP19" s="172"/>
      <c r="LQ19" s="172"/>
      <c r="LR19" s="172"/>
      <c r="LS19" s="172"/>
      <c r="LT19" s="172"/>
      <c r="LU19" s="172"/>
      <c r="LV19" s="172"/>
      <c r="LW19" s="172"/>
      <c r="LX19" s="172"/>
      <c r="LY19" s="172"/>
      <c r="LZ19" s="172"/>
      <c r="MA19" s="172"/>
      <c r="MB19" s="172"/>
      <c r="MC19" s="172"/>
      <c r="MD19" s="172"/>
      <c r="ME19" s="172"/>
      <c r="MF19" s="172"/>
      <c r="MG19" s="172"/>
      <c r="MH19" s="172"/>
      <c r="MI19" s="172"/>
      <c r="MJ19" s="172"/>
      <c r="MK19" s="172"/>
      <c r="ML19" s="172"/>
      <c r="MM19" s="172"/>
      <c r="MN19" s="172"/>
      <c r="MO19" s="172"/>
      <c r="MP19" s="172"/>
      <c r="MQ19" s="172"/>
      <c r="MR19" s="172"/>
      <c r="MS19" s="172"/>
      <c r="MT19" s="172"/>
      <c r="MU19" s="172"/>
      <c r="MV19" s="172"/>
      <c r="MW19" s="172"/>
      <c r="MX19" s="172"/>
      <c r="MY19" s="172"/>
      <c r="MZ19" s="172"/>
      <c r="NA19" s="172"/>
      <c r="NB19" s="172"/>
      <c r="NC19" s="172"/>
      <c r="ND19" s="172"/>
      <c r="NE19" s="172"/>
      <c r="NF19" s="172"/>
      <c r="NG19" s="172"/>
      <c r="NH19" s="172"/>
      <c r="NI19" s="172"/>
      <c r="NJ19" s="172"/>
      <c r="NK19" s="172"/>
      <c r="NL19" s="172"/>
      <c r="NM19" s="172"/>
      <c r="NN19" s="172"/>
      <c r="NO19" s="172"/>
      <c r="NP19" s="172"/>
      <c r="NQ19" s="172"/>
      <c r="NR19" s="172"/>
      <c r="NS19" s="172"/>
      <c r="NT19" s="172"/>
      <c r="NU19" s="172"/>
      <c r="NV19" s="172"/>
      <c r="NW19" s="172"/>
      <c r="NX19" s="172"/>
      <c r="NY19" s="172"/>
      <c r="NZ19" s="172"/>
      <c r="OA19" s="172"/>
      <c r="OB19" s="172"/>
      <c r="OC19" s="172"/>
      <c r="OD19" s="172"/>
      <c r="OE19" s="172"/>
      <c r="OF19" s="172"/>
      <c r="OG19" s="172"/>
      <c r="OH19" s="172"/>
      <c r="OI19" s="172"/>
      <c r="OJ19" s="172"/>
      <c r="OK19" s="172"/>
      <c r="OL19" s="172"/>
      <c r="OM19" s="172"/>
      <c r="ON19" s="172"/>
      <c r="OO19" s="172"/>
      <c r="OP19" s="172"/>
      <c r="OQ19" s="172"/>
      <c r="OR19" s="172"/>
      <c r="OS19" s="172"/>
      <c r="OT19" s="172"/>
      <c r="OU19" s="172"/>
      <c r="OV19" s="172"/>
      <c r="OW19" s="172"/>
      <c r="OX19" s="172"/>
      <c r="OY19" s="172"/>
      <c r="OZ19" s="172"/>
      <c r="PA19" s="172"/>
      <c r="PB19" s="172"/>
      <c r="PC19" s="172"/>
      <c r="PD19" s="172"/>
      <c r="PE19" s="172"/>
      <c r="PF19" s="172"/>
      <c r="PG19" s="172"/>
      <c r="PH19" s="172"/>
      <c r="PI19" s="172"/>
      <c r="PJ19" s="172"/>
      <c r="PK19" s="172"/>
      <c r="PL19" s="172"/>
      <c r="PM19" s="172"/>
      <c r="PN19" s="172"/>
      <c r="PO19" s="172"/>
      <c r="PP19" s="172"/>
      <c r="PQ19" s="172"/>
      <c r="PR19" s="172"/>
      <c r="PS19" s="172"/>
      <c r="PT19" s="172"/>
      <c r="PU19" s="172"/>
      <c r="PV19" s="172"/>
      <c r="PW19" s="172"/>
      <c r="PX19" s="172"/>
      <c r="PY19" s="172"/>
      <c r="PZ19" s="172"/>
      <c r="QA19" s="172"/>
      <c r="QB19" s="172"/>
      <c r="QC19" s="172"/>
      <c r="QD19" s="172"/>
      <c r="QE19" s="172"/>
      <c r="QF19" s="172"/>
      <c r="QG19" s="172"/>
      <c r="QH19" s="172"/>
      <c r="QI19" s="172"/>
      <c r="QJ19" s="172"/>
      <c r="QK19" s="172"/>
      <c r="QL19" s="172"/>
      <c r="QM19" s="172"/>
      <c r="QN19" s="172"/>
      <c r="QO19" s="172"/>
      <c r="QP19" s="172"/>
      <c r="QQ19" s="172"/>
      <c r="QR19" s="172"/>
      <c r="QS19" s="172"/>
      <c r="QT19" s="172"/>
      <c r="QU19" s="172"/>
      <c r="QV19" s="172"/>
      <c r="QW19" s="172"/>
      <c r="QX19" s="172"/>
      <c r="QY19" s="172"/>
      <c r="QZ19" s="172"/>
      <c r="RA19" s="172"/>
      <c r="RB19" s="172"/>
      <c r="RC19" s="172"/>
      <c r="RD19" s="172"/>
      <c r="RE19" s="172"/>
      <c r="RF19" s="172"/>
      <c r="RG19" s="172"/>
      <c r="RH19" s="172"/>
      <c r="RI19" s="172"/>
      <c r="RJ19" s="172"/>
      <c r="RK19" s="172"/>
      <c r="RL19" s="172"/>
      <c r="RM19" s="172"/>
      <c r="RN19" s="172"/>
      <c r="RO19" s="172"/>
      <c r="RP19" s="172"/>
      <c r="RQ19" s="172"/>
      <c r="RR19" s="172"/>
      <c r="RS19" s="172"/>
      <c r="RT19" s="172"/>
      <c r="RU19" s="172"/>
      <c r="RV19" s="172"/>
      <c r="RW19" s="172"/>
      <c r="RX19" s="172"/>
      <c r="RY19" s="172"/>
      <c r="RZ19" s="172"/>
      <c r="SA19" s="172"/>
      <c r="SB19" s="172"/>
      <c r="SC19" s="172"/>
      <c r="SD19" s="172"/>
      <c r="SE19" s="172"/>
      <c r="SF19" s="172"/>
      <c r="SG19" s="172"/>
      <c r="SH19" s="172"/>
      <c r="SI19" s="172"/>
      <c r="SJ19" s="172"/>
      <c r="SK19" s="172"/>
      <c r="SL19" s="172"/>
      <c r="SM19" s="172"/>
      <c r="SN19" s="172"/>
      <c r="SO19" s="172"/>
      <c r="SP19" s="172"/>
      <c r="SQ19" s="172"/>
      <c r="SR19" s="172"/>
      <c r="SS19" s="172"/>
      <c r="ST19" s="172"/>
      <c r="SU19" s="172"/>
      <c r="SV19" s="172"/>
      <c r="SW19" s="172"/>
      <c r="SX19" s="172"/>
      <c r="SY19" s="172"/>
      <c r="SZ19" s="172"/>
      <c r="TA19" s="172"/>
      <c r="TB19" s="172"/>
      <c r="TC19" s="172"/>
      <c r="TD19" s="172"/>
      <c r="TE19" s="172"/>
      <c r="TF19" s="172"/>
      <c r="TG19" s="172"/>
      <c r="TH19" s="172"/>
      <c r="TI19" s="172"/>
      <c r="TJ19" s="172"/>
      <c r="TK19" s="172"/>
      <c r="TL19" s="172"/>
      <c r="TM19" s="172"/>
      <c r="TN19" s="172"/>
      <c r="TO19" s="172"/>
      <c r="TP19" s="172"/>
      <c r="TQ19" s="172"/>
      <c r="TR19" s="172"/>
      <c r="TS19" s="172"/>
      <c r="TT19" s="172"/>
      <c r="TU19" s="172"/>
      <c r="TV19" s="172"/>
      <c r="TW19" s="172"/>
      <c r="TX19" s="172"/>
      <c r="TY19" s="172"/>
      <c r="TZ19" s="172"/>
      <c r="UA19" s="172"/>
      <c r="UB19" s="172"/>
      <c r="UC19" s="172"/>
      <c r="UD19" s="172"/>
      <c r="UE19" s="172"/>
      <c r="UF19" s="172"/>
      <c r="UG19" s="172"/>
      <c r="UH19" s="172"/>
      <c r="UI19" s="172"/>
      <c r="UJ19" s="172"/>
      <c r="UK19" s="172"/>
      <c r="UL19" s="172"/>
      <c r="UM19" s="172"/>
      <c r="UN19" s="172"/>
      <c r="UO19" s="172"/>
      <c r="UP19" s="172"/>
      <c r="UQ19" s="172"/>
      <c r="UR19" s="172"/>
      <c r="US19" s="172"/>
      <c r="UT19" s="172"/>
      <c r="UU19" s="172"/>
      <c r="UV19" s="172"/>
      <c r="UW19" s="172"/>
      <c r="UX19" s="172"/>
      <c r="UY19" s="172"/>
      <c r="UZ19" s="172"/>
      <c r="VA19" s="172"/>
      <c r="VB19" s="172"/>
      <c r="VC19" s="172"/>
      <c r="VD19" s="172"/>
      <c r="VE19" s="172"/>
      <c r="VF19" s="172"/>
      <c r="VG19" s="172"/>
      <c r="VH19" s="172"/>
      <c r="VI19" s="172"/>
      <c r="VJ19" s="172"/>
      <c r="VK19" s="172"/>
      <c r="VL19" s="172"/>
      <c r="VM19" s="172"/>
      <c r="VN19" s="172"/>
      <c r="VO19" s="172"/>
      <c r="VP19" s="172"/>
      <c r="VQ19" s="172"/>
      <c r="VR19" s="172"/>
      <c r="VS19" s="172"/>
      <c r="VT19" s="172"/>
      <c r="VU19" s="172"/>
      <c r="VV19" s="172"/>
      <c r="VW19" s="172"/>
      <c r="VX19" s="172"/>
      <c r="VY19" s="172"/>
      <c r="VZ19" s="172"/>
      <c r="WA19" s="172"/>
      <c r="WB19" s="172"/>
      <c r="WC19" s="172"/>
      <c r="WD19" s="172"/>
      <c r="WE19" s="172"/>
      <c r="WF19" s="172"/>
      <c r="WG19" s="172"/>
      <c r="WH19" s="172"/>
      <c r="WI19" s="172"/>
      <c r="WJ19" s="172"/>
      <c r="WK19" s="172"/>
      <c r="WL19" s="172"/>
      <c r="WM19" s="172"/>
      <c r="WN19" s="172"/>
      <c r="WO19" s="172"/>
      <c r="WP19" s="172"/>
      <c r="WQ19" s="172"/>
      <c r="WR19" s="172"/>
      <c r="WS19" s="172"/>
      <c r="WT19" s="172"/>
      <c r="WU19" s="172"/>
      <c r="WV19" s="172"/>
      <c r="WW19" s="172"/>
      <c r="WX19" s="172"/>
      <c r="WY19" s="172"/>
      <c r="WZ19" s="172"/>
      <c r="XA19" s="172"/>
      <c r="XB19" s="172"/>
      <c r="XC19" s="172"/>
      <c r="XD19" s="172"/>
      <c r="XE19" s="172"/>
      <c r="XF19" s="172"/>
      <c r="XG19" s="172"/>
      <c r="XH19" s="172"/>
      <c r="XI19" s="172"/>
      <c r="XJ19" s="172"/>
      <c r="XK19" s="172"/>
      <c r="XL19" s="172"/>
      <c r="XM19" s="172"/>
      <c r="XN19" s="172"/>
      <c r="XO19" s="172"/>
      <c r="XP19" s="172"/>
      <c r="XQ19" s="172"/>
      <c r="XR19" s="172"/>
      <c r="XS19" s="172"/>
      <c r="XT19" s="172"/>
      <c r="XU19" s="172"/>
      <c r="XV19" s="172"/>
      <c r="XW19" s="172"/>
      <c r="XX19" s="172"/>
      <c r="XY19" s="172"/>
      <c r="XZ19" s="172"/>
      <c r="YA19" s="172"/>
      <c r="YB19" s="172"/>
      <c r="YC19" s="172"/>
      <c r="YD19" s="172"/>
      <c r="YE19" s="172"/>
      <c r="YF19" s="172"/>
      <c r="YG19" s="172"/>
      <c r="YH19" s="172"/>
      <c r="YI19" s="172"/>
      <c r="YJ19" s="172"/>
      <c r="YK19" s="172"/>
      <c r="YL19" s="172"/>
      <c r="YM19" s="172"/>
      <c r="YN19" s="172"/>
      <c r="YO19" s="172"/>
      <c r="YP19" s="172"/>
      <c r="YQ19" s="172"/>
      <c r="YR19" s="172"/>
      <c r="YS19" s="172"/>
      <c r="YT19" s="172"/>
      <c r="YU19" s="172"/>
      <c r="YV19" s="172"/>
      <c r="YW19" s="172"/>
      <c r="YX19" s="172"/>
      <c r="YY19" s="172"/>
      <c r="YZ19" s="172"/>
      <c r="ZA19" s="172"/>
      <c r="ZB19" s="172"/>
      <c r="ZC19" s="172"/>
      <c r="ZD19" s="172"/>
      <c r="ZE19" s="172"/>
      <c r="ZF19" s="172"/>
      <c r="ZG19" s="172"/>
      <c r="ZH19" s="172"/>
      <c r="ZI19" s="172"/>
      <c r="ZJ19" s="172"/>
      <c r="ZK19" s="172"/>
      <c r="ZL19" s="172"/>
      <c r="ZM19" s="172"/>
      <c r="ZN19" s="172"/>
      <c r="ZO19" s="172"/>
      <c r="ZP19" s="172"/>
      <c r="ZQ19" s="172"/>
      <c r="ZR19" s="172"/>
      <c r="ZS19" s="172"/>
      <c r="ZT19" s="172"/>
      <c r="ZU19" s="172"/>
      <c r="ZV19" s="172"/>
      <c r="ZW19" s="172"/>
      <c r="ZX19" s="172"/>
      <c r="ZY19" s="172"/>
      <c r="ZZ19" s="172"/>
      <c r="AAA19" s="172"/>
      <c r="AAB19" s="172"/>
      <c r="AAC19" s="172"/>
      <c r="AAD19" s="172"/>
      <c r="AAE19" s="172"/>
      <c r="AAF19" s="172"/>
      <c r="AAG19" s="172"/>
      <c r="AAH19" s="172"/>
      <c r="AAI19" s="172"/>
      <c r="AAJ19" s="172"/>
      <c r="AAK19" s="172"/>
      <c r="AAL19" s="172"/>
      <c r="AAM19" s="172"/>
      <c r="AAN19" s="172"/>
      <c r="AAO19" s="172"/>
      <c r="AAP19" s="172"/>
      <c r="AAQ19" s="172"/>
      <c r="AAR19" s="172"/>
      <c r="AAS19" s="172"/>
      <c r="AAT19" s="172"/>
      <c r="AAU19" s="172"/>
      <c r="AAV19" s="172"/>
      <c r="AAW19" s="172"/>
      <c r="AAX19" s="172"/>
      <c r="AAY19" s="172"/>
      <c r="AAZ19" s="172"/>
      <c r="ABA19" s="172"/>
      <c r="ABB19" s="172"/>
      <c r="ABC19" s="172"/>
      <c r="ABD19" s="172"/>
      <c r="ABE19" s="172"/>
      <c r="ABF19" s="172"/>
      <c r="ABG19" s="172"/>
      <c r="ABH19" s="172"/>
      <c r="ABI19" s="172"/>
      <c r="ABJ19" s="172"/>
      <c r="ABK19" s="172"/>
      <c r="ABL19" s="172"/>
      <c r="ABM19" s="172"/>
      <c r="ABN19" s="172"/>
      <c r="ABO19" s="172"/>
      <c r="ABP19" s="172"/>
      <c r="ABQ19" s="172"/>
      <c r="ABR19" s="172"/>
      <c r="ABS19" s="172"/>
      <c r="ABT19" s="172"/>
      <c r="ABU19" s="172"/>
      <c r="ABV19" s="172"/>
      <c r="ABW19" s="172"/>
      <c r="ABX19" s="172"/>
      <c r="ABY19" s="172"/>
      <c r="ABZ19" s="172"/>
      <c r="ACA19" s="172"/>
      <c r="ACB19" s="172"/>
      <c r="ACC19" s="172"/>
      <c r="ACD19" s="172"/>
      <c r="ACE19" s="172"/>
      <c r="ACF19" s="172"/>
      <c r="ACG19" s="172"/>
      <c r="ACH19" s="172"/>
      <c r="ACI19" s="172"/>
      <c r="ACJ19" s="172"/>
      <c r="ACK19" s="172"/>
      <c r="ACL19" s="172"/>
      <c r="ACM19" s="172"/>
      <c r="ACN19" s="172"/>
      <c r="ACO19" s="172"/>
      <c r="ACP19" s="172"/>
      <c r="ACQ19" s="172"/>
      <c r="ACR19" s="172"/>
      <c r="ACS19" s="172"/>
      <c r="ACT19" s="172"/>
      <c r="ACU19" s="172"/>
      <c r="ACV19" s="172"/>
      <c r="ACW19" s="172"/>
      <c r="ACX19" s="172"/>
      <c r="ACY19" s="172"/>
      <c r="ACZ19" s="172"/>
      <c r="ADA19" s="172"/>
      <c r="ADB19" s="172"/>
      <c r="ADC19" s="172"/>
      <c r="ADD19" s="172"/>
      <c r="ADE19" s="172"/>
      <c r="ADF19" s="172"/>
      <c r="ADG19" s="172"/>
      <c r="ADH19" s="172"/>
      <c r="ADI19" s="172"/>
      <c r="ADJ19" s="172"/>
      <c r="ADK19" s="172"/>
      <c r="ADL19" s="172"/>
      <c r="ADM19" s="172"/>
      <c r="ADN19" s="172"/>
      <c r="ADO19" s="172"/>
      <c r="ADP19" s="172"/>
      <c r="ADQ19" s="172"/>
      <c r="ADR19" s="172"/>
      <c r="ADS19" s="172"/>
      <c r="ADT19" s="172"/>
      <c r="ADU19" s="172"/>
      <c r="ADV19" s="172"/>
      <c r="ADW19" s="172"/>
      <c r="ADX19" s="172"/>
      <c r="ADY19" s="172"/>
      <c r="ADZ19" s="172"/>
      <c r="AEA19" s="172"/>
      <c r="AEB19" s="172"/>
      <c r="AEC19" s="172"/>
      <c r="AED19" s="172"/>
      <c r="AEE19" s="172"/>
      <c r="AEF19" s="172"/>
      <c r="AEG19" s="172"/>
      <c r="AEH19" s="172"/>
      <c r="AEI19" s="172"/>
      <c r="AEJ19" s="172"/>
      <c r="AEK19" s="172"/>
      <c r="AEL19" s="172"/>
      <c r="AEM19" s="172"/>
      <c r="AEN19" s="172"/>
      <c r="AEO19" s="172"/>
      <c r="AEP19" s="172"/>
      <c r="AEQ19" s="172"/>
      <c r="AER19" s="172"/>
      <c r="AES19" s="172"/>
      <c r="AET19" s="172"/>
      <c r="AEU19" s="172"/>
      <c r="AEV19" s="172"/>
      <c r="AEW19" s="172"/>
      <c r="AEX19" s="172"/>
      <c r="AEY19" s="172"/>
      <c r="AEZ19" s="172"/>
      <c r="AFA19" s="172"/>
      <c r="AFB19" s="172"/>
      <c r="AFC19" s="172"/>
      <c r="AFD19" s="172"/>
      <c r="AFE19" s="172"/>
      <c r="AFF19" s="172"/>
      <c r="AFG19" s="172"/>
      <c r="AFH19" s="172"/>
      <c r="AFI19" s="172"/>
      <c r="AFJ19" s="172"/>
      <c r="AFK19" s="172"/>
      <c r="AFL19" s="172"/>
      <c r="AFM19" s="172"/>
      <c r="AFN19" s="172"/>
      <c r="AFO19" s="172"/>
      <c r="AFP19" s="172"/>
      <c r="AFQ19" s="172"/>
      <c r="AFR19" s="172"/>
      <c r="AFS19" s="172"/>
      <c r="AFT19" s="172"/>
      <c r="AFU19" s="172"/>
      <c r="AFV19" s="172"/>
      <c r="AFW19" s="172"/>
      <c r="AFX19" s="172"/>
      <c r="AFY19" s="172"/>
      <c r="AFZ19" s="172"/>
      <c r="AGA19" s="172"/>
      <c r="AGB19" s="172"/>
      <c r="AGC19" s="172"/>
      <c r="AGD19" s="172"/>
      <c r="AGE19" s="172"/>
      <c r="AGF19" s="172"/>
      <c r="AGG19" s="172"/>
      <c r="AGH19" s="172"/>
      <c r="AGI19" s="172"/>
      <c r="AGJ19" s="172"/>
      <c r="AGK19" s="172"/>
      <c r="AGL19" s="172"/>
      <c r="AGM19" s="172"/>
      <c r="AGN19" s="172"/>
      <c r="AGO19" s="172"/>
      <c r="AGP19" s="172"/>
      <c r="AGQ19" s="172"/>
      <c r="AGR19" s="172"/>
      <c r="AGS19" s="172"/>
      <c r="AGT19" s="172"/>
      <c r="AGU19" s="172"/>
      <c r="AGV19" s="172"/>
      <c r="AGW19" s="172"/>
      <c r="AGX19" s="172"/>
      <c r="AGY19" s="172"/>
      <c r="AGZ19" s="172"/>
      <c r="AHA19" s="172"/>
      <c r="AHB19" s="172"/>
      <c r="AHC19" s="172"/>
      <c r="AHD19" s="172"/>
      <c r="AHE19" s="172"/>
      <c r="AHF19" s="172"/>
      <c r="AHG19" s="172"/>
      <c r="AHH19" s="172"/>
      <c r="AHI19" s="172"/>
      <c r="AHJ19" s="172"/>
      <c r="AHK19" s="172"/>
      <c r="AHL19" s="172"/>
      <c r="AHM19" s="172"/>
      <c r="AHN19" s="172"/>
      <c r="AHO19" s="172"/>
      <c r="AHP19" s="172"/>
      <c r="AHQ19" s="172"/>
      <c r="AHR19" s="172"/>
      <c r="AHS19" s="172"/>
      <c r="AHT19" s="172"/>
      <c r="AHU19" s="172"/>
      <c r="AHV19" s="172"/>
      <c r="AHW19" s="172"/>
      <c r="AHX19" s="172"/>
      <c r="AHY19" s="172"/>
      <c r="AHZ19" s="172"/>
      <c r="AIA19" s="172"/>
      <c r="AIB19" s="172"/>
      <c r="AIC19" s="172"/>
      <c r="AID19" s="172"/>
      <c r="AIE19" s="172"/>
      <c r="AIF19" s="172"/>
      <c r="AIG19" s="172"/>
      <c r="AIH19" s="172"/>
      <c r="AII19" s="172"/>
      <c r="AIJ19" s="172"/>
      <c r="AIK19" s="172"/>
      <c r="AIL19" s="172"/>
      <c r="AIM19" s="172"/>
      <c r="AIN19" s="172"/>
      <c r="AIO19" s="172"/>
      <c r="AIP19" s="172"/>
      <c r="AIQ19" s="172"/>
      <c r="AIR19" s="172"/>
      <c r="AIS19" s="172"/>
      <c r="AIT19" s="172"/>
      <c r="AIU19" s="172"/>
      <c r="AIV19" s="172"/>
      <c r="AIW19" s="172"/>
      <c r="AIX19" s="172"/>
      <c r="AIY19" s="172"/>
      <c r="AIZ19" s="172"/>
      <c r="AJA19" s="172"/>
      <c r="AJB19" s="172"/>
      <c r="AJC19" s="172"/>
      <c r="AJD19" s="172"/>
      <c r="AJE19" s="172"/>
      <c r="AJF19" s="172"/>
      <c r="AJG19" s="172"/>
      <c r="AJH19" s="172"/>
      <c r="AJI19" s="172"/>
      <c r="AJJ19" s="172"/>
      <c r="AJK19" s="172"/>
      <c r="AJL19" s="172"/>
      <c r="AJM19" s="172"/>
      <c r="AJN19" s="172"/>
      <c r="AJO19" s="172"/>
      <c r="AJP19" s="172"/>
      <c r="AJQ19" s="172"/>
      <c r="AJR19" s="172"/>
      <c r="AJS19" s="172"/>
      <c r="AJT19" s="172"/>
      <c r="AJU19" s="172"/>
      <c r="AJV19" s="172"/>
      <c r="AJW19" s="172"/>
      <c r="AJX19" s="172"/>
      <c r="AJY19" s="172"/>
      <c r="AJZ19" s="172"/>
      <c r="AKA19" s="172"/>
      <c r="AKB19" s="172"/>
      <c r="AKC19" s="172"/>
      <c r="AKD19" s="172"/>
      <c r="AKE19" s="172"/>
      <c r="AKF19" s="172"/>
      <c r="AKG19" s="172"/>
      <c r="AKH19" s="172"/>
      <c r="AKI19" s="172"/>
      <c r="AKJ19" s="172"/>
      <c r="AKK19" s="172"/>
      <c r="AKL19" s="172"/>
      <c r="AKM19" s="172"/>
      <c r="AKN19" s="172"/>
      <c r="AKO19" s="172"/>
      <c r="AKP19" s="172"/>
      <c r="AKQ19" s="172"/>
      <c r="AKR19" s="172"/>
      <c r="AKS19" s="172"/>
      <c r="AKT19" s="172"/>
      <c r="AKU19" s="172"/>
      <c r="AKV19" s="172"/>
      <c r="AKW19" s="172"/>
      <c r="AKX19" s="172"/>
      <c r="AKY19" s="172"/>
      <c r="AKZ19" s="172"/>
      <c r="ALA19" s="172"/>
      <c r="ALB19" s="172"/>
      <c r="ALC19" s="172"/>
      <c r="ALD19" s="172"/>
      <c r="ALE19" s="172"/>
      <c r="ALF19" s="172"/>
      <c r="ALG19" s="172"/>
      <c r="ALH19" s="172"/>
      <c r="ALI19" s="172"/>
      <c r="ALJ19" s="172"/>
      <c r="ALK19" s="172"/>
      <c r="ALL19" s="172"/>
      <c r="ALM19" s="172"/>
      <c r="ALN19" s="172"/>
      <c r="ALO19" s="172"/>
      <c r="ALP19" s="172"/>
      <c r="ALQ19" s="172"/>
      <c r="ALR19" s="172"/>
      <c r="ALS19" s="172"/>
      <c r="ALT19" s="172"/>
      <c r="ALU19" s="172"/>
      <c r="ALV19" s="172"/>
      <c r="ALW19" s="172"/>
      <c r="ALX19" s="172"/>
      <c r="ALY19" s="172"/>
      <c r="ALZ19" s="172"/>
      <c r="AMA19" s="172"/>
      <c r="AMB19" s="172"/>
      <c r="AMC19" s="172"/>
      <c r="AMD19" s="172"/>
      <c r="AME19" s="158"/>
    </row>
    <row r="20" spans="1:1019" ht="15" customHeight="1">
      <c r="A20" s="168">
        <f t="shared" si="0"/>
        <v>15</v>
      </c>
      <c r="B20" s="175">
        <v>1619</v>
      </c>
      <c r="C20" s="168" t="s">
        <v>215</v>
      </c>
      <c r="D20" s="169">
        <f>'הנדסה '!D67</f>
        <v>200000</v>
      </c>
      <c r="E20" s="169">
        <f>'הנדסה '!E67</f>
        <v>200000</v>
      </c>
      <c r="F20" s="169">
        <f>'הנדסה '!F67</f>
        <v>0</v>
      </c>
      <c r="G20" s="169">
        <f>'הנדסה '!G67</f>
        <v>200000</v>
      </c>
      <c r="H20" s="169">
        <f>'הנדסה '!H67</f>
        <v>56838</v>
      </c>
      <c r="I20" s="169">
        <f>'הנדסה '!I67</f>
        <v>0</v>
      </c>
      <c r="J20" s="169">
        <f>'הנדסה '!J67</f>
        <v>43949.9</v>
      </c>
      <c r="K20" s="169">
        <f>'הנדסה '!K67</f>
        <v>43949.9</v>
      </c>
      <c r="L20" s="169">
        <f>'הנדסה '!L67</f>
        <v>100787.9</v>
      </c>
      <c r="M20" s="169">
        <f>'הנדסה '!M67</f>
        <v>99212.1</v>
      </c>
      <c r="N20" s="169">
        <f>'הנדסה '!N67</f>
        <v>0</v>
      </c>
      <c r="O20" s="169">
        <f>'הנדסה '!O67</f>
        <v>0</v>
      </c>
      <c r="P20" s="169">
        <f>'הנדסה '!P67</f>
        <v>99212.1</v>
      </c>
      <c r="Q20" s="169">
        <f>'הנדסה '!Q67</f>
        <v>0</v>
      </c>
      <c r="R20" s="169">
        <f>'הנדסה '!R67</f>
        <v>0</v>
      </c>
      <c r="S20" s="169">
        <f>'הנדסה '!S67</f>
        <v>0</v>
      </c>
      <c r="T20" s="169">
        <f>'הנדסה '!T67</f>
        <v>0</v>
      </c>
      <c r="U20" s="169">
        <f>'הנדסה '!U67</f>
        <v>0</v>
      </c>
      <c r="V20" s="169">
        <f>'הנדסה '!V67</f>
        <v>0</v>
      </c>
      <c r="W20" s="169">
        <f>'הנדסה '!W67</f>
        <v>0</v>
      </c>
      <c r="X20" s="169">
        <f>'הנדסה '!X67</f>
        <v>0</v>
      </c>
      <c r="Y20" s="169">
        <f>'הנדסה '!Y67</f>
        <v>0</v>
      </c>
      <c r="Z20" s="169">
        <f>'הנדסה '!Z67</f>
        <v>0</v>
      </c>
      <c r="AA20" s="659">
        <f>'הנדסה '!AA67</f>
        <v>732000</v>
      </c>
      <c r="AB20" s="157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  <c r="HG20" s="172"/>
      <c r="HH20" s="172"/>
      <c r="HI20" s="172"/>
      <c r="HJ20" s="172"/>
      <c r="HK20" s="172"/>
      <c r="HL20" s="172"/>
      <c r="HM20" s="172"/>
      <c r="HN20" s="172"/>
      <c r="HO20" s="172"/>
      <c r="HP20" s="172"/>
      <c r="HQ20" s="172"/>
      <c r="HR20" s="172"/>
      <c r="HS20" s="172"/>
      <c r="HT20" s="172"/>
      <c r="HU20" s="172"/>
      <c r="HV20" s="172"/>
      <c r="HW20" s="172"/>
      <c r="HX20" s="172"/>
      <c r="HY20" s="172"/>
      <c r="HZ20" s="172"/>
      <c r="IA20" s="172"/>
      <c r="IB20" s="172"/>
      <c r="IC20" s="172"/>
      <c r="ID20" s="172"/>
      <c r="IE20" s="172"/>
      <c r="IF20" s="172"/>
      <c r="IG20" s="172"/>
      <c r="IH20" s="172"/>
      <c r="II20" s="172"/>
      <c r="IJ20" s="172"/>
      <c r="IK20" s="172"/>
      <c r="IL20" s="172"/>
      <c r="IM20" s="172"/>
      <c r="IN20" s="172"/>
      <c r="IO20" s="172"/>
      <c r="IP20" s="172"/>
      <c r="IQ20" s="172"/>
      <c r="IR20" s="172"/>
      <c r="IS20" s="172"/>
      <c r="IT20" s="172"/>
      <c r="IU20" s="172"/>
      <c r="IV20" s="172"/>
      <c r="IW20" s="172"/>
      <c r="IX20" s="172"/>
      <c r="IY20" s="172"/>
      <c r="IZ20" s="172"/>
      <c r="JA20" s="172"/>
      <c r="JB20" s="172"/>
      <c r="JC20" s="172"/>
      <c r="JD20" s="172"/>
      <c r="JE20" s="172"/>
      <c r="JF20" s="172"/>
      <c r="JG20" s="172"/>
      <c r="JH20" s="172"/>
      <c r="JI20" s="172"/>
      <c r="JJ20" s="172"/>
      <c r="JK20" s="172"/>
      <c r="JL20" s="172"/>
      <c r="JM20" s="172"/>
      <c r="JN20" s="172"/>
      <c r="JO20" s="172"/>
      <c r="JP20" s="172"/>
      <c r="JQ20" s="172"/>
      <c r="JR20" s="172"/>
      <c r="JS20" s="172"/>
      <c r="JT20" s="172"/>
      <c r="JU20" s="172"/>
      <c r="JV20" s="172"/>
      <c r="JW20" s="172"/>
      <c r="JX20" s="172"/>
      <c r="JY20" s="172"/>
      <c r="JZ20" s="172"/>
      <c r="KA20" s="172"/>
      <c r="KB20" s="172"/>
      <c r="KC20" s="172"/>
      <c r="KD20" s="172"/>
      <c r="KE20" s="172"/>
      <c r="KF20" s="172"/>
      <c r="KG20" s="172"/>
      <c r="KH20" s="172"/>
      <c r="KI20" s="172"/>
      <c r="KJ20" s="172"/>
      <c r="KK20" s="172"/>
      <c r="KL20" s="172"/>
      <c r="KM20" s="172"/>
      <c r="KN20" s="172"/>
      <c r="KO20" s="172"/>
      <c r="KP20" s="172"/>
      <c r="KQ20" s="172"/>
      <c r="KR20" s="172"/>
      <c r="KS20" s="172"/>
      <c r="KT20" s="172"/>
      <c r="KU20" s="172"/>
      <c r="KV20" s="172"/>
      <c r="KW20" s="172"/>
      <c r="KX20" s="172"/>
      <c r="KY20" s="172"/>
      <c r="KZ20" s="172"/>
      <c r="LA20" s="172"/>
      <c r="LB20" s="172"/>
      <c r="LC20" s="172"/>
      <c r="LD20" s="172"/>
      <c r="LE20" s="172"/>
      <c r="LF20" s="172"/>
      <c r="LG20" s="172"/>
      <c r="LH20" s="172"/>
      <c r="LI20" s="172"/>
      <c r="LJ20" s="172"/>
      <c r="LK20" s="172"/>
      <c r="LL20" s="172"/>
      <c r="LM20" s="172"/>
      <c r="LN20" s="172"/>
      <c r="LO20" s="172"/>
      <c r="LP20" s="172"/>
      <c r="LQ20" s="172"/>
      <c r="LR20" s="172"/>
      <c r="LS20" s="172"/>
      <c r="LT20" s="172"/>
      <c r="LU20" s="172"/>
      <c r="LV20" s="172"/>
      <c r="LW20" s="172"/>
      <c r="LX20" s="172"/>
      <c r="LY20" s="172"/>
      <c r="LZ20" s="172"/>
      <c r="MA20" s="172"/>
      <c r="MB20" s="172"/>
      <c r="MC20" s="172"/>
      <c r="MD20" s="172"/>
      <c r="ME20" s="172"/>
      <c r="MF20" s="172"/>
      <c r="MG20" s="172"/>
      <c r="MH20" s="172"/>
      <c r="MI20" s="172"/>
      <c r="MJ20" s="172"/>
      <c r="MK20" s="172"/>
      <c r="ML20" s="172"/>
      <c r="MM20" s="172"/>
      <c r="MN20" s="172"/>
      <c r="MO20" s="172"/>
      <c r="MP20" s="172"/>
      <c r="MQ20" s="172"/>
      <c r="MR20" s="172"/>
      <c r="MS20" s="172"/>
      <c r="MT20" s="172"/>
      <c r="MU20" s="172"/>
      <c r="MV20" s="172"/>
      <c r="MW20" s="172"/>
      <c r="MX20" s="172"/>
      <c r="MY20" s="172"/>
      <c r="MZ20" s="172"/>
      <c r="NA20" s="172"/>
      <c r="NB20" s="172"/>
      <c r="NC20" s="172"/>
      <c r="ND20" s="172"/>
      <c r="NE20" s="172"/>
      <c r="NF20" s="172"/>
      <c r="NG20" s="172"/>
      <c r="NH20" s="172"/>
      <c r="NI20" s="172"/>
      <c r="NJ20" s="172"/>
      <c r="NK20" s="172"/>
      <c r="NL20" s="172"/>
      <c r="NM20" s="172"/>
      <c r="NN20" s="172"/>
      <c r="NO20" s="172"/>
      <c r="NP20" s="172"/>
      <c r="NQ20" s="172"/>
      <c r="NR20" s="172"/>
      <c r="NS20" s="172"/>
      <c r="NT20" s="172"/>
      <c r="NU20" s="172"/>
      <c r="NV20" s="172"/>
      <c r="NW20" s="172"/>
      <c r="NX20" s="172"/>
      <c r="NY20" s="172"/>
      <c r="NZ20" s="172"/>
      <c r="OA20" s="172"/>
      <c r="OB20" s="172"/>
      <c r="OC20" s="172"/>
      <c r="OD20" s="172"/>
      <c r="OE20" s="172"/>
      <c r="OF20" s="172"/>
      <c r="OG20" s="172"/>
      <c r="OH20" s="172"/>
      <c r="OI20" s="172"/>
      <c r="OJ20" s="172"/>
      <c r="OK20" s="172"/>
      <c r="OL20" s="172"/>
      <c r="OM20" s="172"/>
      <c r="ON20" s="172"/>
      <c r="OO20" s="172"/>
      <c r="OP20" s="172"/>
      <c r="OQ20" s="172"/>
      <c r="OR20" s="172"/>
      <c r="OS20" s="172"/>
      <c r="OT20" s="172"/>
      <c r="OU20" s="172"/>
      <c r="OV20" s="172"/>
      <c r="OW20" s="172"/>
      <c r="OX20" s="172"/>
      <c r="OY20" s="172"/>
      <c r="OZ20" s="172"/>
      <c r="PA20" s="172"/>
      <c r="PB20" s="172"/>
      <c r="PC20" s="172"/>
      <c r="PD20" s="172"/>
      <c r="PE20" s="172"/>
      <c r="PF20" s="172"/>
      <c r="PG20" s="172"/>
      <c r="PH20" s="172"/>
      <c r="PI20" s="172"/>
      <c r="PJ20" s="172"/>
      <c r="PK20" s="172"/>
      <c r="PL20" s="172"/>
      <c r="PM20" s="172"/>
      <c r="PN20" s="172"/>
      <c r="PO20" s="172"/>
      <c r="PP20" s="172"/>
      <c r="PQ20" s="172"/>
      <c r="PR20" s="172"/>
      <c r="PS20" s="172"/>
      <c r="PT20" s="172"/>
      <c r="PU20" s="172"/>
      <c r="PV20" s="172"/>
      <c r="PW20" s="172"/>
      <c r="PX20" s="172"/>
      <c r="PY20" s="172"/>
      <c r="PZ20" s="172"/>
      <c r="QA20" s="172"/>
      <c r="QB20" s="172"/>
      <c r="QC20" s="172"/>
      <c r="QD20" s="172"/>
      <c r="QE20" s="172"/>
      <c r="QF20" s="172"/>
      <c r="QG20" s="172"/>
      <c r="QH20" s="172"/>
      <c r="QI20" s="172"/>
      <c r="QJ20" s="172"/>
      <c r="QK20" s="172"/>
      <c r="QL20" s="172"/>
      <c r="QM20" s="172"/>
      <c r="QN20" s="172"/>
      <c r="QO20" s="172"/>
      <c r="QP20" s="172"/>
      <c r="QQ20" s="172"/>
      <c r="QR20" s="172"/>
      <c r="QS20" s="172"/>
      <c r="QT20" s="172"/>
      <c r="QU20" s="172"/>
      <c r="QV20" s="172"/>
      <c r="QW20" s="172"/>
      <c r="QX20" s="172"/>
      <c r="QY20" s="172"/>
      <c r="QZ20" s="172"/>
      <c r="RA20" s="172"/>
      <c r="RB20" s="172"/>
      <c r="RC20" s="172"/>
      <c r="RD20" s="172"/>
      <c r="RE20" s="172"/>
      <c r="RF20" s="172"/>
      <c r="RG20" s="172"/>
      <c r="RH20" s="172"/>
      <c r="RI20" s="172"/>
      <c r="RJ20" s="172"/>
      <c r="RK20" s="172"/>
      <c r="RL20" s="172"/>
      <c r="RM20" s="172"/>
      <c r="RN20" s="172"/>
      <c r="RO20" s="172"/>
      <c r="RP20" s="172"/>
      <c r="RQ20" s="172"/>
      <c r="RR20" s="172"/>
      <c r="RS20" s="172"/>
      <c r="RT20" s="172"/>
      <c r="RU20" s="172"/>
      <c r="RV20" s="172"/>
      <c r="RW20" s="172"/>
      <c r="RX20" s="172"/>
      <c r="RY20" s="172"/>
      <c r="RZ20" s="172"/>
      <c r="SA20" s="172"/>
      <c r="SB20" s="172"/>
      <c r="SC20" s="172"/>
      <c r="SD20" s="172"/>
      <c r="SE20" s="172"/>
      <c r="SF20" s="172"/>
      <c r="SG20" s="172"/>
      <c r="SH20" s="172"/>
      <c r="SI20" s="172"/>
      <c r="SJ20" s="172"/>
      <c r="SK20" s="172"/>
      <c r="SL20" s="172"/>
      <c r="SM20" s="172"/>
      <c r="SN20" s="172"/>
      <c r="SO20" s="172"/>
      <c r="SP20" s="172"/>
      <c r="SQ20" s="172"/>
      <c r="SR20" s="172"/>
      <c r="SS20" s="172"/>
      <c r="ST20" s="172"/>
      <c r="SU20" s="172"/>
      <c r="SV20" s="172"/>
      <c r="SW20" s="172"/>
      <c r="SX20" s="172"/>
      <c r="SY20" s="172"/>
      <c r="SZ20" s="172"/>
      <c r="TA20" s="172"/>
      <c r="TB20" s="172"/>
      <c r="TC20" s="172"/>
      <c r="TD20" s="172"/>
      <c r="TE20" s="172"/>
      <c r="TF20" s="172"/>
      <c r="TG20" s="172"/>
      <c r="TH20" s="172"/>
      <c r="TI20" s="172"/>
      <c r="TJ20" s="172"/>
      <c r="TK20" s="172"/>
      <c r="TL20" s="172"/>
      <c r="TM20" s="172"/>
      <c r="TN20" s="172"/>
      <c r="TO20" s="172"/>
      <c r="TP20" s="172"/>
      <c r="TQ20" s="172"/>
      <c r="TR20" s="172"/>
      <c r="TS20" s="172"/>
      <c r="TT20" s="172"/>
      <c r="TU20" s="172"/>
      <c r="TV20" s="172"/>
      <c r="TW20" s="172"/>
      <c r="TX20" s="172"/>
      <c r="TY20" s="172"/>
      <c r="TZ20" s="172"/>
      <c r="UA20" s="172"/>
      <c r="UB20" s="172"/>
      <c r="UC20" s="172"/>
      <c r="UD20" s="172"/>
      <c r="UE20" s="172"/>
      <c r="UF20" s="172"/>
      <c r="UG20" s="172"/>
      <c r="UH20" s="172"/>
      <c r="UI20" s="172"/>
      <c r="UJ20" s="172"/>
      <c r="UK20" s="172"/>
      <c r="UL20" s="172"/>
      <c r="UM20" s="172"/>
      <c r="UN20" s="172"/>
      <c r="UO20" s="172"/>
      <c r="UP20" s="172"/>
      <c r="UQ20" s="172"/>
      <c r="UR20" s="172"/>
      <c r="US20" s="172"/>
      <c r="UT20" s="172"/>
      <c r="UU20" s="172"/>
      <c r="UV20" s="172"/>
      <c r="UW20" s="172"/>
      <c r="UX20" s="172"/>
      <c r="UY20" s="172"/>
      <c r="UZ20" s="172"/>
      <c r="VA20" s="172"/>
      <c r="VB20" s="172"/>
      <c r="VC20" s="172"/>
      <c r="VD20" s="172"/>
      <c r="VE20" s="172"/>
      <c r="VF20" s="172"/>
      <c r="VG20" s="172"/>
      <c r="VH20" s="172"/>
      <c r="VI20" s="172"/>
      <c r="VJ20" s="172"/>
      <c r="VK20" s="172"/>
      <c r="VL20" s="172"/>
      <c r="VM20" s="172"/>
      <c r="VN20" s="172"/>
      <c r="VO20" s="172"/>
      <c r="VP20" s="172"/>
      <c r="VQ20" s="172"/>
      <c r="VR20" s="172"/>
      <c r="VS20" s="172"/>
      <c r="VT20" s="172"/>
      <c r="VU20" s="172"/>
      <c r="VV20" s="172"/>
      <c r="VW20" s="172"/>
      <c r="VX20" s="172"/>
      <c r="VY20" s="172"/>
      <c r="VZ20" s="172"/>
      <c r="WA20" s="172"/>
      <c r="WB20" s="172"/>
      <c r="WC20" s="172"/>
      <c r="WD20" s="172"/>
      <c r="WE20" s="172"/>
      <c r="WF20" s="172"/>
      <c r="WG20" s="172"/>
      <c r="WH20" s="172"/>
      <c r="WI20" s="172"/>
      <c r="WJ20" s="172"/>
      <c r="WK20" s="172"/>
      <c r="WL20" s="172"/>
      <c r="WM20" s="172"/>
      <c r="WN20" s="172"/>
      <c r="WO20" s="172"/>
      <c r="WP20" s="172"/>
      <c r="WQ20" s="172"/>
      <c r="WR20" s="172"/>
      <c r="WS20" s="172"/>
      <c r="WT20" s="172"/>
      <c r="WU20" s="172"/>
      <c r="WV20" s="172"/>
      <c r="WW20" s="172"/>
      <c r="WX20" s="172"/>
      <c r="WY20" s="172"/>
      <c r="WZ20" s="172"/>
      <c r="XA20" s="172"/>
      <c r="XB20" s="172"/>
      <c r="XC20" s="172"/>
      <c r="XD20" s="172"/>
      <c r="XE20" s="172"/>
      <c r="XF20" s="172"/>
      <c r="XG20" s="172"/>
      <c r="XH20" s="172"/>
      <c r="XI20" s="172"/>
      <c r="XJ20" s="172"/>
      <c r="XK20" s="172"/>
      <c r="XL20" s="172"/>
      <c r="XM20" s="172"/>
      <c r="XN20" s="172"/>
      <c r="XO20" s="172"/>
      <c r="XP20" s="172"/>
      <c r="XQ20" s="172"/>
      <c r="XR20" s="172"/>
      <c r="XS20" s="172"/>
      <c r="XT20" s="172"/>
      <c r="XU20" s="172"/>
      <c r="XV20" s="172"/>
      <c r="XW20" s="172"/>
      <c r="XX20" s="172"/>
      <c r="XY20" s="172"/>
      <c r="XZ20" s="172"/>
      <c r="YA20" s="172"/>
      <c r="YB20" s="172"/>
      <c r="YC20" s="172"/>
      <c r="YD20" s="172"/>
      <c r="YE20" s="172"/>
      <c r="YF20" s="172"/>
      <c r="YG20" s="172"/>
      <c r="YH20" s="172"/>
      <c r="YI20" s="172"/>
      <c r="YJ20" s="172"/>
      <c r="YK20" s="172"/>
      <c r="YL20" s="172"/>
      <c r="YM20" s="172"/>
      <c r="YN20" s="172"/>
      <c r="YO20" s="172"/>
      <c r="YP20" s="172"/>
      <c r="YQ20" s="172"/>
      <c r="YR20" s="172"/>
      <c r="YS20" s="172"/>
      <c r="YT20" s="172"/>
      <c r="YU20" s="172"/>
      <c r="YV20" s="172"/>
      <c r="YW20" s="172"/>
      <c r="YX20" s="172"/>
      <c r="YY20" s="172"/>
      <c r="YZ20" s="172"/>
      <c r="ZA20" s="172"/>
      <c r="ZB20" s="172"/>
      <c r="ZC20" s="172"/>
      <c r="ZD20" s="172"/>
      <c r="ZE20" s="172"/>
      <c r="ZF20" s="172"/>
      <c r="ZG20" s="172"/>
      <c r="ZH20" s="172"/>
      <c r="ZI20" s="172"/>
      <c r="ZJ20" s="172"/>
      <c r="ZK20" s="172"/>
      <c r="ZL20" s="172"/>
      <c r="ZM20" s="172"/>
      <c r="ZN20" s="172"/>
      <c r="ZO20" s="172"/>
      <c r="ZP20" s="172"/>
      <c r="ZQ20" s="172"/>
      <c r="ZR20" s="172"/>
      <c r="ZS20" s="172"/>
      <c r="ZT20" s="172"/>
      <c r="ZU20" s="172"/>
      <c r="ZV20" s="172"/>
      <c r="ZW20" s="172"/>
      <c r="ZX20" s="172"/>
      <c r="ZY20" s="172"/>
      <c r="ZZ20" s="172"/>
      <c r="AAA20" s="172"/>
      <c r="AAB20" s="172"/>
      <c r="AAC20" s="172"/>
      <c r="AAD20" s="172"/>
      <c r="AAE20" s="172"/>
      <c r="AAF20" s="172"/>
      <c r="AAG20" s="172"/>
      <c r="AAH20" s="172"/>
      <c r="AAI20" s="172"/>
      <c r="AAJ20" s="172"/>
      <c r="AAK20" s="172"/>
      <c r="AAL20" s="172"/>
      <c r="AAM20" s="172"/>
      <c r="AAN20" s="172"/>
      <c r="AAO20" s="172"/>
      <c r="AAP20" s="172"/>
      <c r="AAQ20" s="172"/>
      <c r="AAR20" s="172"/>
      <c r="AAS20" s="172"/>
      <c r="AAT20" s="172"/>
      <c r="AAU20" s="172"/>
      <c r="AAV20" s="172"/>
      <c r="AAW20" s="172"/>
      <c r="AAX20" s="172"/>
      <c r="AAY20" s="172"/>
      <c r="AAZ20" s="172"/>
      <c r="ABA20" s="172"/>
      <c r="ABB20" s="172"/>
      <c r="ABC20" s="172"/>
      <c r="ABD20" s="172"/>
      <c r="ABE20" s="172"/>
      <c r="ABF20" s="172"/>
      <c r="ABG20" s="172"/>
      <c r="ABH20" s="172"/>
      <c r="ABI20" s="172"/>
      <c r="ABJ20" s="172"/>
      <c r="ABK20" s="172"/>
      <c r="ABL20" s="172"/>
      <c r="ABM20" s="172"/>
      <c r="ABN20" s="172"/>
      <c r="ABO20" s="172"/>
      <c r="ABP20" s="172"/>
      <c r="ABQ20" s="172"/>
      <c r="ABR20" s="172"/>
      <c r="ABS20" s="172"/>
      <c r="ABT20" s="172"/>
      <c r="ABU20" s="172"/>
      <c r="ABV20" s="172"/>
      <c r="ABW20" s="172"/>
      <c r="ABX20" s="172"/>
      <c r="ABY20" s="172"/>
      <c r="ABZ20" s="172"/>
      <c r="ACA20" s="172"/>
      <c r="ACB20" s="172"/>
      <c r="ACC20" s="172"/>
      <c r="ACD20" s="172"/>
      <c r="ACE20" s="172"/>
      <c r="ACF20" s="172"/>
      <c r="ACG20" s="172"/>
      <c r="ACH20" s="172"/>
      <c r="ACI20" s="172"/>
      <c r="ACJ20" s="172"/>
      <c r="ACK20" s="172"/>
      <c r="ACL20" s="172"/>
      <c r="ACM20" s="172"/>
      <c r="ACN20" s="172"/>
      <c r="ACO20" s="172"/>
      <c r="ACP20" s="172"/>
      <c r="ACQ20" s="172"/>
      <c r="ACR20" s="172"/>
      <c r="ACS20" s="172"/>
      <c r="ACT20" s="172"/>
      <c r="ACU20" s="172"/>
      <c r="ACV20" s="172"/>
      <c r="ACW20" s="172"/>
      <c r="ACX20" s="172"/>
      <c r="ACY20" s="172"/>
      <c r="ACZ20" s="172"/>
      <c r="ADA20" s="172"/>
      <c r="ADB20" s="172"/>
      <c r="ADC20" s="172"/>
      <c r="ADD20" s="172"/>
      <c r="ADE20" s="172"/>
      <c r="ADF20" s="172"/>
      <c r="ADG20" s="172"/>
      <c r="ADH20" s="172"/>
      <c r="ADI20" s="172"/>
      <c r="ADJ20" s="172"/>
      <c r="ADK20" s="172"/>
      <c r="ADL20" s="172"/>
      <c r="ADM20" s="172"/>
      <c r="ADN20" s="172"/>
      <c r="ADO20" s="172"/>
      <c r="ADP20" s="172"/>
      <c r="ADQ20" s="172"/>
      <c r="ADR20" s="172"/>
      <c r="ADS20" s="172"/>
      <c r="ADT20" s="172"/>
      <c r="ADU20" s="172"/>
      <c r="ADV20" s="172"/>
      <c r="ADW20" s="172"/>
      <c r="ADX20" s="172"/>
      <c r="ADY20" s="172"/>
      <c r="ADZ20" s="172"/>
      <c r="AEA20" s="172"/>
      <c r="AEB20" s="172"/>
      <c r="AEC20" s="172"/>
      <c r="AED20" s="172"/>
      <c r="AEE20" s="172"/>
      <c r="AEF20" s="172"/>
      <c r="AEG20" s="172"/>
      <c r="AEH20" s="172"/>
      <c r="AEI20" s="172"/>
      <c r="AEJ20" s="172"/>
      <c r="AEK20" s="172"/>
      <c r="AEL20" s="172"/>
      <c r="AEM20" s="172"/>
      <c r="AEN20" s="172"/>
      <c r="AEO20" s="172"/>
      <c r="AEP20" s="172"/>
      <c r="AEQ20" s="172"/>
      <c r="AER20" s="172"/>
      <c r="AES20" s="172"/>
      <c r="AET20" s="172"/>
      <c r="AEU20" s="172"/>
      <c r="AEV20" s="172"/>
      <c r="AEW20" s="172"/>
      <c r="AEX20" s="172"/>
      <c r="AEY20" s="172"/>
      <c r="AEZ20" s="172"/>
      <c r="AFA20" s="172"/>
      <c r="AFB20" s="172"/>
      <c r="AFC20" s="172"/>
      <c r="AFD20" s="172"/>
      <c r="AFE20" s="172"/>
      <c r="AFF20" s="172"/>
      <c r="AFG20" s="172"/>
      <c r="AFH20" s="172"/>
      <c r="AFI20" s="172"/>
      <c r="AFJ20" s="172"/>
      <c r="AFK20" s="172"/>
      <c r="AFL20" s="172"/>
      <c r="AFM20" s="172"/>
      <c r="AFN20" s="172"/>
      <c r="AFO20" s="172"/>
      <c r="AFP20" s="172"/>
      <c r="AFQ20" s="172"/>
      <c r="AFR20" s="172"/>
      <c r="AFS20" s="172"/>
      <c r="AFT20" s="172"/>
      <c r="AFU20" s="172"/>
      <c r="AFV20" s="172"/>
      <c r="AFW20" s="172"/>
      <c r="AFX20" s="172"/>
      <c r="AFY20" s="172"/>
      <c r="AFZ20" s="172"/>
      <c r="AGA20" s="172"/>
      <c r="AGB20" s="172"/>
      <c r="AGC20" s="172"/>
      <c r="AGD20" s="172"/>
      <c r="AGE20" s="172"/>
      <c r="AGF20" s="172"/>
      <c r="AGG20" s="172"/>
      <c r="AGH20" s="172"/>
      <c r="AGI20" s="172"/>
      <c r="AGJ20" s="172"/>
      <c r="AGK20" s="172"/>
      <c r="AGL20" s="172"/>
      <c r="AGM20" s="172"/>
      <c r="AGN20" s="172"/>
      <c r="AGO20" s="172"/>
      <c r="AGP20" s="172"/>
      <c r="AGQ20" s="172"/>
      <c r="AGR20" s="172"/>
      <c r="AGS20" s="172"/>
      <c r="AGT20" s="172"/>
      <c r="AGU20" s="172"/>
      <c r="AGV20" s="172"/>
      <c r="AGW20" s="172"/>
      <c r="AGX20" s="172"/>
      <c r="AGY20" s="172"/>
      <c r="AGZ20" s="172"/>
      <c r="AHA20" s="172"/>
      <c r="AHB20" s="172"/>
      <c r="AHC20" s="172"/>
      <c r="AHD20" s="172"/>
      <c r="AHE20" s="172"/>
      <c r="AHF20" s="172"/>
      <c r="AHG20" s="172"/>
      <c r="AHH20" s="172"/>
      <c r="AHI20" s="172"/>
      <c r="AHJ20" s="172"/>
      <c r="AHK20" s="172"/>
      <c r="AHL20" s="172"/>
      <c r="AHM20" s="172"/>
      <c r="AHN20" s="172"/>
      <c r="AHO20" s="172"/>
      <c r="AHP20" s="172"/>
      <c r="AHQ20" s="172"/>
      <c r="AHR20" s="172"/>
      <c r="AHS20" s="172"/>
      <c r="AHT20" s="172"/>
      <c r="AHU20" s="172"/>
      <c r="AHV20" s="172"/>
      <c r="AHW20" s="172"/>
      <c r="AHX20" s="172"/>
      <c r="AHY20" s="172"/>
      <c r="AHZ20" s="172"/>
      <c r="AIA20" s="172"/>
      <c r="AIB20" s="172"/>
      <c r="AIC20" s="172"/>
      <c r="AID20" s="172"/>
      <c r="AIE20" s="172"/>
      <c r="AIF20" s="172"/>
      <c r="AIG20" s="172"/>
      <c r="AIH20" s="172"/>
      <c r="AII20" s="172"/>
      <c r="AIJ20" s="172"/>
      <c r="AIK20" s="172"/>
      <c r="AIL20" s="172"/>
      <c r="AIM20" s="172"/>
      <c r="AIN20" s="172"/>
      <c r="AIO20" s="172"/>
      <c r="AIP20" s="172"/>
      <c r="AIQ20" s="172"/>
      <c r="AIR20" s="172"/>
      <c r="AIS20" s="172"/>
      <c r="AIT20" s="172"/>
      <c r="AIU20" s="172"/>
      <c r="AIV20" s="172"/>
      <c r="AIW20" s="172"/>
      <c r="AIX20" s="172"/>
      <c r="AIY20" s="172"/>
      <c r="AIZ20" s="172"/>
      <c r="AJA20" s="172"/>
      <c r="AJB20" s="172"/>
      <c r="AJC20" s="172"/>
      <c r="AJD20" s="172"/>
      <c r="AJE20" s="172"/>
      <c r="AJF20" s="172"/>
      <c r="AJG20" s="172"/>
      <c r="AJH20" s="172"/>
      <c r="AJI20" s="172"/>
      <c r="AJJ20" s="172"/>
      <c r="AJK20" s="172"/>
      <c r="AJL20" s="172"/>
      <c r="AJM20" s="172"/>
      <c r="AJN20" s="172"/>
      <c r="AJO20" s="172"/>
      <c r="AJP20" s="172"/>
      <c r="AJQ20" s="172"/>
      <c r="AJR20" s="172"/>
      <c r="AJS20" s="172"/>
      <c r="AJT20" s="172"/>
      <c r="AJU20" s="172"/>
      <c r="AJV20" s="172"/>
      <c r="AJW20" s="172"/>
      <c r="AJX20" s="172"/>
      <c r="AJY20" s="172"/>
      <c r="AJZ20" s="172"/>
      <c r="AKA20" s="172"/>
      <c r="AKB20" s="172"/>
      <c r="AKC20" s="172"/>
      <c r="AKD20" s="172"/>
      <c r="AKE20" s="172"/>
      <c r="AKF20" s="172"/>
      <c r="AKG20" s="172"/>
      <c r="AKH20" s="172"/>
      <c r="AKI20" s="172"/>
      <c r="AKJ20" s="172"/>
      <c r="AKK20" s="172"/>
      <c r="AKL20" s="172"/>
      <c r="AKM20" s="172"/>
      <c r="AKN20" s="172"/>
      <c r="AKO20" s="172"/>
      <c r="AKP20" s="172"/>
      <c r="AKQ20" s="172"/>
      <c r="AKR20" s="172"/>
      <c r="AKS20" s="172"/>
      <c r="AKT20" s="172"/>
      <c r="AKU20" s="172"/>
      <c r="AKV20" s="172"/>
      <c r="AKW20" s="172"/>
      <c r="AKX20" s="172"/>
      <c r="AKY20" s="172"/>
      <c r="AKZ20" s="172"/>
      <c r="ALA20" s="172"/>
      <c r="ALB20" s="172"/>
      <c r="ALC20" s="172"/>
      <c r="ALD20" s="172"/>
      <c r="ALE20" s="172"/>
      <c r="ALF20" s="172"/>
      <c r="ALG20" s="172"/>
      <c r="ALH20" s="172"/>
      <c r="ALI20" s="172"/>
      <c r="ALJ20" s="172"/>
      <c r="ALK20" s="172"/>
      <c r="ALL20" s="172"/>
      <c r="ALM20" s="172"/>
      <c r="ALN20" s="172"/>
      <c r="ALO20" s="172"/>
      <c r="ALP20" s="172"/>
      <c r="ALQ20" s="172"/>
      <c r="ALR20" s="172"/>
      <c r="ALS20" s="172"/>
      <c r="ALT20" s="172"/>
      <c r="ALU20" s="172"/>
      <c r="ALV20" s="172"/>
      <c r="ALW20" s="172"/>
      <c r="ALX20" s="172"/>
      <c r="ALY20" s="172"/>
      <c r="ALZ20" s="172"/>
      <c r="AMA20" s="172"/>
      <c r="AMB20" s="172"/>
      <c r="AMC20" s="172"/>
      <c r="AMD20" s="172"/>
    </row>
    <row r="21" spans="1:1019" s="174" customFormat="1">
      <c r="A21" s="168">
        <f t="shared" si="0"/>
        <v>16</v>
      </c>
      <c r="B21" s="175">
        <v>1620</v>
      </c>
      <c r="C21" s="168" t="s">
        <v>22</v>
      </c>
      <c r="D21" s="169">
        <f>'הנדסה '!D68</f>
        <v>1000000</v>
      </c>
      <c r="E21" s="169">
        <f>'הנדסה '!E68</f>
        <v>1000000</v>
      </c>
      <c r="F21" s="169">
        <f>'הנדסה '!F68</f>
        <v>0</v>
      </c>
      <c r="G21" s="169">
        <f>'הנדסה '!G68</f>
        <v>100000</v>
      </c>
      <c r="H21" s="169">
        <f>'הנדסה '!H68</f>
        <v>0</v>
      </c>
      <c r="I21" s="169">
        <f>'הנדסה '!I68</f>
        <v>0</v>
      </c>
      <c r="J21" s="169">
        <f>'הנדסה '!J68</f>
        <v>0</v>
      </c>
      <c r="K21" s="169">
        <f>'הנדסה '!K68</f>
        <v>0</v>
      </c>
      <c r="L21" s="169">
        <f>'הנדסה '!L68</f>
        <v>0</v>
      </c>
      <c r="M21" s="169">
        <f>'הנדסה '!M68</f>
        <v>100000</v>
      </c>
      <c r="N21" s="169">
        <f>'הנדסה '!N68</f>
        <v>0</v>
      </c>
      <c r="O21" s="169">
        <f>'הנדסה '!O68</f>
        <v>900000</v>
      </c>
      <c r="P21" s="169">
        <f>'הנדסה '!P68</f>
        <v>100000</v>
      </c>
      <c r="Q21" s="169">
        <f>'הנדסה '!Q68</f>
        <v>0</v>
      </c>
      <c r="R21" s="169">
        <f>'הנדסה '!R68</f>
        <v>0</v>
      </c>
      <c r="S21" s="169">
        <f>'הנדסה '!S68</f>
        <v>0</v>
      </c>
      <c r="T21" s="169">
        <f>'הנדסה '!T68</f>
        <v>0</v>
      </c>
      <c r="U21" s="169">
        <f>'הנדסה '!U68</f>
        <v>0</v>
      </c>
      <c r="V21" s="169">
        <f>'הנדסה '!V68</f>
        <v>0</v>
      </c>
      <c r="W21" s="169">
        <f>'הנדסה '!W68</f>
        <v>0</v>
      </c>
      <c r="X21" s="169">
        <f>'הנדסה '!X68</f>
        <v>0</v>
      </c>
      <c r="Y21" s="169">
        <f>'הנדסה '!Y68</f>
        <v>0</v>
      </c>
      <c r="Z21" s="169">
        <f>'הנדסה '!Z68</f>
        <v>0</v>
      </c>
      <c r="AA21" s="659">
        <f>'הנדסה '!AA68</f>
        <v>732000</v>
      </c>
      <c r="AB21" s="157"/>
      <c r="AC21" s="157"/>
      <c r="AD21" s="157"/>
      <c r="AE21" s="157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  <c r="GO21" s="176"/>
      <c r="GP21" s="176"/>
      <c r="GQ21" s="176"/>
      <c r="GR21" s="176"/>
      <c r="GS21" s="176"/>
      <c r="GT21" s="176"/>
      <c r="GU21" s="176"/>
      <c r="GV21" s="176"/>
      <c r="GW21" s="176"/>
      <c r="GX21" s="176"/>
      <c r="GY21" s="176"/>
      <c r="GZ21" s="176"/>
      <c r="HA21" s="176"/>
      <c r="HB21" s="176"/>
      <c r="HC21" s="176"/>
      <c r="HD21" s="176"/>
      <c r="HE21" s="176"/>
      <c r="HF21" s="176"/>
      <c r="HG21" s="176"/>
      <c r="HH21" s="176"/>
      <c r="HI21" s="176"/>
      <c r="HJ21" s="176"/>
      <c r="HK21" s="176"/>
      <c r="HL21" s="176"/>
      <c r="HM21" s="176"/>
      <c r="HN21" s="176"/>
      <c r="HO21" s="176"/>
      <c r="HP21" s="176"/>
      <c r="HQ21" s="176"/>
      <c r="HR21" s="176"/>
      <c r="HS21" s="176"/>
      <c r="HT21" s="176"/>
      <c r="HU21" s="176"/>
      <c r="HV21" s="176"/>
      <c r="HW21" s="176"/>
      <c r="HX21" s="176"/>
      <c r="HY21" s="176"/>
      <c r="HZ21" s="176"/>
      <c r="IA21" s="176"/>
      <c r="IB21" s="176"/>
      <c r="IC21" s="176"/>
      <c r="ID21" s="176"/>
      <c r="IE21" s="176"/>
      <c r="IF21" s="176"/>
      <c r="IG21" s="176"/>
      <c r="IH21" s="176"/>
      <c r="II21" s="176"/>
      <c r="IJ21" s="176"/>
      <c r="IK21" s="176"/>
      <c r="IL21" s="176"/>
      <c r="IM21" s="176"/>
      <c r="IN21" s="176"/>
      <c r="IO21" s="176"/>
      <c r="IP21" s="176"/>
      <c r="IQ21" s="176"/>
      <c r="IR21" s="176"/>
      <c r="IS21" s="176"/>
      <c r="IT21" s="176"/>
      <c r="IU21" s="176"/>
      <c r="IV21" s="176"/>
      <c r="IW21" s="176"/>
      <c r="IX21" s="176"/>
      <c r="IY21" s="176"/>
      <c r="IZ21" s="176"/>
      <c r="JA21" s="176"/>
      <c r="JB21" s="176"/>
      <c r="JC21" s="176"/>
      <c r="JD21" s="176"/>
      <c r="JE21" s="176"/>
      <c r="JF21" s="176"/>
      <c r="JG21" s="176"/>
      <c r="JH21" s="176"/>
      <c r="JI21" s="176"/>
      <c r="JJ21" s="176"/>
      <c r="JK21" s="176"/>
      <c r="JL21" s="176"/>
      <c r="JM21" s="176"/>
      <c r="JN21" s="176"/>
      <c r="JO21" s="176"/>
      <c r="JP21" s="176"/>
      <c r="JQ21" s="176"/>
      <c r="JR21" s="176"/>
      <c r="JS21" s="176"/>
      <c r="JT21" s="176"/>
      <c r="JU21" s="176"/>
      <c r="JV21" s="176"/>
      <c r="JW21" s="176"/>
      <c r="JX21" s="176"/>
      <c r="JY21" s="176"/>
      <c r="JZ21" s="176"/>
      <c r="KA21" s="176"/>
      <c r="KB21" s="176"/>
      <c r="KC21" s="176"/>
      <c r="KD21" s="176"/>
      <c r="KE21" s="176"/>
      <c r="KF21" s="176"/>
      <c r="KG21" s="176"/>
      <c r="KH21" s="176"/>
      <c r="KI21" s="176"/>
      <c r="KJ21" s="176"/>
      <c r="KK21" s="176"/>
      <c r="KL21" s="176"/>
      <c r="KM21" s="176"/>
      <c r="KN21" s="176"/>
      <c r="KO21" s="176"/>
      <c r="KP21" s="176"/>
      <c r="KQ21" s="176"/>
      <c r="KR21" s="176"/>
      <c r="KS21" s="176"/>
      <c r="KT21" s="176"/>
      <c r="KU21" s="176"/>
      <c r="KV21" s="176"/>
      <c r="KW21" s="176"/>
      <c r="KX21" s="176"/>
      <c r="KY21" s="176"/>
      <c r="KZ21" s="176"/>
      <c r="LA21" s="176"/>
      <c r="LB21" s="176"/>
      <c r="LC21" s="176"/>
      <c r="LD21" s="176"/>
      <c r="LE21" s="176"/>
      <c r="LF21" s="176"/>
      <c r="LG21" s="176"/>
      <c r="LH21" s="176"/>
      <c r="LI21" s="176"/>
      <c r="LJ21" s="176"/>
      <c r="LK21" s="176"/>
      <c r="LL21" s="176"/>
      <c r="LM21" s="176"/>
      <c r="LN21" s="176"/>
      <c r="LO21" s="176"/>
      <c r="LP21" s="176"/>
      <c r="LQ21" s="176"/>
      <c r="LR21" s="176"/>
      <c r="LS21" s="176"/>
      <c r="LT21" s="176"/>
      <c r="LU21" s="176"/>
      <c r="LV21" s="176"/>
      <c r="LW21" s="176"/>
      <c r="LX21" s="176"/>
      <c r="LY21" s="176"/>
      <c r="LZ21" s="176"/>
      <c r="MA21" s="176"/>
      <c r="MB21" s="176"/>
      <c r="MC21" s="176"/>
      <c r="MD21" s="176"/>
      <c r="ME21" s="176"/>
      <c r="MF21" s="176"/>
      <c r="MG21" s="176"/>
      <c r="MH21" s="176"/>
      <c r="MI21" s="176"/>
      <c r="MJ21" s="176"/>
      <c r="MK21" s="176"/>
      <c r="ML21" s="176"/>
      <c r="MM21" s="176"/>
      <c r="MN21" s="176"/>
      <c r="MO21" s="176"/>
      <c r="MP21" s="176"/>
      <c r="MQ21" s="176"/>
      <c r="MR21" s="176"/>
      <c r="MS21" s="176"/>
      <c r="MT21" s="176"/>
      <c r="MU21" s="176"/>
      <c r="MV21" s="176"/>
      <c r="MW21" s="176"/>
      <c r="MX21" s="176"/>
      <c r="MY21" s="176"/>
      <c r="MZ21" s="176"/>
      <c r="NA21" s="176"/>
      <c r="NB21" s="176"/>
      <c r="NC21" s="176"/>
      <c r="ND21" s="176"/>
      <c r="NE21" s="176"/>
      <c r="NF21" s="176"/>
      <c r="NG21" s="176"/>
      <c r="NH21" s="176"/>
      <c r="NI21" s="176"/>
      <c r="NJ21" s="176"/>
      <c r="NK21" s="176"/>
      <c r="NL21" s="176"/>
      <c r="NM21" s="176"/>
      <c r="NN21" s="176"/>
      <c r="NO21" s="176"/>
      <c r="NP21" s="176"/>
      <c r="NQ21" s="176"/>
      <c r="NR21" s="176"/>
      <c r="NS21" s="176"/>
      <c r="NT21" s="176"/>
      <c r="NU21" s="176"/>
      <c r="NV21" s="176"/>
      <c r="NW21" s="176"/>
      <c r="NX21" s="176"/>
      <c r="NY21" s="176"/>
      <c r="NZ21" s="176"/>
      <c r="OA21" s="176"/>
      <c r="OB21" s="176"/>
      <c r="OC21" s="176"/>
      <c r="OD21" s="176"/>
      <c r="OE21" s="176"/>
      <c r="OF21" s="176"/>
      <c r="OG21" s="176"/>
      <c r="OH21" s="176"/>
      <c r="OI21" s="176"/>
      <c r="OJ21" s="176"/>
      <c r="OK21" s="176"/>
      <c r="OL21" s="176"/>
      <c r="OM21" s="176"/>
      <c r="ON21" s="176"/>
      <c r="OO21" s="176"/>
      <c r="OP21" s="176"/>
      <c r="OQ21" s="176"/>
      <c r="OR21" s="176"/>
      <c r="OS21" s="176"/>
      <c r="OT21" s="176"/>
      <c r="OU21" s="176"/>
      <c r="OV21" s="176"/>
      <c r="OW21" s="176"/>
      <c r="OX21" s="176"/>
      <c r="OY21" s="176"/>
      <c r="OZ21" s="176"/>
      <c r="PA21" s="176"/>
      <c r="PB21" s="176"/>
      <c r="PC21" s="176"/>
      <c r="PD21" s="176"/>
      <c r="PE21" s="176"/>
      <c r="PF21" s="176"/>
      <c r="PG21" s="176"/>
      <c r="PH21" s="176"/>
      <c r="PI21" s="176"/>
      <c r="PJ21" s="176"/>
      <c r="PK21" s="176"/>
      <c r="PL21" s="176"/>
      <c r="PM21" s="176"/>
      <c r="PN21" s="176"/>
      <c r="PO21" s="176"/>
      <c r="PP21" s="176"/>
      <c r="PQ21" s="176"/>
      <c r="PR21" s="176"/>
      <c r="PS21" s="176"/>
      <c r="PT21" s="176"/>
      <c r="PU21" s="176"/>
      <c r="PV21" s="176"/>
      <c r="PW21" s="176"/>
      <c r="PX21" s="176"/>
      <c r="PY21" s="176"/>
      <c r="PZ21" s="176"/>
      <c r="QA21" s="176"/>
      <c r="QB21" s="176"/>
      <c r="QC21" s="176"/>
      <c r="QD21" s="176"/>
      <c r="QE21" s="176"/>
      <c r="QF21" s="176"/>
      <c r="QG21" s="176"/>
      <c r="QH21" s="176"/>
      <c r="QI21" s="176"/>
      <c r="QJ21" s="176"/>
      <c r="QK21" s="176"/>
      <c r="QL21" s="176"/>
      <c r="QM21" s="176"/>
      <c r="QN21" s="176"/>
      <c r="QO21" s="176"/>
      <c r="QP21" s="176"/>
      <c r="QQ21" s="176"/>
      <c r="QR21" s="176"/>
      <c r="QS21" s="176"/>
      <c r="QT21" s="176"/>
      <c r="QU21" s="176"/>
      <c r="QV21" s="176"/>
      <c r="QW21" s="176"/>
      <c r="QX21" s="176"/>
      <c r="QY21" s="176"/>
      <c r="QZ21" s="176"/>
      <c r="RA21" s="176"/>
      <c r="RB21" s="176"/>
      <c r="RC21" s="176"/>
      <c r="RD21" s="176"/>
      <c r="RE21" s="176"/>
      <c r="RF21" s="176"/>
      <c r="RG21" s="176"/>
      <c r="RH21" s="176"/>
      <c r="RI21" s="176"/>
      <c r="RJ21" s="176"/>
      <c r="RK21" s="176"/>
      <c r="RL21" s="176"/>
      <c r="RM21" s="176"/>
      <c r="RN21" s="176"/>
      <c r="RO21" s="176"/>
      <c r="RP21" s="176"/>
      <c r="RQ21" s="176"/>
      <c r="RR21" s="176"/>
      <c r="RS21" s="176"/>
      <c r="RT21" s="176"/>
      <c r="RU21" s="176"/>
      <c r="RV21" s="176"/>
      <c r="RW21" s="176"/>
      <c r="RX21" s="176"/>
      <c r="RY21" s="176"/>
      <c r="RZ21" s="176"/>
      <c r="SA21" s="176"/>
      <c r="SB21" s="176"/>
      <c r="SC21" s="176"/>
      <c r="SD21" s="176"/>
      <c r="SE21" s="176"/>
      <c r="SF21" s="176"/>
      <c r="SG21" s="176"/>
      <c r="SH21" s="176"/>
      <c r="SI21" s="176"/>
      <c r="SJ21" s="176"/>
      <c r="SK21" s="176"/>
      <c r="SL21" s="176"/>
      <c r="SM21" s="176"/>
      <c r="SN21" s="176"/>
      <c r="SO21" s="176"/>
      <c r="SP21" s="176"/>
      <c r="SQ21" s="176"/>
      <c r="SR21" s="176"/>
      <c r="SS21" s="176"/>
      <c r="ST21" s="176"/>
      <c r="SU21" s="176"/>
      <c r="SV21" s="176"/>
      <c r="SW21" s="176"/>
      <c r="SX21" s="176"/>
      <c r="SY21" s="176"/>
      <c r="SZ21" s="176"/>
      <c r="TA21" s="176"/>
      <c r="TB21" s="176"/>
      <c r="TC21" s="176"/>
      <c r="TD21" s="176"/>
      <c r="TE21" s="176"/>
      <c r="TF21" s="176"/>
      <c r="TG21" s="176"/>
      <c r="TH21" s="176"/>
      <c r="TI21" s="176"/>
      <c r="TJ21" s="176"/>
      <c r="TK21" s="176"/>
      <c r="TL21" s="176"/>
      <c r="TM21" s="176"/>
      <c r="TN21" s="176"/>
      <c r="TO21" s="176"/>
      <c r="TP21" s="176"/>
      <c r="TQ21" s="176"/>
      <c r="TR21" s="176"/>
      <c r="TS21" s="176"/>
      <c r="TT21" s="176"/>
      <c r="TU21" s="176"/>
      <c r="TV21" s="176"/>
      <c r="TW21" s="176"/>
      <c r="TX21" s="176"/>
      <c r="TY21" s="176"/>
      <c r="TZ21" s="176"/>
      <c r="UA21" s="176"/>
      <c r="UB21" s="176"/>
      <c r="UC21" s="176"/>
      <c r="UD21" s="176"/>
      <c r="UE21" s="176"/>
      <c r="UF21" s="176"/>
      <c r="UG21" s="176"/>
      <c r="UH21" s="176"/>
      <c r="UI21" s="176"/>
      <c r="UJ21" s="176"/>
      <c r="UK21" s="176"/>
      <c r="UL21" s="176"/>
      <c r="UM21" s="176"/>
      <c r="UN21" s="176"/>
      <c r="UO21" s="176"/>
      <c r="UP21" s="176"/>
      <c r="UQ21" s="176"/>
      <c r="UR21" s="176"/>
      <c r="US21" s="176"/>
      <c r="UT21" s="176"/>
      <c r="UU21" s="176"/>
      <c r="UV21" s="176"/>
      <c r="UW21" s="176"/>
      <c r="UX21" s="176"/>
      <c r="UY21" s="176"/>
      <c r="UZ21" s="176"/>
      <c r="VA21" s="176"/>
      <c r="VB21" s="176"/>
      <c r="VC21" s="176"/>
      <c r="VD21" s="176"/>
      <c r="VE21" s="176"/>
      <c r="VF21" s="176"/>
      <c r="VG21" s="176"/>
      <c r="VH21" s="176"/>
      <c r="VI21" s="176"/>
      <c r="VJ21" s="176"/>
      <c r="VK21" s="176"/>
      <c r="VL21" s="176"/>
      <c r="VM21" s="176"/>
      <c r="VN21" s="176"/>
      <c r="VO21" s="176"/>
      <c r="VP21" s="176"/>
      <c r="VQ21" s="176"/>
      <c r="VR21" s="176"/>
      <c r="VS21" s="176"/>
      <c r="VT21" s="176"/>
      <c r="VU21" s="176"/>
      <c r="VV21" s="176"/>
      <c r="VW21" s="176"/>
      <c r="VX21" s="176"/>
      <c r="VY21" s="176"/>
      <c r="VZ21" s="176"/>
      <c r="WA21" s="176"/>
      <c r="WB21" s="176"/>
      <c r="WC21" s="176"/>
      <c r="WD21" s="176"/>
      <c r="WE21" s="176"/>
      <c r="WF21" s="176"/>
      <c r="WG21" s="176"/>
      <c r="WH21" s="176"/>
      <c r="WI21" s="176"/>
      <c r="WJ21" s="176"/>
      <c r="WK21" s="176"/>
      <c r="WL21" s="176"/>
      <c r="WM21" s="176"/>
      <c r="WN21" s="176"/>
      <c r="WO21" s="176"/>
      <c r="WP21" s="176"/>
      <c r="WQ21" s="176"/>
      <c r="WR21" s="176"/>
      <c r="WS21" s="176"/>
      <c r="WT21" s="176"/>
      <c r="WU21" s="176"/>
      <c r="WV21" s="176"/>
      <c r="WW21" s="176"/>
      <c r="WX21" s="176"/>
      <c r="WY21" s="176"/>
      <c r="WZ21" s="176"/>
      <c r="XA21" s="176"/>
      <c r="XB21" s="176"/>
      <c r="XC21" s="176"/>
      <c r="XD21" s="176"/>
      <c r="XE21" s="176"/>
      <c r="XF21" s="176"/>
      <c r="XG21" s="176"/>
      <c r="XH21" s="176"/>
      <c r="XI21" s="176"/>
      <c r="XJ21" s="176"/>
      <c r="XK21" s="176"/>
      <c r="XL21" s="176"/>
      <c r="XM21" s="176"/>
      <c r="XN21" s="176"/>
      <c r="XO21" s="176"/>
      <c r="XP21" s="176"/>
      <c r="XQ21" s="176"/>
      <c r="XR21" s="176"/>
      <c r="XS21" s="176"/>
      <c r="XT21" s="176"/>
      <c r="XU21" s="176"/>
      <c r="XV21" s="176"/>
      <c r="XW21" s="176"/>
      <c r="XX21" s="176"/>
      <c r="XY21" s="176"/>
      <c r="XZ21" s="176"/>
      <c r="YA21" s="176"/>
      <c r="YB21" s="176"/>
      <c r="YC21" s="176"/>
      <c r="YD21" s="176"/>
      <c r="YE21" s="176"/>
      <c r="YF21" s="176"/>
      <c r="YG21" s="176"/>
      <c r="YH21" s="176"/>
      <c r="YI21" s="176"/>
      <c r="YJ21" s="176"/>
      <c r="YK21" s="176"/>
      <c r="YL21" s="176"/>
      <c r="YM21" s="176"/>
      <c r="YN21" s="176"/>
      <c r="YO21" s="176"/>
      <c r="YP21" s="176"/>
      <c r="YQ21" s="176"/>
      <c r="YR21" s="176"/>
      <c r="YS21" s="176"/>
      <c r="YT21" s="176"/>
      <c r="YU21" s="176"/>
      <c r="YV21" s="176"/>
      <c r="YW21" s="176"/>
      <c r="YX21" s="176"/>
      <c r="YY21" s="176"/>
      <c r="YZ21" s="176"/>
      <c r="ZA21" s="176"/>
      <c r="ZB21" s="176"/>
      <c r="ZC21" s="176"/>
      <c r="ZD21" s="176"/>
      <c r="ZE21" s="176"/>
      <c r="ZF21" s="176"/>
      <c r="ZG21" s="176"/>
      <c r="ZH21" s="176"/>
      <c r="ZI21" s="176"/>
      <c r="ZJ21" s="176"/>
      <c r="ZK21" s="176"/>
      <c r="ZL21" s="176"/>
      <c r="ZM21" s="176"/>
      <c r="ZN21" s="176"/>
      <c r="ZO21" s="176"/>
      <c r="ZP21" s="176"/>
      <c r="ZQ21" s="176"/>
      <c r="ZR21" s="176"/>
      <c r="ZS21" s="176"/>
      <c r="ZT21" s="176"/>
      <c r="ZU21" s="176"/>
      <c r="ZV21" s="176"/>
      <c r="ZW21" s="176"/>
      <c r="ZX21" s="176"/>
      <c r="ZY21" s="176"/>
      <c r="ZZ21" s="176"/>
      <c r="AAA21" s="176"/>
      <c r="AAB21" s="176"/>
      <c r="AAC21" s="176"/>
      <c r="AAD21" s="176"/>
      <c r="AAE21" s="176"/>
      <c r="AAF21" s="176"/>
      <c r="AAG21" s="176"/>
      <c r="AAH21" s="176"/>
      <c r="AAI21" s="176"/>
      <c r="AAJ21" s="176"/>
      <c r="AAK21" s="176"/>
      <c r="AAL21" s="176"/>
      <c r="AAM21" s="176"/>
      <c r="AAN21" s="176"/>
      <c r="AAO21" s="176"/>
      <c r="AAP21" s="176"/>
      <c r="AAQ21" s="176"/>
      <c r="AAR21" s="176"/>
      <c r="AAS21" s="176"/>
      <c r="AAT21" s="176"/>
      <c r="AAU21" s="176"/>
      <c r="AAV21" s="176"/>
      <c r="AAW21" s="176"/>
      <c r="AAX21" s="176"/>
      <c r="AAY21" s="176"/>
      <c r="AAZ21" s="176"/>
      <c r="ABA21" s="176"/>
      <c r="ABB21" s="176"/>
      <c r="ABC21" s="176"/>
      <c r="ABD21" s="176"/>
      <c r="ABE21" s="176"/>
      <c r="ABF21" s="176"/>
      <c r="ABG21" s="176"/>
      <c r="ABH21" s="176"/>
      <c r="ABI21" s="176"/>
      <c r="ABJ21" s="176"/>
      <c r="ABK21" s="176"/>
      <c r="ABL21" s="176"/>
      <c r="ABM21" s="176"/>
      <c r="ABN21" s="176"/>
      <c r="ABO21" s="176"/>
      <c r="ABP21" s="176"/>
      <c r="ABQ21" s="176"/>
      <c r="ABR21" s="176"/>
      <c r="ABS21" s="176"/>
      <c r="ABT21" s="176"/>
      <c r="ABU21" s="176"/>
      <c r="ABV21" s="176"/>
      <c r="ABW21" s="176"/>
      <c r="ABX21" s="176"/>
      <c r="ABY21" s="176"/>
      <c r="ABZ21" s="176"/>
      <c r="ACA21" s="176"/>
      <c r="ACB21" s="176"/>
      <c r="ACC21" s="176"/>
      <c r="ACD21" s="176"/>
      <c r="ACE21" s="176"/>
      <c r="ACF21" s="176"/>
      <c r="ACG21" s="176"/>
      <c r="ACH21" s="176"/>
      <c r="ACI21" s="176"/>
      <c r="ACJ21" s="176"/>
      <c r="ACK21" s="176"/>
      <c r="ACL21" s="176"/>
      <c r="ACM21" s="176"/>
      <c r="ACN21" s="176"/>
      <c r="ACO21" s="176"/>
      <c r="ACP21" s="176"/>
      <c r="ACQ21" s="176"/>
      <c r="ACR21" s="176"/>
      <c r="ACS21" s="176"/>
      <c r="ACT21" s="176"/>
      <c r="ACU21" s="176"/>
      <c r="ACV21" s="176"/>
      <c r="ACW21" s="176"/>
      <c r="ACX21" s="176"/>
      <c r="ACY21" s="176"/>
      <c r="ACZ21" s="176"/>
      <c r="ADA21" s="176"/>
      <c r="ADB21" s="176"/>
      <c r="ADC21" s="176"/>
      <c r="ADD21" s="176"/>
      <c r="ADE21" s="176"/>
      <c r="ADF21" s="176"/>
      <c r="ADG21" s="176"/>
      <c r="ADH21" s="176"/>
      <c r="ADI21" s="176"/>
      <c r="ADJ21" s="176"/>
      <c r="ADK21" s="176"/>
      <c r="ADL21" s="176"/>
      <c r="ADM21" s="176"/>
      <c r="ADN21" s="176"/>
      <c r="ADO21" s="176"/>
      <c r="ADP21" s="176"/>
      <c r="ADQ21" s="176"/>
      <c r="ADR21" s="176"/>
      <c r="ADS21" s="176"/>
      <c r="ADT21" s="176"/>
      <c r="ADU21" s="176"/>
      <c r="ADV21" s="176"/>
      <c r="ADW21" s="176"/>
      <c r="ADX21" s="176"/>
      <c r="ADY21" s="176"/>
      <c r="ADZ21" s="176"/>
      <c r="AEA21" s="176"/>
      <c r="AEB21" s="176"/>
      <c r="AEC21" s="176"/>
      <c r="AED21" s="176"/>
      <c r="AEE21" s="176"/>
      <c r="AEF21" s="176"/>
      <c r="AEG21" s="176"/>
      <c r="AEH21" s="176"/>
      <c r="AEI21" s="176"/>
      <c r="AEJ21" s="176"/>
      <c r="AEK21" s="176"/>
      <c r="AEL21" s="176"/>
      <c r="AEM21" s="176"/>
      <c r="AEN21" s="176"/>
      <c r="AEO21" s="176"/>
      <c r="AEP21" s="176"/>
      <c r="AEQ21" s="176"/>
      <c r="AER21" s="176"/>
      <c r="AES21" s="176"/>
      <c r="AET21" s="176"/>
      <c r="AEU21" s="176"/>
      <c r="AEV21" s="176"/>
      <c r="AEW21" s="176"/>
      <c r="AEX21" s="176"/>
      <c r="AEY21" s="176"/>
      <c r="AEZ21" s="176"/>
      <c r="AFA21" s="176"/>
      <c r="AFB21" s="176"/>
      <c r="AFC21" s="176"/>
      <c r="AFD21" s="176"/>
      <c r="AFE21" s="176"/>
      <c r="AFF21" s="176"/>
      <c r="AFG21" s="176"/>
      <c r="AFH21" s="176"/>
      <c r="AFI21" s="176"/>
      <c r="AFJ21" s="176"/>
      <c r="AFK21" s="176"/>
      <c r="AFL21" s="176"/>
      <c r="AFM21" s="176"/>
      <c r="AFN21" s="176"/>
      <c r="AFO21" s="176"/>
      <c r="AFP21" s="176"/>
      <c r="AFQ21" s="176"/>
      <c r="AFR21" s="176"/>
      <c r="AFS21" s="176"/>
      <c r="AFT21" s="176"/>
      <c r="AFU21" s="176"/>
      <c r="AFV21" s="176"/>
      <c r="AFW21" s="176"/>
      <c r="AFX21" s="176"/>
      <c r="AFY21" s="176"/>
      <c r="AFZ21" s="176"/>
      <c r="AGA21" s="176"/>
      <c r="AGB21" s="176"/>
      <c r="AGC21" s="176"/>
      <c r="AGD21" s="176"/>
      <c r="AGE21" s="176"/>
      <c r="AGF21" s="176"/>
      <c r="AGG21" s="176"/>
      <c r="AGH21" s="176"/>
      <c r="AGI21" s="176"/>
      <c r="AGJ21" s="176"/>
      <c r="AGK21" s="176"/>
      <c r="AGL21" s="176"/>
      <c r="AGM21" s="176"/>
      <c r="AGN21" s="176"/>
      <c r="AGO21" s="176"/>
      <c r="AGP21" s="176"/>
      <c r="AGQ21" s="176"/>
      <c r="AGR21" s="176"/>
      <c r="AGS21" s="176"/>
      <c r="AGT21" s="176"/>
      <c r="AGU21" s="176"/>
      <c r="AGV21" s="176"/>
      <c r="AGW21" s="176"/>
      <c r="AGX21" s="176"/>
      <c r="AGY21" s="176"/>
      <c r="AGZ21" s="176"/>
      <c r="AHA21" s="176"/>
      <c r="AHB21" s="176"/>
      <c r="AHC21" s="176"/>
      <c r="AHD21" s="176"/>
      <c r="AHE21" s="176"/>
      <c r="AHF21" s="176"/>
      <c r="AHG21" s="176"/>
      <c r="AHH21" s="176"/>
      <c r="AHI21" s="176"/>
      <c r="AHJ21" s="176"/>
      <c r="AHK21" s="176"/>
      <c r="AHL21" s="176"/>
      <c r="AHM21" s="176"/>
      <c r="AHN21" s="176"/>
      <c r="AHO21" s="176"/>
      <c r="AHP21" s="176"/>
      <c r="AHQ21" s="176"/>
      <c r="AHR21" s="176"/>
      <c r="AHS21" s="176"/>
      <c r="AHT21" s="176"/>
      <c r="AHU21" s="176"/>
      <c r="AHV21" s="176"/>
      <c r="AHW21" s="176"/>
      <c r="AHX21" s="176"/>
      <c r="AHY21" s="176"/>
      <c r="AHZ21" s="176"/>
      <c r="AIA21" s="176"/>
      <c r="AIB21" s="176"/>
      <c r="AIC21" s="176"/>
      <c r="AID21" s="176"/>
      <c r="AIE21" s="176"/>
      <c r="AIF21" s="176"/>
      <c r="AIG21" s="176"/>
      <c r="AIH21" s="176"/>
      <c r="AII21" s="176"/>
      <c r="AIJ21" s="176"/>
      <c r="AIK21" s="176"/>
      <c r="AIL21" s="176"/>
      <c r="AIM21" s="176"/>
      <c r="AIN21" s="176"/>
      <c r="AIO21" s="176"/>
      <c r="AIP21" s="176"/>
      <c r="AIQ21" s="176"/>
      <c r="AIR21" s="176"/>
      <c r="AIS21" s="176"/>
      <c r="AIT21" s="176"/>
      <c r="AIU21" s="176"/>
      <c r="AIV21" s="176"/>
      <c r="AIW21" s="176"/>
      <c r="AIX21" s="176"/>
      <c r="AIY21" s="176"/>
      <c r="AIZ21" s="176"/>
      <c r="AJA21" s="176"/>
      <c r="AJB21" s="176"/>
      <c r="AJC21" s="176"/>
      <c r="AJD21" s="176"/>
      <c r="AJE21" s="176"/>
      <c r="AJF21" s="176"/>
      <c r="AJG21" s="176"/>
      <c r="AJH21" s="176"/>
      <c r="AJI21" s="176"/>
      <c r="AJJ21" s="176"/>
      <c r="AJK21" s="176"/>
      <c r="AJL21" s="176"/>
      <c r="AJM21" s="176"/>
      <c r="AJN21" s="176"/>
      <c r="AJO21" s="176"/>
      <c r="AJP21" s="176"/>
      <c r="AJQ21" s="176"/>
      <c r="AJR21" s="176"/>
      <c r="AJS21" s="176"/>
      <c r="AJT21" s="176"/>
      <c r="AJU21" s="176"/>
      <c r="AJV21" s="176"/>
      <c r="AJW21" s="176"/>
      <c r="AJX21" s="176"/>
      <c r="AJY21" s="176"/>
      <c r="AJZ21" s="176"/>
      <c r="AKA21" s="176"/>
      <c r="AKB21" s="176"/>
      <c r="AKC21" s="176"/>
      <c r="AKD21" s="176"/>
      <c r="AKE21" s="176"/>
      <c r="AKF21" s="176"/>
      <c r="AKG21" s="176"/>
      <c r="AKH21" s="176"/>
      <c r="AKI21" s="176"/>
      <c r="AKJ21" s="176"/>
      <c r="AKK21" s="176"/>
      <c r="AKL21" s="176"/>
      <c r="AKM21" s="176"/>
      <c r="AKN21" s="176"/>
      <c r="AKO21" s="176"/>
      <c r="AKP21" s="176"/>
      <c r="AKQ21" s="176"/>
      <c r="AKR21" s="176"/>
      <c r="AKS21" s="176"/>
      <c r="AKT21" s="176"/>
      <c r="AKU21" s="176"/>
      <c r="AKV21" s="176"/>
      <c r="AKW21" s="176"/>
      <c r="AKX21" s="176"/>
      <c r="AKY21" s="176"/>
      <c r="AKZ21" s="176"/>
      <c r="ALA21" s="176"/>
      <c r="ALB21" s="176"/>
      <c r="ALC21" s="176"/>
      <c r="ALD21" s="176"/>
      <c r="ALE21" s="176"/>
      <c r="ALF21" s="176"/>
      <c r="ALG21" s="176"/>
      <c r="ALH21" s="176"/>
      <c r="ALI21" s="176"/>
      <c r="ALJ21" s="176"/>
      <c r="ALK21" s="176"/>
      <c r="ALL21" s="176"/>
      <c r="ALM21" s="176"/>
      <c r="ALN21" s="176"/>
      <c r="ALO21" s="176"/>
      <c r="ALP21" s="176"/>
      <c r="ALQ21" s="176"/>
      <c r="ALR21" s="176"/>
      <c r="ALS21" s="176"/>
      <c r="ALT21" s="176"/>
      <c r="ALU21" s="176"/>
      <c r="ALV21" s="176"/>
      <c r="ALW21" s="176"/>
      <c r="ALX21" s="176"/>
      <c r="ALY21" s="176"/>
      <c r="ALZ21" s="176"/>
      <c r="AMA21" s="176"/>
      <c r="AMB21" s="176"/>
      <c r="AMC21" s="176"/>
      <c r="AMD21" s="176"/>
      <c r="AME21" s="158"/>
    </row>
    <row r="22" spans="1:1019" s="172" customFormat="1" ht="15" customHeight="1">
      <c r="A22" s="168">
        <f t="shared" si="0"/>
        <v>17</v>
      </c>
      <c r="B22" s="175">
        <v>1660</v>
      </c>
      <c r="C22" s="168" t="s">
        <v>23</v>
      </c>
      <c r="D22" s="169">
        <f>'הנדסה '!D89</f>
        <v>2000000</v>
      </c>
      <c r="E22" s="169">
        <f>'הנדסה '!E89</f>
        <v>2000000</v>
      </c>
      <c r="F22" s="169">
        <f>'הנדסה '!F89</f>
        <v>0</v>
      </c>
      <c r="G22" s="169">
        <f>'הנדסה '!G89</f>
        <v>150000</v>
      </c>
      <c r="H22" s="169">
        <f>'הנדסה '!H89</f>
        <v>85408</v>
      </c>
      <c r="I22" s="169">
        <f>'הנדסה '!I89</f>
        <v>0</v>
      </c>
      <c r="J22" s="169">
        <f>'הנדסה '!J89</f>
        <v>22522.5</v>
      </c>
      <c r="K22" s="169">
        <f>'הנדסה '!K89</f>
        <v>22522.5</v>
      </c>
      <c r="L22" s="169">
        <f>'הנדסה '!L89</f>
        <v>107930.5</v>
      </c>
      <c r="M22" s="169">
        <f>'הנדסה '!M89</f>
        <v>42069.5</v>
      </c>
      <c r="N22" s="169">
        <f>'הנדסה '!N89</f>
        <v>500000</v>
      </c>
      <c r="O22" s="169">
        <f>'הנדסה '!O89</f>
        <v>1350000</v>
      </c>
      <c r="P22" s="169">
        <f>'הנדסה '!P89</f>
        <v>42069.5</v>
      </c>
      <c r="Q22" s="169">
        <f>'הנדסה '!Q89</f>
        <v>0</v>
      </c>
      <c r="R22" s="169">
        <f>'הנדסה '!R89</f>
        <v>0</v>
      </c>
      <c r="S22" s="169">
        <f>'הנדסה '!S89</f>
        <v>0</v>
      </c>
      <c r="T22" s="169">
        <f>'הנדסה '!T89</f>
        <v>0</v>
      </c>
      <c r="U22" s="169">
        <f>'הנדסה '!U89</f>
        <v>500000</v>
      </c>
      <c r="V22" s="169">
        <f>'הנדסה '!V89</f>
        <v>500000</v>
      </c>
      <c r="W22" s="169">
        <f>'הנדסה '!W89</f>
        <v>0</v>
      </c>
      <c r="X22" s="169">
        <f>'הנדסה '!X89</f>
        <v>0</v>
      </c>
      <c r="Y22" s="169">
        <f>'הנדסה '!Y89</f>
        <v>0</v>
      </c>
      <c r="Z22" s="169">
        <f>'הנדסה '!Z89</f>
        <v>0</v>
      </c>
      <c r="AA22" s="659">
        <f>'הנדסה '!AA89</f>
        <v>732000</v>
      </c>
      <c r="AB22" s="157"/>
      <c r="AC22" s="157"/>
      <c r="AD22" s="157"/>
      <c r="AE22" s="157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58"/>
    </row>
    <row r="23" spans="1:1019" ht="15" customHeight="1">
      <c r="A23" s="168">
        <f t="shared" si="0"/>
        <v>18</v>
      </c>
      <c r="B23" s="175">
        <v>1674</v>
      </c>
      <c r="C23" s="168" t="s">
        <v>468</v>
      </c>
      <c r="D23" s="169">
        <f>'הנדסה '!D90</f>
        <v>2100000</v>
      </c>
      <c r="E23" s="169">
        <f>'הנדסה '!E90</f>
        <v>2000000</v>
      </c>
      <c r="F23" s="169">
        <f>'הנדסה '!F90</f>
        <v>100000</v>
      </c>
      <c r="G23" s="169">
        <f>'הנדסה '!G90</f>
        <v>1800000</v>
      </c>
      <c r="H23" s="169">
        <f>'הנדסה '!H90</f>
        <v>1150931.98</v>
      </c>
      <c r="I23" s="169">
        <f>'הנדסה '!I90</f>
        <v>351325.84</v>
      </c>
      <c r="J23" s="169">
        <f>'הנדסה '!J90</f>
        <v>265319.82</v>
      </c>
      <c r="K23" s="169">
        <f>'הנדסה '!K90</f>
        <v>616645.66</v>
      </c>
      <c r="L23" s="169">
        <f>'הנדסה '!L90</f>
        <v>1767577.6400000001</v>
      </c>
      <c r="M23" s="169">
        <f>'הנדסה '!M90</f>
        <v>32422.35999999987</v>
      </c>
      <c r="N23" s="169">
        <f>'הנדסה '!N90</f>
        <v>300000</v>
      </c>
      <c r="O23" s="169">
        <f>'הנדסה '!O90</f>
        <v>0</v>
      </c>
      <c r="P23" s="169">
        <f>'הנדסה '!P90</f>
        <v>32422.35999999987</v>
      </c>
      <c r="Q23" s="169">
        <f>'הנדסה '!Q90</f>
        <v>0</v>
      </c>
      <c r="R23" s="169">
        <f>'הנדסה '!R90</f>
        <v>0</v>
      </c>
      <c r="S23" s="169">
        <f>'הנדסה '!S90</f>
        <v>0</v>
      </c>
      <c r="T23" s="169">
        <f>'הנדסה '!T90</f>
        <v>0</v>
      </c>
      <c r="U23" s="169">
        <f>'הנדסה '!U90</f>
        <v>300000</v>
      </c>
      <c r="V23" s="169">
        <f>'הנדסה '!V90</f>
        <v>300000</v>
      </c>
      <c r="W23" s="169">
        <f>'הנדסה '!W90</f>
        <v>0</v>
      </c>
      <c r="X23" s="169">
        <f>'הנדסה '!X90</f>
        <v>0</v>
      </c>
      <c r="Y23" s="169">
        <f>'הנדסה '!Y90</f>
        <v>0</v>
      </c>
      <c r="Z23" s="169">
        <f>'הנדסה '!Z90</f>
        <v>0</v>
      </c>
      <c r="AA23" s="659">
        <f>'הנדסה '!AA90</f>
        <v>732000</v>
      </c>
      <c r="AB23" s="157"/>
      <c r="AG23" s="186"/>
      <c r="AH23" s="186"/>
      <c r="AI23" s="186"/>
      <c r="AJ23" s="186"/>
      <c r="AK23" s="186"/>
    </row>
    <row r="24" spans="1:1019" s="174" customFormat="1" ht="15.75">
      <c r="A24" s="168">
        <f t="shared" si="0"/>
        <v>19</v>
      </c>
      <c r="B24" s="175">
        <v>1692</v>
      </c>
      <c r="C24" s="175" t="s">
        <v>25</v>
      </c>
      <c r="D24" s="169">
        <f>'הנדסה '!D91</f>
        <v>2450000</v>
      </c>
      <c r="E24" s="169">
        <f>'הנדסה '!E91</f>
        <v>2000000</v>
      </c>
      <c r="F24" s="169">
        <f>'הנדסה '!F91</f>
        <v>450000</v>
      </c>
      <c r="G24" s="169">
        <f>'הנדסה '!G91</f>
        <v>1439186</v>
      </c>
      <c r="H24" s="169">
        <f>'הנדסה '!H91</f>
        <v>400068.92</v>
      </c>
      <c r="I24" s="169">
        <f>'הנדסה '!I91</f>
        <v>184795.04</v>
      </c>
      <c r="J24" s="169">
        <f>'הנדסה '!J91</f>
        <v>25740</v>
      </c>
      <c r="K24" s="169">
        <f>'הנדסה '!K91</f>
        <v>210535.04000000001</v>
      </c>
      <c r="L24" s="169">
        <f>'הנדסה '!L91</f>
        <v>610603.96</v>
      </c>
      <c r="M24" s="169">
        <f>'הנדסה '!M91</f>
        <v>828582.04</v>
      </c>
      <c r="N24" s="169">
        <f>'הנדסה '!N91</f>
        <v>400000</v>
      </c>
      <c r="O24" s="169">
        <f>'הנדסה '!O91</f>
        <v>610814</v>
      </c>
      <c r="P24" s="169">
        <f>'הנדסה '!P91</f>
        <v>828582.04</v>
      </c>
      <c r="Q24" s="169">
        <f>'הנדסה '!Q91</f>
        <v>0</v>
      </c>
      <c r="R24" s="169">
        <f>'הנדסה '!R91</f>
        <v>0</v>
      </c>
      <c r="S24" s="169">
        <f>'הנדסה '!S91</f>
        <v>0</v>
      </c>
      <c r="T24" s="169">
        <f>'הנדסה '!T91</f>
        <v>0</v>
      </c>
      <c r="U24" s="169">
        <f>'הנדסה '!U91</f>
        <v>400000</v>
      </c>
      <c r="V24" s="169">
        <f>'הנדסה '!V91</f>
        <v>400000</v>
      </c>
      <c r="W24" s="169">
        <f>'הנדסה '!W91</f>
        <v>0</v>
      </c>
      <c r="X24" s="169">
        <f>'הנדסה '!X91</f>
        <v>0</v>
      </c>
      <c r="Y24" s="169">
        <f>'הנדסה '!Y91</f>
        <v>0</v>
      </c>
      <c r="Z24" s="169">
        <f>'הנדסה '!Z91</f>
        <v>0</v>
      </c>
      <c r="AA24" s="659">
        <f>'הנדסה '!AA91</f>
        <v>732000</v>
      </c>
      <c r="AB24" s="157"/>
      <c r="AC24" s="157"/>
      <c r="AD24" s="157"/>
      <c r="AE24" s="157"/>
      <c r="AF24" s="172"/>
      <c r="AG24" s="172"/>
      <c r="AH24" s="172"/>
      <c r="AI24" s="172"/>
      <c r="AJ24" s="172"/>
      <c r="AK24" s="172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  <c r="GT24" s="186"/>
      <c r="GU24" s="186"/>
      <c r="GV24" s="186"/>
      <c r="GW24" s="186"/>
      <c r="GX24" s="186"/>
      <c r="GY24" s="186"/>
      <c r="GZ24" s="186"/>
      <c r="HA24" s="186"/>
      <c r="HB24" s="186"/>
      <c r="HC24" s="186"/>
      <c r="HD24" s="186"/>
      <c r="HE24" s="186"/>
      <c r="HF24" s="186"/>
      <c r="HG24" s="186"/>
      <c r="HH24" s="186"/>
      <c r="HI24" s="186"/>
      <c r="HJ24" s="186"/>
      <c r="HK24" s="186"/>
      <c r="HL24" s="186"/>
      <c r="HM24" s="186"/>
      <c r="HN24" s="186"/>
      <c r="HO24" s="186"/>
      <c r="HP24" s="186"/>
      <c r="HQ24" s="186"/>
      <c r="HR24" s="186"/>
      <c r="HS24" s="186"/>
      <c r="HT24" s="186"/>
      <c r="HU24" s="186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6"/>
      <c r="JM24" s="186"/>
      <c r="JN24" s="186"/>
      <c r="JO24" s="186"/>
      <c r="JP24" s="186"/>
      <c r="JQ24" s="186"/>
      <c r="JR24" s="186"/>
      <c r="JS24" s="186"/>
      <c r="JT24" s="186"/>
      <c r="JU24" s="186"/>
      <c r="JV24" s="186"/>
      <c r="JW24" s="186"/>
      <c r="JX24" s="186"/>
      <c r="JY24" s="186"/>
      <c r="JZ24" s="186"/>
      <c r="KA24" s="186"/>
      <c r="KB24" s="186"/>
      <c r="KC24" s="186"/>
      <c r="KD24" s="186"/>
      <c r="KE24" s="186"/>
      <c r="KF24" s="186"/>
      <c r="KG24" s="186"/>
      <c r="KH24" s="186"/>
      <c r="KI24" s="186"/>
      <c r="KJ24" s="186"/>
      <c r="KK24" s="186"/>
      <c r="KL24" s="186"/>
      <c r="KM24" s="186"/>
      <c r="KN24" s="186"/>
      <c r="KO24" s="186"/>
      <c r="KP24" s="186"/>
      <c r="KQ24" s="186"/>
      <c r="KR24" s="186"/>
      <c r="KS24" s="186"/>
      <c r="KT24" s="186"/>
      <c r="KU24" s="186"/>
      <c r="KV24" s="186"/>
      <c r="KW24" s="186"/>
      <c r="KX24" s="186"/>
      <c r="KY24" s="186"/>
      <c r="KZ24" s="186"/>
      <c r="LA24" s="186"/>
      <c r="LB24" s="186"/>
      <c r="LC24" s="186"/>
      <c r="LD24" s="186"/>
      <c r="LE24" s="186"/>
      <c r="LF24" s="186"/>
      <c r="LG24" s="186"/>
      <c r="LH24" s="186"/>
      <c r="LI24" s="186"/>
      <c r="LJ24" s="186"/>
      <c r="LK24" s="186"/>
      <c r="LL24" s="186"/>
      <c r="LM24" s="186"/>
      <c r="LN24" s="186"/>
      <c r="LO24" s="186"/>
      <c r="LP24" s="186"/>
      <c r="LQ24" s="186"/>
      <c r="LR24" s="186"/>
      <c r="LS24" s="186"/>
      <c r="LT24" s="186"/>
      <c r="LU24" s="186"/>
      <c r="LV24" s="186"/>
      <c r="LW24" s="186"/>
      <c r="LX24" s="186"/>
      <c r="LY24" s="186"/>
      <c r="LZ24" s="186"/>
      <c r="MA24" s="186"/>
      <c r="MB24" s="186"/>
      <c r="MC24" s="186"/>
      <c r="MD24" s="186"/>
      <c r="ME24" s="186"/>
      <c r="MF24" s="186"/>
      <c r="MG24" s="186"/>
      <c r="MH24" s="186"/>
      <c r="MI24" s="186"/>
      <c r="MJ24" s="186"/>
      <c r="MK24" s="186"/>
      <c r="ML24" s="186"/>
      <c r="MM24" s="186"/>
      <c r="MN24" s="186"/>
      <c r="MO24" s="186"/>
      <c r="MP24" s="186"/>
      <c r="MQ24" s="186"/>
      <c r="MR24" s="186"/>
      <c r="MS24" s="186"/>
      <c r="MT24" s="186"/>
      <c r="MU24" s="186"/>
      <c r="MV24" s="186"/>
      <c r="MW24" s="186"/>
      <c r="MX24" s="186"/>
      <c r="MY24" s="186"/>
      <c r="MZ24" s="186"/>
      <c r="NA24" s="186"/>
      <c r="NB24" s="186"/>
      <c r="NC24" s="186"/>
      <c r="ND24" s="186"/>
      <c r="NE24" s="186"/>
      <c r="NF24" s="186"/>
      <c r="NG24" s="186"/>
      <c r="NH24" s="186"/>
      <c r="NI24" s="186"/>
      <c r="NJ24" s="186"/>
      <c r="NK24" s="186"/>
      <c r="NL24" s="186"/>
      <c r="NM24" s="186"/>
      <c r="NN24" s="186"/>
      <c r="NO24" s="186"/>
      <c r="NP24" s="186"/>
      <c r="NQ24" s="186"/>
      <c r="NR24" s="186"/>
      <c r="NS24" s="186"/>
      <c r="NT24" s="186"/>
      <c r="NU24" s="186"/>
      <c r="NV24" s="186"/>
      <c r="NW24" s="186"/>
      <c r="NX24" s="186"/>
      <c r="NY24" s="186"/>
      <c r="NZ24" s="186"/>
      <c r="OA24" s="186"/>
      <c r="OB24" s="186"/>
      <c r="OC24" s="186"/>
      <c r="OD24" s="186"/>
      <c r="OE24" s="186"/>
      <c r="OF24" s="186"/>
      <c r="OG24" s="186"/>
      <c r="OH24" s="186"/>
      <c r="OI24" s="186"/>
      <c r="OJ24" s="186"/>
      <c r="OK24" s="186"/>
      <c r="OL24" s="186"/>
      <c r="OM24" s="186"/>
      <c r="ON24" s="186"/>
      <c r="OO24" s="186"/>
      <c r="OP24" s="186"/>
      <c r="OQ24" s="186"/>
      <c r="OR24" s="186"/>
      <c r="OS24" s="186"/>
      <c r="OT24" s="186"/>
      <c r="OU24" s="186"/>
      <c r="OV24" s="186"/>
      <c r="OW24" s="186"/>
      <c r="OX24" s="186"/>
      <c r="OY24" s="186"/>
      <c r="OZ24" s="186"/>
      <c r="PA24" s="186"/>
      <c r="PB24" s="186"/>
      <c r="PC24" s="186"/>
      <c r="PD24" s="186"/>
      <c r="PE24" s="186"/>
      <c r="PF24" s="186"/>
      <c r="PG24" s="186"/>
      <c r="PH24" s="186"/>
      <c r="PI24" s="186"/>
      <c r="PJ24" s="186"/>
      <c r="PK24" s="186"/>
      <c r="PL24" s="186"/>
      <c r="PM24" s="186"/>
      <c r="PN24" s="186"/>
      <c r="PO24" s="186"/>
      <c r="PP24" s="186"/>
      <c r="PQ24" s="186"/>
      <c r="PR24" s="186"/>
      <c r="PS24" s="186"/>
      <c r="PT24" s="186"/>
      <c r="PU24" s="186"/>
      <c r="PV24" s="186"/>
      <c r="PW24" s="186"/>
      <c r="PX24" s="186"/>
      <c r="PY24" s="186"/>
      <c r="PZ24" s="186"/>
      <c r="QA24" s="186"/>
      <c r="QB24" s="186"/>
      <c r="QC24" s="186"/>
      <c r="QD24" s="186"/>
      <c r="QE24" s="186"/>
      <c r="QF24" s="186"/>
      <c r="QG24" s="186"/>
      <c r="QH24" s="186"/>
      <c r="QI24" s="186"/>
      <c r="QJ24" s="186"/>
      <c r="QK24" s="186"/>
      <c r="QL24" s="186"/>
      <c r="QM24" s="186"/>
      <c r="QN24" s="186"/>
      <c r="QO24" s="186"/>
      <c r="QP24" s="186"/>
      <c r="QQ24" s="186"/>
      <c r="QR24" s="186"/>
      <c r="QS24" s="186"/>
      <c r="QT24" s="186"/>
      <c r="QU24" s="186"/>
      <c r="QV24" s="186"/>
      <c r="QW24" s="186"/>
      <c r="QX24" s="186"/>
      <c r="QY24" s="186"/>
      <c r="QZ24" s="186"/>
      <c r="RA24" s="186"/>
      <c r="RB24" s="186"/>
      <c r="RC24" s="186"/>
      <c r="RD24" s="186"/>
      <c r="RE24" s="186"/>
      <c r="RF24" s="186"/>
      <c r="RG24" s="186"/>
      <c r="RH24" s="186"/>
      <c r="RI24" s="186"/>
      <c r="RJ24" s="186"/>
      <c r="RK24" s="186"/>
      <c r="RL24" s="186"/>
      <c r="RM24" s="186"/>
      <c r="RN24" s="186"/>
      <c r="RO24" s="186"/>
      <c r="RP24" s="186"/>
      <c r="RQ24" s="186"/>
      <c r="RR24" s="186"/>
      <c r="RS24" s="186"/>
      <c r="RT24" s="186"/>
      <c r="RU24" s="186"/>
      <c r="RV24" s="186"/>
      <c r="RW24" s="186"/>
      <c r="RX24" s="186"/>
      <c r="RY24" s="186"/>
      <c r="RZ24" s="186"/>
      <c r="SA24" s="186"/>
      <c r="SB24" s="186"/>
      <c r="SC24" s="186"/>
      <c r="SD24" s="186"/>
      <c r="SE24" s="186"/>
      <c r="SF24" s="186"/>
      <c r="SG24" s="186"/>
      <c r="SH24" s="186"/>
      <c r="SI24" s="186"/>
      <c r="SJ24" s="186"/>
      <c r="SK24" s="186"/>
      <c r="SL24" s="186"/>
      <c r="SM24" s="186"/>
      <c r="SN24" s="186"/>
      <c r="SO24" s="186"/>
      <c r="SP24" s="186"/>
      <c r="SQ24" s="186"/>
      <c r="SR24" s="186"/>
      <c r="SS24" s="186"/>
      <c r="ST24" s="186"/>
      <c r="SU24" s="186"/>
      <c r="SV24" s="186"/>
      <c r="SW24" s="186"/>
      <c r="SX24" s="186"/>
      <c r="SY24" s="186"/>
      <c r="SZ24" s="186"/>
      <c r="TA24" s="186"/>
      <c r="TB24" s="186"/>
      <c r="TC24" s="186"/>
      <c r="TD24" s="186"/>
      <c r="TE24" s="186"/>
      <c r="TF24" s="186"/>
      <c r="TG24" s="186"/>
      <c r="TH24" s="186"/>
      <c r="TI24" s="186"/>
      <c r="TJ24" s="186"/>
      <c r="TK24" s="186"/>
      <c r="TL24" s="186"/>
      <c r="TM24" s="186"/>
      <c r="TN24" s="186"/>
      <c r="TO24" s="186"/>
      <c r="TP24" s="186"/>
      <c r="TQ24" s="186"/>
      <c r="TR24" s="186"/>
      <c r="TS24" s="186"/>
      <c r="TT24" s="186"/>
      <c r="TU24" s="186"/>
      <c r="TV24" s="186"/>
      <c r="TW24" s="186"/>
      <c r="TX24" s="186"/>
      <c r="TY24" s="186"/>
      <c r="TZ24" s="186"/>
      <c r="UA24" s="186"/>
      <c r="UB24" s="186"/>
      <c r="UC24" s="186"/>
      <c r="UD24" s="186"/>
      <c r="UE24" s="186"/>
      <c r="UF24" s="186"/>
      <c r="UG24" s="186"/>
      <c r="UH24" s="186"/>
      <c r="UI24" s="186"/>
      <c r="UJ24" s="186"/>
      <c r="UK24" s="186"/>
      <c r="UL24" s="186"/>
      <c r="UM24" s="186"/>
      <c r="UN24" s="186"/>
      <c r="UO24" s="186"/>
      <c r="UP24" s="186"/>
      <c r="UQ24" s="186"/>
      <c r="UR24" s="186"/>
      <c r="US24" s="186"/>
      <c r="UT24" s="186"/>
      <c r="UU24" s="186"/>
      <c r="UV24" s="186"/>
      <c r="UW24" s="186"/>
      <c r="UX24" s="186"/>
      <c r="UY24" s="186"/>
      <c r="UZ24" s="186"/>
      <c r="VA24" s="186"/>
      <c r="VB24" s="186"/>
      <c r="VC24" s="186"/>
      <c r="VD24" s="186"/>
      <c r="VE24" s="186"/>
      <c r="VF24" s="186"/>
      <c r="VG24" s="186"/>
      <c r="VH24" s="186"/>
      <c r="VI24" s="186"/>
      <c r="VJ24" s="186"/>
      <c r="VK24" s="186"/>
      <c r="VL24" s="186"/>
      <c r="VM24" s="186"/>
      <c r="VN24" s="186"/>
      <c r="VO24" s="186"/>
      <c r="VP24" s="186"/>
      <c r="VQ24" s="186"/>
      <c r="VR24" s="186"/>
      <c r="VS24" s="186"/>
      <c r="VT24" s="186"/>
      <c r="VU24" s="186"/>
      <c r="VV24" s="186"/>
      <c r="VW24" s="186"/>
      <c r="VX24" s="186"/>
      <c r="VY24" s="186"/>
      <c r="VZ24" s="186"/>
      <c r="WA24" s="186"/>
      <c r="WB24" s="186"/>
      <c r="WC24" s="186"/>
      <c r="WD24" s="186"/>
      <c r="WE24" s="186"/>
      <c r="WF24" s="186"/>
      <c r="WG24" s="186"/>
      <c r="WH24" s="186"/>
      <c r="WI24" s="186"/>
      <c r="WJ24" s="186"/>
      <c r="WK24" s="186"/>
      <c r="WL24" s="186"/>
      <c r="WM24" s="186"/>
      <c r="WN24" s="186"/>
      <c r="WO24" s="186"/>
      <c r="WP24" s="186"/>
      <c r="WQ24" s="186"/>
      <c r="WR24" s="186"/>
      <c r="WS24" s="186"/>
      <c r="WT24" s="186"/>
      <c r="WU24" s="186"/>
      <c r="WV24" s="186"/>
      <c r="WW24" s="186"/>
      <c r="WX24" s="186"/>
      <c r="WY24" s="186"/>
      <c r="WZ24" s="186"/>
      <c r="XA24" s="186"/>
      <c r="XB24" s="186"/>
      <c r="XC24" s="186"/>
      <c r="XD24" s="186"/>
      <c r="XE24" s="186"/>
      <c r="XF24" s="186"/>
      <c r="XG24" s="186"/>
      <c r="XH24" s="186"/>
      <c r="XI24" s="186"/>
      <c r="XJ24" s="186"/>
      <c r="XK24" s="186"/>
      <c r="XL24" s="186"/>
      <c r="XM24" s="186"/>
      <c r="XN24" s="186"/>
      <c r="XO24" s="186"/>
      <c r="XP24" s="186"/>
      <c r="XQ24" s="186"/>
      <c r="XR24" s="186"/>
      <c r="XS24" s="186"/>
      <c r="XT24" s="186"/>
      <c r="XU24" s="186"/>
      <c r="XV24" s="186"/>
      <c r="XW24" s="186"/>
      <c r="XX24" s="186"/>
      <c r="XY24" s="186"/>
      <c r="XZ24" s="186"/>
      <c r="YA24" s="186"/>
      <c r="YB24" s="186"/>
      <c r="YC24" s="186"/>
      <c r="YD24" s="186"/>
      <c r="YE24" s="186"/>
      <c r="YF24" s="186"/>
      <c r="YG24" s="186"/>
      <c r="YH24" s="186"/>
      <c r="YI24" s="186"/>
      <c r="YJ24" s="186"/>
      <c r="YK24" s="186"/>
      <c r="YL24" s="186"/>
      <c r="YM24" s="186"/>
      <c r="YN24" s="186"/>
      <c r="YO24" s="186"/>
      <c r="YP24" s="186"/>
      <c r="YQ24" s="186"/>
      <c r="YR24" s="186"/>
      <c r="YS24" s="186"/>
      <c r="YT24" s="186"/>
      <c r="YU24" s="186"/>
      <c r="YV24" s="186"/>
      <c r="YW24" s="186"/>
      <c r="YX24" s="186"/>
      <c r="YY24" s="186"/>
      <c r="YZ24" s="186"/>
      <c r="ZA24" s="186"/>
      <c r="ZB24" s="186"/>
      <c r="ZC24" s="186"/>
      <c r="ZD24" s="186"/>
      <c r="ZE24" s="186"/>
      <c r="ZF24" s="186"/>
      <c r="ZG24" s="186"/>
      <c r="ZH24" s="186"/>
      <c r="ZI24" s="186"/>
      <c r="ZJ24" s="186"/>
      <c r="ZK24" s="186"/>
      <c r="ZL24" s="186"/>
      <c r="ZM24" s="186"/>
      <c r="ZN24" s="186"/>
      <c r="ZO24" s="186"/>
      <c r="ZP24" s="186"/>
      <c r="ZQ24" s="186"/>
      <c r="ZR24" s="186"/>
      <c r="ZS24" s="186"/>
      <c r="ZT24" s="186"/>
      <c r="ZU24" s="186"/>
      <c r="ZV24" s="186"/>
      <c r="ZW24" s="186"/>
      <c r="ZX24" s="186"/>
      <c r="ZY24" s="186"/>
      <c r="ZZ24" s="186"/>
      <c r="AAA24" s="186"/>
      <c r="AAB24" s="186"/>
      <c r="AAC24" s="186"/>
      <c r="AAD24" s="186"/>
      <c r="AAE24" s="186"/>
      <c r="AAF24" s="186"/>
      <c r="AAG24" s="186"/>
      <c r="AAH24" s="186"/>
      <c r="AAI24" s="186"/>
      <c r="AAJ24" s="186"/>
      <c r="AAK24" s="186"/>
      <c r="AAL24" s="186"/>
      <c r="AAM24" s="186"/>
      <c r="AAN24" s="186"/>
      <c r="AAO24" s="186"/>
      <c r="AAP24" s="186"/>
      <c r="AAQ24" s="186"/>
      <c r="AAR24" s="186"/>
      <c r="AAS24" s="186"/>
      <c r="AAT24" s="186"/>
      <c r="AAU24" s="186"/>
      <c r="AAV24" s="186"/>
      <c r="AAW24" s="186"/>
      <c r="AAX24" s="186"/>
      <c r="AAY24" s="186"/>
      <c r="AAZ24" s="186"/>
      <c r="ABA24" s="186"/>
      <c r="ABB24" s="186"/>
      <c r="ABC24" s="186"/>
      <c r="ABD24" s="186"/>
      <c r="ABE24" s="186"/>
      <c r="ABF24" s="186"/>
      <c r="ABG24" s="186"/>
      <c r="ABH24" s="186"/>
      <c r="ABI24" s="186"/>
      <c r="ABJ24" s="186"/>
      <c r="ABK24" s="186"/>
      <c r="ABL24" s="186"/>
      <c r="ABM24" s="186"/>
      <c r="ABN24" s="186"/>
      <c r="ABO24" s="186"/>
      <c r="ABP24" s="186"/>
      <c r="ABQ24" s="186"/>
      <c r="ABR24" s="186"/>
      <c r="ABS24" s="186"/>
      <c r="ABT24" s="186"/>
      <c r="ABU24" s="186"/>
      <c r="ABV24" s="186"/>
      <c r="ABW24" s="186"/>
      <c r="ABX24" s="186"/>
      <c r="ABY24" s="186"/>
      <c r="ABZ24" s="186"/>
      <c r="ACA24" s="186"/>
      <c r="ACB24" s="186"/>
      <c r="ACC24" s="186"/>
      <c r="ACD24" s="186"/>
      <c r="ACE24" s="186"/>
      <c r="ACF24" s="186"/>
      <c r="ACG24" s="186"/>
      <c r="ACH24" s="186"/>
      <c r="ACI24" s="186"/>
      <c r="ACJ24" s="186"/>
      <c r="ACK24" s="186"/>
      <c r="ACL24" s="186"/>
      <c r="ACM24" s="186"/>
      <c r="ACN24" s="186"/>
      <c r="ACO24" s="186"/>
      <c r="ACP24" s="186"/>
      <c r="ACQ24" s="186"/>
      <c r="ACR24" s="186"/>
      <c r="ACS24" s="186"/>
      <c r="ACT24" s="186"/>
      <c r="ACU24" s="186"/>
      <c r="ACV24" s="186"/>
      <c r="ACW24" s="186"/>
      <c r="ACX24" s="186"/>
      <c r="ACY24" s="186"/>
      <c r="ACZ24" s="186"/>
      <c r="ADA24" s="186"/>
      <c r="ADB24" s="186"/>
      <c r="ADC24" s="186"/>
      <c r="ADD24" s="186"/>
      <c r="ADE24" s="186"/>
      <c r="ADF24" s="186"/>
      <c r="ADG24" s="186"/>
      <c r="ADH24" s="186"/>
      <c r="ADI24" s="186"/>
      <c r="ADJ24" s="186"/>
      <c r="ADK24" s="186"/>
      <c r="ADL24" s="186"/>
      <c r="ADM24" s="186"/>
      <c r="ADN24" s="186"/>
      <c r="ADO24" s="186"/>
      <c r="ADP24" s="186"/>
      <c r="ADQ24" s="186"/>
      <c r="ADR24" s="186"/>
      <c r="ADS24" s="186"/>
      <c r="ADT24" s="186"/>
      <c r="ADU24" s="186"/>
      <c r="ADV24" s="186"/>
      <c r="ADW24" s="186"/>
      <c r="ADX24" s="186"/>
      <c r="ADY24" s="186"/>
      <c r="ADZ24" s="186"/>
      <c r="AEA24" s="186"/>
      <c r="AEB24" s="186"/>
      <c r="AEC24" s="186"/>
      <c r="AED24" s="186"/>
      <c r="AEE24" s="186"/>
      <c r="AEF24" s="186"/>
      <c r="AEG24" s="186"/>
      <c r="AEH24" s="186"/>
      <c r="AEI24" s="186"/>
      <c r="AEJ24" s="186"/>
      <c r="AEK24" s="186"/>
      <c r="AEL24" s="186"/>
      <c r="AEM24" s="186"/>
      <c r="AEN24" s="186"/>
      <c r="AEO24" s="186"/>
      <c r="AEP24" s="186"/>
      <c r="AEQ24" s="186"/>
      <c r="AER24" s="186"/>
      <c r="AES24" s="186"/>
      <c r="AET24" s="186"/>
      <c r="AEU24" s="186"/>
      <c r="AEV24" s="186"/>
      <c r="AEW24" s="186"/>
      <c r="AEX24" s="186"/>
      <c r="AEY24" s="186"/>
      <c r="AEZ24" s="186"/>
      <c r="AFA24" s="186"/>
      <c r="AFB24" s="186"/>
      <c r="AFC24" s="186"/>
      <c r="AFD24" s="186"/>
      <c r="AFE24" s="186"/>
      <c r="AFF24" s="186"/>
      <c r="AFG24" s="186"/>
      <c r="AFH24" s="186"/>
      <c r="AFI24" s="186"/>
      <c r="AFJ24" s="186"/>
      <c r="AFK24" s="186"/>
      <c r="AFL24" s="186"/>
      <c r="AFM24" s="186"/>
      <c r="AFN24" s="186"/>
      <c r="AFO24" s="186"/>
      <c r="AFP24" s="186"/>
      <c r="AFQ24" s="186"/>
      <c r="AFR24" s="186"/>
      <c r="AFS24" s="186"/>
      <c r="AFT24" s="186"/>
      <c r="AFU24" s="186"/>
      <c r="AFV24" s="186"/>
      <c r="AFW24" s="186"/>
      <c r="AFX24" s="186"/>
      <c r="AFY24" s="186"/>
      <c r="AFZ24" s="186"/>
      <c r="AGA24" s="186"/>
      <c r="AGB24" s="186"/>
      <c r="AGC24" s="186"/>
      <c r="AGD24" s="186"/>
      <c r="AGE24" s="186"/>
      <c r="AGF24" s="186"/>
      <c r="AGG24" s="186"/>
      <c r="AGH24" s="186"/>
      <c r="AGI24" s="186"/>
      <c r="AGJ24" s="186"/>
      <c r="AGK24" s="186"/>
      <c r="AGL24" s="186"/>
      <c r="AGM24" s="186"/>
      <c r="AGN24" s="186"/>
      <c r="AGO24" s="186"/>
      <c r="AGP24" s="186"/>
      <c r="AGQ24" s="186"/>
      <c r="AGR24" s="186"/>
      <c r="AGS24" s="186"/>
      <c r="AGT24" s="186"/>
      <c r="AGU24" s="186"/>
      <c r="AGV24" s="186"/>
      <c r="AGW24" s="186"/>
      <c r="AGX24" s="186"/>
      <c r="AGY24" s="186"/>
      <c r="AGZ24" s="186"/>
      <c r="AHA24" s="186"/>
      <c r="AHB24" s="186"/>
      <c r="AHC24" s="186"/>
      <c r="AHD24" s="186"/>
      <c r="AHE24" s="186"/>
      <c r="AHF24" s="186"/>
      <c r="AHG24" s="186"/>
      <c r="AHH24" s="186"/>
      <c r="AHI24" s="186"/>
      <c r="AHJ24" s="186"/>
      <c r="AHK24" s="186"/>
      <c r="AHL24" s="186"/>
      <c r="AHM24" s="186"/>
      <c r="AHN24" s="186"/>
      <c r="AHO24" s="186"/>
      <c r="AHP24" s="186"/>
      <c r="AHQ24" s="186"/>
      <c r="AHR24" s="186"/>
      <c r="AHS24" s="186"/>
      <c r="AHT24" s="186"/>
      <c r="AHU24" s="186"/>
      <c r="AHV24" s="186"/>
      <c r="AHW24" s="186"/>
      <c r="AHX24" s="186"/>
      <c r="AHY24" s="186"/>
      <c r="AHZ24" s="186"/>
      <c r="AIA24" s="186"/>
      <c r="AIB24" s="186"/>
      <c r="AIC24" s="186"/>
      <c r="AID24" s="186"/>
      <c r="AIE24" s="186"/>
      <c r="AIF24" s="186"/>
      <c r="AIG24" s="186"/>
      <c r="AIH24" s="186"/>
      <c r="AII24" s="186"/>
      <c r="AIJ24" s="186"/>
      <c r="AIK24" s="186"/>
      <c r="AIL24" s="186"/>
      <c r="AIM24" s="186"/>
      <c r="AIN24" s="186"/>
      <c r="AIO24" s="186"/>
      <c r="AIP24" s="186"/>
      <c r="AIQ24" s="186"/>
      <c r="AIR24" s="186"/>
      <c r="AIS24" s="186"/>
      <c r="AIT24" s="186"/>
      <c r="AIU24" s="186"/>
      <c r="AIV24" s="186"/>
      <c r="AIW24" s="186"/>
      <c r="AIX24" s="186"/>
      <c r="AIY24" s="186"/>
      <c r="AIZ24" s="186"/>
      <c r="AJA24" s="186"/>
      <c r="AJB24" s="186"/>
      <c r="AJC24" s="186"/>
      <c r="AJD24" s="186"/>
      <c r="AJE24" s="186"/>
      <c r="AJF24" s="186"/>
      <c r="AJG24" s="186"/>
      <c r="AJH24" s="186"/>
      <c r="AJI24" s="186"/>
      <c r="AJJ24" s="186"/>
      <c r="AJK24" s="186"/>
      <c r="AJL24" s="186"/>
      <c r="AJM24" s="186"/>
      <c r="AJN24" s="186"/>
      <c r="AJO24" s="186"/>
      <c r="AJP24" s="186"/>
      <c r="AJQ24" s="186"/>
      <c r="AJR24" s="186"/>
      <c r="AJS24" s="186"/>
      <c r="AJT24" s="186"/>
      <c r="AJU24" s="186"/>
      <c r="AJV24" s="186"/>
      <c r="AJW24" s="186"/>
      <c r="AJX24" s="186"/>
      <c r="AJY24" s="186"/>
      <c r="AJZ24" s="186"/>
      <c r="AKA24" s="186"/>
      <c r="AKB24" s="186"/>
      <c r="AKC24" s="186"/>
      <c r="AKD24" s="186"/>
      <c r="AKE24" s="186"/>
      <c r="AKF24" s="186"/>
      <c r="AKG24" s="186"/>
      <c r="AKH24" s="186"/>
      <c r="AKI24" s="186"/>
      <c r="AKJ24" s="186"/>
      <c r="AKK24" s="186"/>
      <c r="AKL24" s="186"/>
      <c r="AKM24" s="186"/>
      <c r="AKN24" s="186"/>
      <c r="AKO24" s="186"/>
      <c r="AKP24" s="186"/>
      <c r="AKQ24" s="186"/>
      <c r="AKR24" s="186"/>
      <c r="AKS24" s="186"/>
      <c r="AKT24" s="186"/>
      <c r="AKU24" s="186"/>
      <c r="AKV24" s="186"/>
      <c r="AKW24" s="186"/>
      <c r="AKX24" s="186"/>
      <c r="AKY24" s="186"/>
      <c r="AKZ24" s="186"/>
      <c r="ALA24" s="186"/>
      <c r="ALB24" s="186"/>
      <c r="ALC24" s="186"/>
      <c r="ALD24" s="186"/>
      <c r="ALE24" s="186"/>
      <c r="ALF24" s="186"/>
      <c r="ALG24" s="186"/>
      <c r="ALH24" s="186"/>
      <c r="ALI24" s="186"/>
      <c r="ALJ24" s="186"/>
      <c r="ALK24" s="186"/>
      <c r="ALL24" s="186"/>
      <c r="ALM24" s="186"/>
      <c r="ALN24" s="186"/>
      <c r="ALO24" s="186"/>
      <c r="ALP24" s="186"/>
      <c r="ALQ24" s="186"/>
      <c r="ALR24" s="186"/>
      <c r="ALS24" s="186"/>
      <c r="ALT24" s="186"/>
      <c r="ALU24" s="186"/>
      <c r="ALV24" s="186"/>
      <c r="ALW24" s="186"/>
      <c r="ALX24" s="186"/>
      <c r="ALY24" s="186"/>
      <c r="ALZ24" s="186"/>
      <c r="AMA24" s="186"/>
      <c r="AMB24" s="186"/>
      <c r="AMC24" s="186"/>
      <c r="AMD24" s="186"/>
      <c r="AME24" s="158"/>
    </row>
    <row r="25" spans="1:1019" s="172" customFormat="1">
      <c r="A25" s="168">
        <f t="shared" si="0"/>
        <v>20</v>
      </c>
      <c r="B25" s="175">
        <v>1693</v>
      </c>
      <c r="C25" s="175" t="s">
        <v>260</v>
      </c>
      <c r="D25" s="169">
        <f>'הנדסה '!D92</f>
        <v>4500000</v>
      </c>
      <c r="E25" s="169">
        <f>'הנדסה '!E92</f>
        <v>4500000</v>
      </c>
      <c r="F25" s="169">
        <f>'הנדסה '!F92</f>
        <v>0</v>
      </c>
      <c r="G25" s="169">
        <f>'הנדסה '!G92</f>
        <v>167478</v>
      </c>
      <c r="H25" s="169">
        <f>'הנדסה '!H92</f>
        <v>8570.73</v>
      </c>
      <c r="I25" s="169">
        <f>'הנדסה '!I92</f>
        <v>90305.279999999999</v>
      </c>
      <c r="J25" s="169">
        <f>'הנדסה '!J92</f>
        <v>55907.28</v>
      </c>
      <c r="K25" s="169">
        <f>'הנדסה '!K92</f>
        <v>146212.56</v>
      </c>
      <c r="L25" s="169">
        <f>'הנדסה '!L92</f>
        <v>154783.29</v>
      </c>
      <c r="M25" s="169">
        <f>'הנדסה '!M92</f>
        <v>12694.709999999992</v>
      </c>
      <c r="N25" s="169">
        <f>'הנדסה '!N92</f>
        <v>120000</v>
      </c>
      <c r="O25" s="169">
        <f>'הנדסה '!O92</f>
        <v>4212522</v>
      </c>
      <c r="P25" s="169">
        <f>'הנדסה '!P92</f>
        <v>12694.709999999992</v>
      </c>
      <c r="Q25" s="169">
        <f>'הנדסה '!Q92</f>
        <v>0</v>
      </c>
      <c r="R25" s="169">
        <f>'הנדסה '!R92</f>
        <v>0</v>
      </c>
      <c r="S25" s="169">
        <f>'הנדסה '!S92</f>
        <v>0</v>
      </c>
      <c r="T25" s="169">
        <f>'הנדסה '!T92</f>
        <v>0</v>
      </c>
      <c r="U25" s="169">
        <f>'הנדסה '!U92</f>
        <v>120000</v>
      </c>
      <c r="V25" s="169">
        <f>'הנדסה '!V92</f>
        <v>120000</v>
      </c>
      <c r="W25" s="169">
        <f>'הנדסה '!W92</f>
        <v>0</v>
      </c>
      <c r="X25" s="169">
        <f>'הנדסה '!X92</f>
        <v>0</v>
      </c>
      <c r="Y25" s="169">
        <f>'הנדסה '!Y92</f>
        <v>0</v>
      </c>
      <c r="Z25" s="169">
        <f>'הנדסה '!Z92</f>
        <v>0</v>
      </c>
      <c r="AA25" s="659">
        <f>'הנדסה '!AA92</f>
        <v>732000</v>
      </c>
      <c r="AB25" s="157"/>
      <c r="AC25" s="157"/>
      <c r="AD25" s="157"/>
      <c r="AE25" s="157"/>
      <c r="AME25" s="158"/>
    </row>
    <row r="26" spans="1:1019" s="172" customFormat="1" ht="15" customHeight="1">
      <c r="A26" s="168">
        <f t="shared" si="0"/>
        <v>21</v>
      </c>
      <c r="B26" s="175">
        <v>1701</v>
      </c>
      <c r="C26" s="168" t="s">
        <v>924</v>
      </c>
      <c r="D26" s="169">
        <f>'הנדסה '!D69</f>
        <v>1250000</v>
      </c>
      <c r="E26" s="169">
        <f>'הנדסה '!E69</f>
        <v>750000</v>
      </c>
      <c r="F26" s="169">
        <f>'הנדסה '!F69</f>
        <v>500000</v>
      </c>
      <c r="G26" s="169">
        <f>'הנדסה '!G69</f>
        <v>750000</v>
      </c>
      <c r="H26" s="169">
        <f>'הנדסה '!H69</f>
        <v>90636</v>
      </c>
      <c r="I26" s="169">
        <f>'הנדסה '!I69</f>
        <v>0</v>
      </c>
      <c r="J26" s="169">
        <f>'הנדסה '!J69</f>
        <v>170125.44</v>
      </c>
      <c r="K26" s="169">
        <f>'הנדסה '!K69</f>
        <v>170125.44</v>
      </c>
      <c r="L26" s="169">
        <f>'הנדסה '!L69</f>
        <v>260761.44</v>
      </c>
      <c r="M26" s="169">
        <f>'הנדסה '!M69</f>
        <v>239238.56</v>
      </c>
      <c r="N26" s="169">
        <f>'הנדסה '!N69</f>
        <v>500000</v>
      </c>
      <c r="O26" s="169">
        <f>'הנדסה '!O69</f>
        <v>250000</v>
      </c>
      <c r="P26" s="169">
        <f>'הנדסה '!P69</f>
        <v>489238.56</v>
      </c>
      <c r="Q26" s="169">
        <f>'הנדסה '!Q69</f>
        <v>0</v>
      </c>
      <c r="R26" s="169">
        <f>'הנדסה '!R69</f>
        <v>0</v>
      </c>
      <c r="S26" s="169">
        <f>'הנדסה '!S69</f>
        <v>0</v>
      </c>
      <c r="T26" s="169">
        <f>'הנדסה '!T69</f>
        <v>250000</v>
      </c>
      <c r="U26" s="169">
        <f>'הנדסה '!U69</f>
        <v>250000</v>
      </c>
      <c r="V26" s="169">
        <f>'הנדסה '!V69</f>
        <v>250000</v>
      </c>
      <c r="W26" s="169">
        <f>'הנדסה '!W69</f>
        <v>0</v>
      </c>
      <c r="X26" s="169">
        <f>'הנדסה '!X69</f>
        <v>0</v>
      </c>
      <c r="Y26" s="169">
        <f>'הנדסה '!Y69</f>
        <v>0</v>
      </c>
      <c r="Z26" s="169">
        <f>'הנדסה '!Z69</f>
        <v>0</v>
      </c>
      <c r="AA26" s="659">
        <f>'הנדסה '!AA69</f>
        <v>732000</v>
      </c>
      <c r="AB26" s="157"/>
      <c r="AC26" s="157"/>
      <c r="AD26" s="157"/>
      <c r="AE26" s="157"/>
      <c r="AME26" s="158"/>
    </row>
    <row r="27" spans="1:1019" s="172" customFormat="1">
      <c r="A27" s="168">
        <f t="shared" si="0"/>
        <v>22</v>
      </c>
      <c r="B27" s="175">
        <v>1748</v>
      </c>
      <c r="C27" s="168" t="s">
        <v>57</v>
      </c>
      <c r="D27" s="169">
        <f>'הנדסה '!D45</f>
        <v>120000</v>
      </c>
      <c r="E27" s="169">
        <f>'הנדסה '!E45</f>
        <v>120000</v>
      </c>
      <c r="F27" s="169">
        <f>'הנדסה '!F45</f>
        <v>0</v>
      </c>
      <c r="G27" s="169">
        <f>'הנדסה '!G45</f>
        <v>120000</v>
      </c>
      <c r="H27" s="169">
        <f>'הנדסה '!H45</f>
        <v>84042.86</v>
      </c>
      <c r="I27" s="169">
        <f>'הנדסה '!I45</f>
        <v>29280.55</v>
      </c>
      <c r="J27" s="169">
        <f>'הנדסה '!J45</f>
        <v>0</v>
      </c>
      <c r="K27" s="169">
        <f>'הנדסה '!K45</f>
        <v>29280.55</v>
      </c>
      <c r="L27" s="169">
        <f>'הנדסה '!L45</f>
        <v>113323.41</v>
      </c>
      <c r="M27" s="169">
        <f>'הנדסה '!M45</f>
        <v>6676.5899999999965</v>
      </c>
      <c r="N27" s="169">
        <f>'הנדסה '!N45</f>
        <v>0</v>
      </c>
      <c r="O27" s="169">
        <f>'הנדסה '!O45</f>
        <v>0</v>
      </c>
      <c r="P27" s="169">
        <f>'הנדסה '!P45</f>
        <v>6676.5899999999965</v>
      </c>
      <c r="Q27" s="169">
        <f>'הנדסה '!Q45</f>
        <v>0</v>
      </c>
      <c r="R27" s="169">
        <f>'הנדסה '!R45</f>
        <v>0</v>
      </c>
      <c r="S27" s="169">
        <f>'הנדסה '!S45</f>
        <v>0</v>
      </c>
      <c r="T27" s="169">
        <f>'הנדסה '!T45</f>
        <v>0</v>
      </c>
      <c r="U27" s="169">
        <f>'הנדסה '!U45</f>
        <v>0</v>
      </c>
      <c r="V27" s="169">
        <f>'הנדסה '!V45</f>
        <v>0</v>
      </c>
      <c r="W27" s="169">
        <f>'הנדסה '!W45</f>
        <v>0</v>
      </c>
      <c r="X27" s="169">
        <f>'הנדסה '!X45</f>
        <v>0</v>
      </c>
      <c r="Y27" s="169">
        <f>'הנדסה '!Y45</f>
        <v>0</v>
      </c>
      <c r="Z27" s="169">
        <f>'הנדסה '!Z45</f>
        <v>0</v>
      </c>
      <c r="AA27" s="659">
        <f>'הנדסה '!AA45</f>
        <v>732000</v>
      </c>
      <c r="AB27" s="157"/>
      <c r="AC27" s="157"/>
      <c r="AD27" s="157"/>
      <c r="AE27" s="157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  <c r="EM27" s="174"/>
      <c r="EN27" s="174"/>
      <c r="EO27" s="174"/>
      <c r="EP27" s="174"/>
      <c r="EQ27" s="174"/>
      <c r="ER27" s="174"/>
      <c r="ES27" s="174"/>
      <c r="ET27" s="174"/>
      <c r="EU27" s="174"/>
      <c r="EV27" s="174"/>
      <c r="EW27" s="174"/>
      <c r="EX27" s="174"/>
      <c r="EY27" s="174"/>
      <c r="EZ27" s="174"/>
      <c r="FA27" s="174"/>
      <c r="FB27" s="174"/>
      <c r="FC27" s="174"/>
      <c r="FD27" s="174"/>
      <c r="FE27" s="174"/>
      <c r="FF27" s="174"/>
      <c r="FG27" s="174"/>
      <c r="FH27" s="174"/>
      <c r="FI27" s="174"/>
      <c r="FJ27" s="174"/>
      <c r="FK27" s="174"/>
      <c r="FL27" s="174"/>
      <c r="FM27" s="174"/>
      <c r="FN27" s="174"/>
      <c r="FO27" s="174"/>
      <c r="FP27" s="174"/>
      <c r="FQ27" s="174"/>
      <c r="FR27" s="174"/>
      <c r="FS27" s="174"/>
      <c r="FT27" s="174"/>
      <c r="FU27" s="174"/>
      <c r="FV27" s="174"/>
      <c r="FW27" s="174"/>
      <c r="FX27" s="174"/>
      <c r="FY27" s="174"/>
      <c r="FZ27" s="174"/>
      <c r="GA27" s="174"/>
      <c r="GB27" s="174"/>
      <c r="GC27" s="174"/>
      <c r="GD27" s="174"/>
      <c r="GE27" s="174"/>
      <c r="GF27" s="174"/>
      <c r="GG27" s="174"/>
      <c r="GH27" s="174"/>
      <c r="GI27" s="174"/>
      <c r="GJ27" s="174"/>
      <c r="GK27" s="174"/>
      <c r="GL27" s="174"/>
      <c r="GM27" s="174"/>
      <c r="GN27" s="174"/>
      <c r="GO27" s="174"/>
      <c r="GP27" s="174"/>
      <c r="GQ27" s="174"/>
      <c r="GR27" s="174"/>
      <c r="GS27" s="174"/>
      <c r="GT27" s="174"/>
      <c r="GU27" s="174"/>
      <c r="GV27" s="174"/>
      <c r="GW27" s="174"/>
      <c r="GX27" s="174"/>
      <c r="GY27" s="174"/>
      <c r="GZ27" s="174"/>
      <c r="HA27" s="174"/>
      <c r="HB27" s="174"/>
      <c r="HC27" s="174"/>
      <c r="HD27" s="174"/>
      <c r="HE27" s="174"/>
      <c r="HF27" s="174"/>
      <c r="HG27" s="174"/>
      <c r="HH27" s="174"/>
      <c r="HI27" s="174"/>
      <c r="HJ27" s="174"/>
      <c r="HK27" s="174"/>
      <c r="HL27" s="174"/>
      <c r="HM27" s="174"/>
      <c r="HN27" s="174"/>
      <c r="HO27" s="174"/>
      <c r="HP27" s="174"/>
      <c r="HQ27" s="174"/>
      <c r="HR27" s="174"/>
      <c r="HS27" s="174"/>
      <c r="HT27" s="174"/>
      <c r="HU27" s="174"/>
      <c r="HV27" s="174"/>
      <c r="HW27" s="174"/>
      <c r="HX27" s="174"/>
      <c r="HY27" s="174"/>
      <c r="HZ27" s="174"/>
      <c r="IA27" s="174"/>
      <c r="IB27" s="174"/>
      <c r="IC27" s="174"/>
      <c r="ID27" s="174"/>
      <c r="IE27" s="174"/>
      <c r="IF27" s="174"/>
      <c r="IG27" s="174"/>
      <c r="IH27" s="174"/>
      <c r="II27" s="174"/>
      <c r="IJ27" s="174"/>
      <c r="IK27" s="174"/>
      <c r="IL27" s="174"/>
      <c r="IM27" s="174"/>
      <c r="IN27" s="174"/>
      <c r="IO27" s="174"/>
      <c r="IP27" s="174"/>
      <c r="IQ27" s="174"/>
      <c r="IR27" s="174"/>
      <c r="IS27" s="174"/>
      <c r="IT27" s="174"/>
      <c r="IU27" s="174"/>
      <c r="IV27" s="174"/>
      <c r="IW27" s="174"/>
      <c r="IX27" s="174"/>
      <c r="IY27" s="174"/>
      <c r="IZ27" s="174"/>
      <c r="JA27" s="174"/>
      <c r="JB27" s="174"/>
      <c r="JC27" s="174"/>
      <c r="JD27" s="174"/>
      <c r="JE27" s="174"/>
      <c r="JF27" s="174"/>
      <c r="JG27" s="174"/>
      <c r="JH27" s="174"/>
      <c r="JI27" s="174"/>
      <c r="JJ27" s="174"/>
      <c r="JK27" s="174"/>
      <c r="JL27" s="174"/>
      <c r="JM27" s="174"/>
      <c r="JN27" s="174"/>
      <c r="JO27" s="174"/>
      <c r="JP27" s="174"/>
      <c r="JQ27" s="174"/>
      <c r="JR27" s="174"/>
      <c r="JS27" s="174"/>
      <c r="JT27" s="174"/>
      <c r="JU27" s="174"/>
      <c r="JV27" s="174"/>
      <c r="JW27" s="174"/>
      <c r="JX27" s="174"/>
      <c r="JY27" s="174"/>
      <c r="JZ27" s="174"/>
      <c r="KA27" s="174"/>
      <c r="KB27" s="174"/>
      <c r="KC27" s="174"/>
      <c r="KD27" s="174"/>
      <c r="KE27" s="174"/>
      <c r="KF27" s="174"/>
      <c r="KG27" s="174"/>
      <c r="KH27" s="174"/>
      <c r="KI27" s="174"/>
      <c r="KJ27" s="174"/>
      <c r="KK27" s="174"/>
      <c r="KL27" s="174"/>
      <c r="KM27" s="174"/>
      <c r="KN27" s="174"/>
      <c r="KO27" s="174"/>
      <c r="KP27" s="174"/>
      <c r="KQ27" s="174"/>
      <c r="KR27" s="174"/>
      <c r="KS27" s="174"/>
      <c r="KT27" s="174"/>
      <c r="KU27" s="174"/>
      <c r="KV27" s="174"/>
      <c r="KW27" s="174"/>
      <c r="KX27" s="174"/>
      <c r="KY27" s="174"/>
      <c r="KZ27" s="174"/>
      <c r="LA27" s="174"/>
      <c r="LB27" s="174"/>
      <c r="LC27" s="174"/>
      <c r="LD27" s="174"/>
      <c r="LE27" s="174"/>
      <c r="LF27" s="174"/>
      <c r="LG27" s="174"/>
      <c r="LH27" s="174"/>
      <c r="LI27" s="174"/>
      <c r="LJ27" s="174"/>
      <c r="LK27" s="174"/>
      <c r="LL27" s="174"/>
      <c r="LM27" s="174"/>
      <c r="LN27" s="174"/>
      <c r="LO27" s="174"/>
      <c r="LP27" s="174"/>
      <c r="LQ27" s="174"/>
      <c r="LR27" s="174"/>
      <c r="LS27" s="174"/>
      <c r="LT27" s="174"/>
      <c r="LU27" s="174"/>
      <c r="LV27" s="174"/>
      <c r="LW27" s="174"/>
      <c r="LX27" s="174"/>
      <c r="LY27" s="174"/>
      <c r="LZ27" s="174"/>
      <c r="MA27" s="174"/>
      <c r="MB27" s="174"/>
      <c r="MC27" s="174"/>
      <c r="MD27" s="174"/>
      <c r="ME27" s="174"/>
      <c r="MF27" s="174"/>
      <c r="MG27" s="174"/>
      <c r="MH27" s="174"/>
      <c r="MI27" s="174"/>
      <c r="MJ27" s="174"/>
      <c r="MK27" s="174"/>
      <c r="ML27" s="174"/>
      <c r="MM27" s="174"/>
      <c r="MN27" s="174"/>
      <c r="MO27" s="174"/>
      <c r="MP27" s="174"/>
      <c r="MQ27" s="174"/>
      <c r="MR27" s="174"/>
      <c r="MS27" s="174"/>
      <c r="MT27" s="174"/>
      <c r="MU27" s="174"/>
      <c r="MV27" s="174"/>
      <c r="MW27" s="174"/>
      <c r="MX27" s="174"/>
      <c r="MY27" s="174"/>
      <c r="MZ27" s="174"/>
      <c r="NA27" s="174"/>
      <c r="NB27" s="174"/>
      <c r="NC27" s="174"/>
      <c r="ND27" s="174"/>
      <c r="NE27" s="174"/>
      <c r="NF27" s="174"/>
      <c r="NG27" s="174"/>
      <c r="NH27" s="174"/>
      <c r="NI27" s="174"/>
      <c r="NJ27" s="174"/>
      <c r="NK27" s="174"/>
      <c r="NL27" s="174"/>
      <c r="NM27" s="174"/>
      <c r="NN27" s="174"/>
      <c r="NO27" s="174"/>
      <c r="NP27" s="174"/>
      <c r="NQ27" s="174"/>
      <c r="NR27" s="174"/>
      <c r="NS27" s="174"/>
      <c r="NT27" s="174"/>
      <c r="NU27" s="174"/>
      <c r="NV27" s="174"/>
      <c r="NW27" s="174"/>
      <c r="NX27" s="174"/>
      <c r="NY27" s="174"/>
      <c r="NZ27" s="174"/>
      <c r="OA27" s="174"/>
      <c r="OB27" s="174"/>
      <c r="OC27" s="174"/>
      <c r="OD27" s="174"/>
      <c r="OE27" s="174"/>
      <c r="OF27" s="174"/>
      <c r="OG27" s="174"/>
      <c r="OH27" s="174"/>
      <c r="OI27" s="174"/>
      <c r="OJ27" s="174"/>
      <c r="OK27" s="174"/>
      <c r="OL27" s="174"/>
      <c r="OM27" s="174"/>
      <c r="ON27" s="174"/>
      <c r="OO27" s="174"/>
      <c r="OP27" s="174"/>
      <c r="OQ27" s="174"/>
      <c r="OR27" s="174"/>
      <c r="OS27" s="174"/>
      <c r="OT27" s="174"/>
      <c r="OU27" s="174"/>
      <c r="OV27" s="174"/>
      <c r="OW27" s="174"/>
      <c r="OX27" s="174"/>
      <c r="OY27" s="174"/>
      <c r="OZ27" s="174"/>
      <c r="PA27" s="174"/>
      <c r="PB27" s="174"/>
      <c r="PC27" s="174"/>
      <c r="PD27" s="174"/>
      <c r="PE27" s="174"/>
      <c r="PF27" s="174"/>
      <c r="PG27" s="174"/>
      <c r="PH27" s="174"/>
      <c r="PI27" s="174"/>
      <c r="PJ27" s="174"/>
      <c r="PK27" s="174"/>
      <c r="PL27" s="174"/>
      <c r="PM27" s="174"/>
      <c r="PN27" s="174"/>
      <c r="PO27" s="174"/>
      <c r="PP27" s="174"/>
      <c r="PQ27" s="174"/>
      <c r="PR27" s="174"/>
      <c r="PS27" s="174"/>
      <c r="PT27" s="174"/>
      <c r="PU27" s="174"/>
      <c r="PV27" s="174"/>
      <c r="PW27" s="174"/>
      <c r="PX27" s="174"/>
      <c r="PY27" s="174"/>
      <c r="PZ27" s="174"/>
      <c r="QA27" s="174"/>
      <c r="QB27" s="174"/>
      <c r="QC27" s="174"/>
      <c r="QD27" s="174"/>
      <c r="QE27" s="174"/>
      <c r="QF27" s="174"/>
      <c r="QG27" s="174"/>
      <c r="QH27" s="174"/>
      <c r="QI27" s="174"/>
      <c r="QJ27" s="174"/>
      <c r="QK27" s="174"/>
      <c r="QL27" s="174"/>
      <c r="QM27" s="174"/>
      <c r="QN27" s="174"/>
      <c r="QO27" s="174"/>
      <c r="QP27" s="174"/>
      <c r="QQ27" s="174"/>
      <c r="QR27" s="174"/>
      <c r="QS27" s="174"/>
      <c r="QT27" s="174"/>
      <c r="QU27" s="174"/>
      <c r="QV27" s="174"/>
      <c r="QW27" s="174"/>
      <c r="QX27" s="174"/>
      <c r="QY27" s="174"/>
      <c r="QZ27" s="174"/>
      <c r="RA27" s="174"/>
      <c r="RB27" s="174"/>
      <c r="RC27" s="174"/>
      <c r="RD27" s="174"/>
      <c r="RE27" s="174"/>
      <c r="RF27" s="174"/>
      <c r="RG27" s="174"/>
      <c r="RH27" s="174"/>
      <c r="RI27" s="174"/>
      <c r="RJ27" s="174"/>
      <c r="RK27" s="174"/>
      <c r="RL27" s="174"/>
      <c r="RM27" s="174"/>
      <c r="RN27" s="174"/>
      <c r="RO27" s="174"/>
      <c r="RP27" s="174"/>
      <c r="RQ27" s="174"/>
      <c r="RR27" s="174"/>
      <c r="RS27" s="174"/>
      <c r="RT27" s="174"/>
      <c r="RU27" s="174"/>
      <c r="RV27" s="174"/>
      <c r="RW27" s="174"/>
      <c r="RX27" s="174"/>
      <c r="RY27" s="174"/>
      <c r="RZ27" s="174"/>
      <c r="SA27" s="174"/>
      <c r="SB27" s="174"/>
      <c r="SC27" s="174"/>
      <c r="SD27" s="174"/>
      <c r="SE27" s="174"/>
      <c r="SF27" s="174"/>
      <c r="SG27" s="174"/>
      <c r="SH27" s="174"/>
      <c r="SI27" s="174"/>
      <c r="SJ27" s="174"/>
      <c r="SK27" s="174"/>
      <c r="SL27" s="174"/>
      <c r="SM27" s="174"/>
      <c r="SN27" s="174"/>
      <c r="SO27" s="174"/>
      <c r="SP27" s="174"/>
      <c r="SQ27" s="174"/>
      <c r="SR27" s="174"/>
      <c r="SS27" s="174"/>
      <c r="ST27" s="174"/>
      <c r="SU27" s="174"/>
      <c r="SV27" s="174"/>
      <c r="SW27" s="174"/>
      <c r="SX27" s="174"/>
      <c r="SY27" s="174"/>
      <c r="SZ27" s="174"/>
      <c r="TA27" s="174"/>
      <c r="TB27" s="174"/>
      <c r="TC27" s="174"/>
      <c r="TD27" s="174"/>
      <c r="TE27" s="174"/>
      <c r="TF27" s="174"/>
      <c r="TG27" s="174"/>
      <c r="TH27" s="174"/>
      <c r="TI27" s="174"/>
      <c r="TJ27" s="174"/>
      <c r="TK27" s="174"/>
      <c r="TL27" s="174"/>
      <c r="TM27" s="174"/>
      <c r="TN27" s="174"/>
      <c r="TO27" s="174"/>
      <c r="TP27" s="174"/>
      <c r="TQ27" s="174"/>
      <c r="TR27" s="174"/>
      <c r="TS27" s="174"/>
      <c r="TT27" s="174"/>
      <c r="TU27" s="174"/>
      <c r="TV27" s="174"/>
      <c r="TW27" s="174"/>
      <c r="TX27" s="174"/>
      <c r="TY27" s="174"/>
      <c r="TZ27" s="174"/>
      <c r="UA27" s="174"/>
      <c r="UB27" s="174"/>
      <c r="UC27" s="174"/>
      <c r="UD27" s="174"/>
      <c r="UE27" s="174"/>
      <c r="UF27" s="174"/>
      <c r="UG27" s="174"/>
      <c r="UH27" s="174"/>
      <c r="UI27" s="174"/>
      <c r="UJ27" s="174"/>
      <c r="UK27" s="174"/>
      <c r="UL27" s="174"/>
      <c r="UM27" s="174"/>
      <c r="UN27" s="174"/>
      <c r="UO27" s="174"/>
      <c r="UP27" s="174"/>
      <c r="UQ27" s="174"/>
      <c r="UR27" s="174"/>
      <c r="US27" s="174"/>
      <c r="UT27" s="174"/>
      <c r="UU27" s="174"/>
      <c r="UV27" s="174"/>
      <c r="UW27" s="174"/>
      <c r="UX27" s="174"/>
      <c r="UY27" s="174"/>
      <c r="UZ27" s="174"/>
      <c r="VA27" s="174"/>
      <c r="VB27" s="174"/>
      <c r="VC27" s="174"/>
      <c r="VD27" s="174"/>
      <c r="VE27" s="174"/>
      <c r="VF27" s="174"/>
      <c r="VG27" s="174"/>
      <c r="VH27" s="174"/>
      <c r="VI27" s="174"/>
      <c r="VJ27" s="174"/>
      <c r="VK27" s="174"/>
      <c r="VL27" s="174"/>
      <c r="VM27" s="174"/>
      <c r="VN27" s="174"/>
      <c r="VO27" s="174"/>
      <c r="VP27" s="174"/>
      <c r="VQ27" s="174"/>
      <c r="VR27" s="174"/>
      <c r="VS27" s="174"/>
      <c r="VT27" s="174"/>
      <c r="VU27" s="174"/>
      <c r="VV27" s="174"/>
      <c r="VW27" s="174"/>
      <c r="VX27" s="174"/>
      <c r="VY27" s="174"/>
      <c r="VZ27" s="174"/>
      <c r="WA27" s="174"/>
      <c r="WB27" s="174"/>
      <c r="WC27" s="174"/>
      <c r="WD27" s="174"/>
      <c r="WE27" s="174"/>
      <c r="WF27" s="174"/>
      <c r="WG27" s="174"/>
      <c r="WH27" s="174"/>
      <c r="WI27" s="174"/>
      <c r="WJ27" s="174"/>
      <c r="WK27" s="174"/>
      <c r="WL27" s="174"/>
      <c r="WM27" s="174"/>
      <c r="WN27" s="174"/>
      <c r="WO27" s="174"/>
      <c r="WP27" s="174"/>
      <c r="WQ27" s="174"/>
      <c r="WR27" s="174"/>
      <c r="WS27" s="174"/>
      <c r="WT27" s="174"/>
      <c r="WU27" s="174"/>
      <c r="WV27" s="174"/>
      <c r="WW27" s="174"/>
      <c r="WX27" s="174"/>
      <c r="WY27" s="174"/>
      <c r="WZ27" s="174"/>
      <c r="XA27" s="174"/>
      <c r="XB27" s="174"/>
      <c r="XC27" s="174"/>
      <c r="XD27" s="174"/>
      <c r="XE27" s="174"/>
      <c r="XF27" s="174"/>
      <c r="XG27" s="174"/>
      <c r="XH27" s="174"/>
      <c r="XI27" s="174"/>
      <c r="XJ27" s="174"/>
      <c r="XK27" s="174"/>
      <c r="XL27" s="174"/>
      <c r="XM27" s="174"/>
      <c r="XN27" s="174"/>
      <c r="XO27" s="174"/>
      <c r="XP27" s="174"/>
      <c r="XQ27" s="174"/>
      <c r="XR27" s="174"/>
      <c r="XS27" s="174"/>
      <c r="XT27" s="174"/>
      <c r="XU27" s="174"/>
      <c r="XV27" s="174"/>
      <c r="XW27" s="174"/>
      <c r="XX27" s="174"/>
      <c r="XY27" s="174"/>
      <c r="XZ27" s="174"/>
      <c r="YA27" s="174"/>
      <c r="YB27" s="174"/>
      <c r="YC27" s="174"/>
      <c r="YD27" s="174"/>
      <c r="YE27" s="174"/>
      <c r="YF27" s="174"/>
      <c r="YG27" s="174"/>
      <c r="YH27" s="174"/>
      <c r="YI27" s="174"/>
      <c r="YJ27" s="174"/>
      <c r="YK27" s="174"/>
      <c r="YL27" s="174"/>
      <c r="YM27" s="174"/>
      <c r="YN27" s="174"/>
      <c r="YO27" s="174"/>
      <c r="YP27" s="174"/>
      <c r="YQ27" s="174"/>
      <c r="YR27" s="174"/>
      <c r="YS27" s="174"/>
      <c r="YT27" s="174"/>
      <c r="YU27" s="174"/>
      <c r="YV27" s="174"/>
      <c r="YW27" s="174"/>
      <c r="YX27" s="174"/>
      <c r="YY27" s="174"/>
      <c r="YZ27" s="174"/>
      <c r="ZA27" s="174"/>
      <c r="ZB27" s="174"/>
      <c r="ZC27" s="174"/>
      <c r="ZD27" s="174"/>
      <c r="ZE27" s="174"/>
      <c r="ZF27" s="174"/>
      <c r="ZG27" s="174"/>
      <c r="ZH27" s="174"/>
      <c r="ZI27" s="174"/>
      <c r="ZJ27" s="174"/>
      <c r="ZK27" s="174"/>
      <c r="ZL27" s="174"/>
      <c r="ZM27" s="174"/>
      <c r="ZN27" s="174"/>
      <c r="ZO27" s="174"/>
      <c r="ZP27" s="174"/>
      <c r="ZQ27" s="174"/>
      <c r="ZR27" s="174"/>
      <c r="ZS27" s="174"/>
      <c r="ZT27" s="174"/>
      <c r="ZU27" s="174"/>
      <c r="ZV27" s="174"/>
      <c r="ZW27" s="174"/>
      <c r="ZX27" s="174"/>
      <c r="ZY27" s="174"/>
      <c r="ZZ27" s="174"/>
      <c r="AAA27" s="174"/>
      <c r="AAB27" s="174"/>
      <c r="AAC27" s="174"/>
      <c r="AAD27" s="174"/>
      <c r="AAE27" s="174"/>
      <c r="AAF27" s="174"/>
      <c r="AAG27" s="174"/>
      <c r="AAH27" s="174"/>
      <c r="AAI27" s="174"/>
      <c r="AAJ27" s="174"/>
      <c r="AAK27" s="174"/>
      <c r="AAL27" s="174"/>
      <c r="AAM27" s="174"/>
      <c r="AAN27" s="174"/>
      <c r="AAO27" s="174"/>
      <c r="AAP27" s="174"/>
      <c r="AAQ27" s="174"/>
      <c r="AAR27" s="174"/>
      <c r="AAS27" s="174"/>
      <c r="AAT27" s="174"/>
      <c r="AAU27" s="174"/>
      <c r="AAV27" s="174"/>
      <c r="AAW27" s="174"/>
      <c r="AAX27" s="174"/>
      <c r="AAY27" s="174"/>
      <c r="AAZ27" s="174"/>
      <c r="ABA27" s="174"/>
      <c r="ABB27" s="174"/>
      <c r="ABC27" s="174"/>
      <c r="ABD27" s="174"/>
      <c r="ABE27" s="174"/>
      <c r="ABF27" s="174"/>
      <c r="ABG27" s="174"/>
      <c r="ABH27" s="174"/>
      <c r="ABI27" s="174"/>
      <c r="ABJ27" s="174"/>
      <c r="ABK27" s="174"/>
      <c r="ABL27" s="174"/>
      <c r="ABM27" s="174"/>
      <c r="ABN27" s="174"/>
      <c r="ABO27" s="174"/>
      <c r="ABP27" s="174"/>
      <c r="ABQ27" s="174"/>
      <c r="ABR27" s="174"/>
      <c r="ABS27" s="174"/>
      <c r="ABT27" s="174"/>
      <c r="ABU27" s="174"/>
      <c r="ABV27" s="174"/>
      <c r="ABW27" s="174"/>
      <c r="ABX27" s="174"/>
      <c r="ABY27" s="174"/>
      <c r="ABZ27" s="174"/>
      <c r="ACA27" s="174"/>
      <c r="ACB27" s="174"/>
      <c r="ACC27" s="174"/>
      <c r="ACD27" s="174"/>
      <c r="ACE27" s="174"/>
      <c r="ACF27" s="174"/>
      <c r="ACG27" s="174"/>
      <c r="ACH27" s="174"/>
      <c r="ACI27" s="174"/>
      <c r="ACJ27" s="174"/>
      <c r="ACK27" s="174"/>
      <c r="ACL27" s="174"/>
      <c r="ACM27" s="174"/>
      <c r="ACN27" s="174"/>
      <c r="ACO27" s="174"/>
      <c r="ACP27" s="174"/>
      <c r="ACQ27" s="174"/>
      <c r="ACR27" s="174"/>
      <c r="ACS27" s="174"/>
      <c r="ACT27" s="174"/>
      <c r="ACU27" s="174"/>
      <c r="ACV27" s="174"/>
      <c r="ACW27" s="174"/>
      <c r="ACX27" s="174"/>
      <c r="ACY27" s="174"/>
      <c r="ACZ27" s="174"/>
      <c r="ADA27" s="174"/>
      <c r="ADB27" s="174"/>
      <c r="ADC27" s="174"/>
      <c r="ADD27" s="174"/>
      <c r="ADE27" s="174"/>
      <c r="ADF27" s="174"/>
      <c r="ADG27" s="174"/>
      <c r="ADH27" s="174"/>
      <c r="ADI27" s="174"/>
      <c r="ADJ27" s="174"/>
      <c r="ADK27" s="174"/>
      <c r="ADL27" s="174"/>
      <c r="ADM27" s="174"/>
      <c r="ADN27" s="174"/>
      <c r="ADO27" s="174"/>
      <c r="ADP27" s="174"/>
      <c r="ADQ27" s="174"/>
      <c r="ADR27" s="174"/>
      <c r="ADS27" s="174"/>
      <c r="ADT27" s="174"/>
      <c r="ADU27" s="174"/>
      <c r="ADV27" s="174"/>
      <c r="ADW27" s="174"/>
      <c r="ADX27" s="174"/>
      <c r="ADY27" s="174"/>
      <c r="ADZ27" s="174"/>
      <c r="AEA27" s="174"/>
      <c r="AEB27" s="174"/>
      <c r="AEC27" s="174"/>
      <c r="AED27" s="174"/>
      <c r="AEE27" s="174"/>
      <c r="AEF27" s="174"/>
      <c r="AEG27" s="174"/>
      <c r="AEH27" s="174"/>
      <c r="AEI27" s="174"/>
      <c r="AEJ27" s="174"/>
      <c r="AEK27" s="174"/>
      <c r="AEL27" s="174"/>
      <c r="AEM27" s="174"/>
      <c r="AEN27" s="174"/>
      <c r="AEO27" s="174"/>
      <c r="AEP27" s="174"/>
      <c r="AEQ27" s="174"/>
      <c r="AER27" s="174"/>
      <c r="AES27" s="174"/>
      <c r="AET27" s="174"/>
      <c r="AEU27" s="174"/>
      <c r="AEV27" s="174"/>
      <c r="AEW27" s="174"/>
      <c r="AEX27" s="174"/>
      <c r="AEY27" s="174"/>
      <c r="AEZ27" s="174"/>
      <c r="AFA27" s="174"/>
      <c r="AFB27" s="174"/>
      <c r="AFC27" s="174"/>
      <c r="AFD27" s="174"/>
      <c r="AFE27" s="174"/>
      <c r="AFF27" s="174"/>
      <c r="AFG27" s="174"/>
      <c r="AFH27" s="174"/>
      <c r="AFI27" s="174"/>
      <c r="AFJ27" s="174"/>
      <c r="AFK27" s="174"/>
      <c r="AFL27" s="174"/>
      <c r="AFM27" s="174"/>
      <c r="AFN27" s="174"/>
      <c r="AFO27" s="174"/>
      <c r="AFP27" s="174"/>
      <c r="AFQ27" s="174"/>
      <c r="AFR27" s="174"/>
      <c r="AFS27" s="174"/>
      <c r="AFT27" s="174"/>
      <c r="AFU27" s="174"/>
      <c r="AFV27" s="174"/>
      <c r="AFW27" s="174"/>
      <c r="AFX27" s="174"/>
      <c r="AFY27" s="174"/>
      <c r="AFZ27" s="174"/>
      <c r="AGA27" s="174"/>
      <c r="AGB27" s="174"/>
      <c r="AGC27" s="174"/>
      <c r="AGD27" s="174"/>
      <c r="AGE27" s="174"/>
      <c r="AGF27" s="174"/>
      <c r="AGG27" s="174"/>
      <c r="AGH27" s="174"/>
      <c r="AGI27" s="174"/>
      <c r="AGJ27" s="174"/>
      <c r="AGK27" s="174"/>
      <c r="AGL27" s="174"/>
      <c r="AGM27" s="174"/>
      <c r="AGN27" s="174"/>
      <c r="AGO27" s="174"/>
      <c r="AGP27" s="174"/>
      <c r="AGQ27" s="174"/>
      <c r="AGR27" s="174"/>
      <c r="AGS27" s="174"/>
      <c r="AGT27" s="174"/>
      <c r="AGU27" s="174"/>
      <c r="AGV27" s="174"/>
      <c r="AGW27" s="174"/>
      <c r="AGX27" s="174"/>
      <c r="AGY27" s="174"/>
      <c r="AGZ27" s="174"/>
      <c r="AHA27" s="174"/>
      <c r="AHB27" s="174"/>
      <c r="AHC27" s="174"/>
      <c r="AHD27" s="174"/>
      <c r="AHE27" s="174"/>
      <c r="AHF27" s="174"/>
      <c r="AHG27" s="174"/>
      <c r="AHH27" s="174"/>
      <c r="AHI27" s="174"/>
      <c r="AHJ27" s="174"/>
      <c r="AHK27" s="174"/>
      <c r="AHL27" s="174"/>
      <c r="AHM27" s="174"/>
      <c r="AHN27" s="174"/>
      <c r="AHO27" s="174"/>
      <c r="AHP27" s="174"/>
      <c r="AHQ27" s="174"/>
      <c r="AHR27" s="174"/>
      <c r="AHS27" s="174"/>
      <c r="AHT27" s="174"/>
      <c r="AHU27" s="174"/>
      <c r="AHV27" s="174"/>
      <c r="AHW27" s="174"/>
      <c r="AHX27" s="174"/>
      <c r="AHY27" s="174"/>
      <c r="AHZ27" s="174"/>
      <c r="AIA27" s="174"/>
      <c r="AIB27" s="174"/>
      <c r="AIC27" s="174"/>
      <c r="AID27" s="174"/>
      <c r="AIE27" s="174"/>
      <c r="AIF27" s="174"/>
      <c r="AIG27" s="174"/>
      <c r="AIH27" s="174"/>
      <c r="AII27" s="174"/>
      <c r="AIJ27" s="174"/>
      <c r="AIK27" s="174"/>
      <c r="AIL27" s="174"/>
      <c r="AIM27" s="174"/>
      <c r="AIN27" s="174"/>
      <c r="AIO27" s="174"/>
      <c r="AIP27" s="174"/>
      <c r="AIQ27" s="174"/>
      <c r="AIR27" s="174"/>
      <c r="AIS27" s="174"/>
      <c r="AIT27" s="174"/>
      <c r="AIU27" s="174"/>
      <c r="AIV27" s="174"/>
      <c r="AIW27" s="174"/>
      <c r="AIX27" s="174"/>
      <c r="AIY27" s="174"/>
      <c r="AIZ27" s="174"/>
      <c r="AJA27" s="174"/>
      <c r="AJB27" s="174"/>
      <c r="AJC27" s="174"/>
      <c r="AJD27" s="174"/>
      <c r="AJE27" s="174"/>
      <c r="AJF27" s="174"/>
      <c r="AJG27" s="174"/>
      <c r="AJH27" s="174"/>
      <c r="AJI27" s="174"/>
      <c r="AJJ27" s="174"/>
      <c r="AJK27" s="174"/>
      <c r="AJL27" s="174"/>
      <c r="AJM27" s="174"/>
      <c r="AJN27" s="174"/>
      <c r="AJO27" s="174"/>
      <c r="AJP27" s="174"/>
      <c r="AJQ27" s="174"/>
      <c r="AJR27" s="174"/>
      <c r="AJS27" s="174"/>
      <c r="AJT27" s="174"/>
      <c r="AJU27" s="174"/>
      <c r="AJV27" s="174"/>
      <c r="AJW27" s="174"/>
      <c r="AJX27" s="174"/>
      <c r="AJY27" s="174"/>
      <c r="AJZ27" s="174"/>
      <c r="AKA27" s="174"/>
      <c r="AKB27" s="174"/>
      <c r="AKC27" s="174"/>
      <c r="AKD27" s="174"/>
      <c r="AKE27" s="174"/>
      <c r="AKF27" s="174"/>
      <c r="AKG27" s="174"/>
      <c r="AKH27" s="174"/>
      <c r="AKI27" s="174"/>
      <c r="AKJ27" s="174"/>
      <c r="AKK27" s="174"/>
      <c r="AKL27" s="174"/>
      <c r="AKM27" s="174"/>
      <c r="AKN27" s="174"/>
      <c r="AKO27" s="174"/>
      <c r="AKP27" s="174"/>
      <c r="AKQ27" s="174"/>
      <c r="AKR27" s="174"/>
      <c r="AKS27" s="174"/>
      <c r="AKT27" s="174"/>
      <c r="AKU27" s="174"/>
      <c r="AKV27" s="174"/>
      <c r="AKW27" s="174"/>
      <c r="AKX27" s="174"/>
      <c r="AKY27" s="174"/>
      <c r="AKZ27" s="174"/>
      <c r="ALA27" s="174"/>
      <c r="ALB27" s="174"/>
      <c r="ALC27" s="174"/>
      <c r="ALD27" s="174"/>
      <c r="ALE27" s="174"/>
      <c r="ALF27" s="174"/>
      <c r="ALG27" s="174"/>
      <c r="ALH27" s="174"/>
      <c r="ALI27" s="174"/>
      <c r="ALJ27" s="174"/>
      <c r="ALK27" s="174"/>
      <c r="ALL27" s="174"/>
      <c r="ALM27" s="174"/>
      <c r="ALN27" s="174"/>
      <c r="ALO27" s="174"/>
      <c r="ALP27" s="174"/>
      <c r="ALQ27" s="174"/>
      <c r="ALR27" s="174"/>
      <c r="ALS27" s="174"/>
      <c r="ALT27" s="174"/>
      <c r="ALU27" s="174"/>
      <c r="ALV27" s="174"/>
      <c r="ALW27" s="174"/>
      <c r="ALX27" s="174"/>
      <c r="ALY27" s="174"/>
      <c r="ALZ27" s="174"/>
      <c r="AMA27" s="174"/>
      <c r="AMB27" s="174"/>
      <c r="AMC27" s="174"/>
      <c r="AMD27" s="174"/>
      <c r="AME27" s="158"/>
    </row>
    <row r="28" spans="1:1019" ht="15" customHeight="1">
      <c r="A28" s="168">
        <f t="shared" si="0"/>
        <v>23</v>
      </c>
      <c r="B28" s="175">
        <v>1755</v>
      </c>
      <c r="C28" s="168" t="s">
        <v>32</v>
      </c>
      <c r="D28" s="169">
        <f>'הנדסה '!D70</f>
        <v>200000</v>
      </c>
      <c r="E28" s="169">
        <f>'הנדסה '!E70</f>
        <v>500000</v>
      </c>
      <c r="F28" s="169">
        <f>'הנדסה '!F70</f>
        <v>-300000</v>
      </c>
      <c r="G28" s="169">
        <f>'הנדסה '!G70</f>
        <v>500000</v>
      </c>
      <c r="H28" s="169">
        <f>'הנדסה '!H70</f>
        <v>69371.839999999997</v>
      </c>
      <c r="I28" s="169">
        <f>'הנדסה '!I70</f>
        <v>0</v>
      </c>
      <c r="J28" s="169">
        <f>'הנדסה '!J70</f>
        <v>21992.97</v>
      </c>
      <c r="K28" s="169">
        <f>'הנדסה '!K70</f>
        <v>21992.97</v>
      </c>
      <c r="L28" s="169">
        <f>'הנדסה '!L70</f>
        <v>91364.81</v>
      </c>
      <c r="M28" s="169">
        <f>'הנדסה '!M70</f>
        <v>108635.19</v>
      </c>
      <c r="N28" s="169">
        <f>'הנדסה '!N70</f>
        <v>0</v>
      </c>
      <c r="O28" s="169">
        <f>'הנדסה '!O70</f>
        <v>0</v>
      </c>
      <c r="P28" s="169">
        <f>'הנדסה '!P70</f>
        <v>408635.19</v>
      </c>
      <c r="Q28" s="169">
        <f>'הנדסה '!Q70</f>
        <v>0</v>
      </c>
      <c r="R28" s="169">
        <f>'הנדסה '!R70</f>
        <v>0</v>
      </c>
      <c r="S28" s="169">
        <f>'הנדסה '!S70</f>
        <v>0</v>
      </c>
      <c r="T28" s="169">
        <f>'הנדסה '!T70</f>
        <v>300000</v>
      </c>
      <c r="U28" s="169">
        <f>'הנדסה '!U70</f>
        <v>-300000</v>
      </c>
      <c r="V28" s="169">
        <f>'הנדסה '!V70</f>
        <v>-300000</v>
      </c>
      <c r="W28" s="169">
        <f>'הנדסה '!W70</f>
        <v>0</v>
      </c>
      <c r="X28" s="169">
        <f>'הנדסה '!X70</f>
        <v>0</v>
      </c>
      <c r="Y28" s="169">
        <f>'הנדסה '!Y70</f>
        <v>0</v>
      </c>
      <c r="Z28" s="169">
        <f>'הנדסה '!Z70</f>
        <v>0</v>
      </c>
      <c r="AA28" s="659">
        <f>'הנדסה '!AA70</f>
        <v>732000</v>
      </c>
      <c r="AB28" s="157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  <c r="HG28" s="172"/>
      <c r="HH28" s="172"/>
      <c r="HI28" s="172"/>
      <c r="HJ28" s="172"/>
      <c r="HK28" s="172"/>
      <c r="HL28" s="172"/>
      <c r="HM28" s="172"/>
      <c r="HN28" s="172"/>
      <c r="HO28" s="172"/>
      <c r="HP28" s="172"/>
      <c r="HQ28" s="172"/>
      <c r="HR28" s="172"/>
      <c r="HS28" s="172"/>
      <c r="HT28" s="172"/>
      <c r="HU28" s="172"/>
      <c r="HV28" s="172"/>
      <c r="HW28" s="172"/>
      <c r="HX28" s="172"/>
      <c r="HY28" s="172"/>
      <c r="HZ28" s="172"/>
      <c r="IA28" s="172"/>
      <c r="IB28" s="172"/>
      <c r="IC28" s="172"/>
      <c r="ID28" s="172"/>
      <c r="IE28" s="172"/>
      <c r="IF28" s="172"/>
      <c r="IG28" s="172"/>
      <c r="IH28" s="172"/>
      <c r="II28" s="172"/>
      <c r="IJ28" s="172"/>
      <c r="IK28" s="172"/>
      <c r="IL28" s="172"/>
      <c r="IM28" s="172"/>
      <c r="IN28" s="172"/>
      <c r="IO28" s="172"/>
      <c r="IP28" s="172"/>
      <c r="IQ28" s="172"/>
      <c r="IR28" s="172"/>
      <c r="IS28" s="172"/>
      <c r="IT28" s="172"/>
      <c r="IU28" s="172"/>
      <c r="IV28" s="172"/>
      <c r="IW28" s="172"/>
      <c r="IX28" s="172"/>
      <c r="IY28" s="172"/>
      <c r="IZ28" s="172"/>
      <c r="JA28" s="172"/>
      <c r="JB28" s="172"/>
      <c r="JC28" s="172"/>
      <c r="JD28" s="172"/>
      <c r="JE28" s="172"/>
      <c r="JF28" s="172"/>
      <c r="JG28" s="172"/>
      <c r="JH28" s="172"/>
      <c r="JI28" s="172"/>
      <c r="JJ28" s="172"/>
      <c r="JK28" s="172"/>
      <c r="JL28" s="172"/>
      <c r="JM28" s="172"/>
      <c r="JN28" s="172"/>
      <c r="JO28" s="172"/>
      <c r="JP28" s="172"/>
      <c r="JQ28" s="172"/>
      <c r="JR28" s="172"/>
      <c r="JS28" s="172"/>
      <c r="JT28" s="172"/>
      <c r="JU28" s="172"/>
      <c r="JV28" s="172"/>
      <c r="JW28" s="172"/>
      <c r="JX28" s="172"/>
      <c r="JY28" s="172"/>
      <c r="JZ28" s="172"/>
      <c r="KA28" s="172"/>
      <c r="KB28" s="172"/>
      <c r="KC28" s="172"/>
      <c r="KD28" s="172"/>
      <c r="KE28" s="172"/>
      <c r="KF28" s="172"/>
      <c r="KG28" s="172"/>
      <c r="KH28" s="172"/>
      <c r="KI28" s="172"/>
      <c r="KJ28" s="172"/>
      <c r="KK28" s="172"/>
      <c r="KL28" s="172"/>
      <c r="KM28" s="172"/>
      <c r="KN28" s="172"/>
      <c r="KO28" s="172"/>
      <c r="KP28" s="172"/>
      <c r="KQ28" s="172"/>
      <c r="KR28" s="172"/>
      <c r="KS28" s="172"/>
      <c r="KT28" s="172"/>
      <c r="KU28" s="172"/>
      <c r="KV28" s="172"/>
      <c r="KW28" s="172"/>
      <c r="KX28" s="172"/>
      <c r="KY28" s="172"/>
      <c r="KZ28" s="172"/>
      <c r="LA28" s="172"/>
      <c r="LB28" s="172"/>
      <c r="LC28" s="172"/>
      <c r="LD28" s="172"/>
      <c r="LE28" s="172"/>
      <c r="LF28" s="172"/>
      <c r="LG28" s="172"/>
      <c r="LH28" s="172"/>
      <c r="LI28" s="172"/>
      <c r="LJ28" s="172"/>
      <c r="LK28" s="172"/>
      <c r="LL28" s="172"/>
      <c r="LM28" s="172"/>
      <c r="LN28" s="172"/>
      <c r="LO28" s="172"/>
      <c r="LP28" s="172"/>
      <c r="LQ28" s="172"/>
      <c r="LR28" s="172"/>
      <c r="LS28" s="172"/>
      <c r="LT28" s="172"/>
      <c r="LU28" s="172"/>
      <c r="LV28" s="172"/>
      <c r="LW28" s="172"/>
      <c r="LX28" s="172"/>
      <c r="LY28" s="172"/>
      <c r="LZ28" s="172"/>
      <c r="MA28" s="172"/>
      <c r="MB28" s="172"/>
      <c r="MC28" s="172"/>
      <c r="MD28" s="172"/>
      <c r="ME28" s="172"/>
      <c r="MF28" s="172"/>
      <c r="MG28" s="172"/>
      <c r="MH28" s="172"/>
      <c r="MI28" s="172"/>
      <c r="MJ28" s="172"/>
      <c r="MK28" s="172"/>
      <c r="ML28" s="172"/>
      <c r="MM28" s="172"/>
      <c r="MN28" s="172"/>
      <c r="MO28" s="172"/>
      <c r="MP28" s="172"/>
      <c r="MQ28" s="172"/>
      <c r="MR28" s="172"/>
      <c r="MS28" s="172"/>
      <c r="MT28" s="172"/>
      <c r="MU28" s="172"/>
      <c r="MV28" s="172"/>
      <c r="MW28" s="172"/>
      <c r="MX28" s="172"/>
      <c r="MY28" s="172"/>
      <c r="MZ28" s="172"/>
      <c r="NA28" s="172"/>
      <c r="NB28" s="172"/>
      <c r="NC28" s="172"/>
      <c r="ND28" s="172"/>
      <c r="NE28" s="172"/>
      <c r="NF28" s="172"/>
      <c r="NG28" s="172"/>
      <c r="NH28" s="172"/>
      <c r="NI28" s="172"/>
      <c r="NJ28" s="172"/>
      <c r="NK28" s="172"/>
      <c r="NL28" s="172"/>
      <c r="NM28" s="172"/>
      <c r="NN28" s="172"/>
      <c r="NO28" s="172"/>
      <c r="NP28" s="172"/>
      <c r="NQ28" s="172"/>
      <c r="NR28" s="172"/>
      <c r="NS28" s="172"/>
      <c r="NT28" s="172"/>
      <c r="NU28" s="172"/>
      <c r="NV28" s="172"/>
      <c r="NW28" s="172"/>
      <c r="NX28" s="172"/>
      <c r="NY28" s="172"/>
      <c r="NZ28" s="172"/>
      <c r="OA28" s="172"/>
      <c r="OB28" s="172"/>
      <c r="OC28" s="172"/>
      <c r="OD28" s="172"/>
      <c r="OE28" s="172"/>
      <c r="OF28" s="172"/>
      <c r="OG28" s="172"/>
      <c r="OH28" s="172"/>
      <c r="OI28" s="172"/>
      <c r="OJ28" s="172"/>
      <c r="OK28" s="172"/>
      <c r="OL28" s="172"/>
      <c r="OM28" s="172"/>
      <c r="ON28" s="172"/>
      <c r="OO28" s="172"/>
      <c r="OP28" s="172"/>
      <c r="OQ28" s="172"/>
      <c r="OR28" s="172"/>
      <c r="OS28" s="172"/>
      <c r="OT28" s="172"/>
      <c r="OU28" s="172"/>
      <c r="OV28" s="172"/>
      <c r="OW28" s="172"/>
      <c r="OX28" s="172"/>
      <c r="OY28" s="172"/>
      <c r="OZ28" s="172"/>
      <c r="PA28" s="172"/>
      <c r="PB28" s="172"/>
      <c r="PC28" s="172"/>
      <c r="PD28" s="172"/>
      <c r="PE28" s="172"/>
      <c r="PF28" s="172"/>
      <c r="PG28" s="172"/>
      <c r="PH28" s="172"/>
      <c r="PI28" s="172"/>
      <c r="PJ28" s="172"/>
      <c r="PK28" s="172"/>
      <c r="PL28" s="172"/>
      <c r="PM28" s="172"/>
      <c r="PN28" s="172"/>
      <c r="PO28" s="172"/>
      <c r="PP28" s="172"/>
      <c r="PQ28" s="172"/>
      <c r="PR28" s="172"/>
      <c r="PS28" s="172"/>
      <c r="PT28" s="172"/>
      <c r="PU28" s="172"/>
      <c r="PV28" s="172"/>
      <c r="PW28" s="172"/>
      <c r="PX28" s="172"/>
      <c r="PY28" s="172"/>
      <c r="PZ28" s="172"/>
      <c r="QA28" s="172"/>
      <c r="QB28" s="172"/>
      <c r="QC28" s="172"/>
      <c r="QD28" s="172"/>
      <c r="QE28" s="172"/>
      <c r="QF28" s="172"/>
      <c r="QG28" s="172"/>
      <c r="QH28" s="172"/>
      <c r="QI28" s="172"/>
      <c r="QJ28" s="172"/>
      <c r="QK28" s="172"/>
      <c r="QL28" s="172"/>
      <c r="QM28" s="172"/>
      <c r="QN28" s="172"/>
      <c r="QO28" s="172"/>
      <c r="QP28" s="172"/>
      <c r="QQ28" s="172"/>
      <c r="QR28" s="172"/>
      <c r="QS28" s="172"/>
      <c r="QT28" s="172"/>
      <c r="QU28" s="172"/>
      <c r="QV28" s="172"/>
      <c r="QW28" s="172"/>
      <c r="QX28" s="172"/>
      <c r="QY28" s="172"/>
      <c r="QZ28" s="172"/>
      <c r="RA28" s="172"/>
      <c r="RB28" s="172"/>
      <c r="RC28" s="172"/>
      <c r="RD28" s="172"/>
      <c r="RE28" s="172"/>
      <c r="RF28" s="172"/>
      <c r="RG28" s="172"/>
      <c r="RH28" s="172"/>
      <c r="RI28" s="172"/>
      <c r="RJ28" s="172"/>
      <c r="RK28" s="172"/>
      <c r="RL28" s="172"/>
      <c r="RM28" s="172"/>
      <c r="RN28" s="172"/>
      <c r="RO28" s="172"/>
      <c r="RP28" s="172"/>
      <c r="RQ28" s="172"/>
      <c r="RR28" s="172"/>
      <c r="RS28" s="172"/>
      <c r="RT28" s="172"/>
      <c r="RU28" s="172"/>
      <c r="RV28" s="172"/>
      <c r="RW28" s="172"/>
      <c r="RX28" s="172"/>
      <c r="RY28" s="172"/>
      <c r="RZ28" s="172"/>
      <c r="SA28" s="172"/>
      <c r="SB28" s="172"/>
      <c r="SC28" s="172"/>
      <c r="SD28" s="172"/>
      <c r="SE28" s="172"/>
      <c r="SF28" s="172"/>
      <c r="SG28" s="172"/>
      <c r="SH28" s="172"/>
      <c r="SI28" s="172"/>
      <c r="SJ28" s="172"/>
      <c r="SK28" s="172"/>
      <c r="SL28" s="172"/>
      <c r="SM28" s="172"/>
      <c r="SN28" s="172"/>
      <c r="SO28" s="172"/>
      <c r="SP28" s="172"/>
      <c r="SQ28" s="172"/>
      <c r="SR28" s="172"/>
      <c r="SS28" s="172"/>
      <c r="ST28" s="172"/>
      <c r="SU28" s="172"/>
      <c r="SV28" s="172"/>
      <c r="SW28" s="172"/>
      <c r="SX28" s="172"/>
      <c r="SY28" s="172"/>
      <c r="SZ28" s="172"/>
      <c r="TA28" s="172"/>
      <c r="TB28" s="172"/>
      <c r="TC28" s="172"/>
      <c r="TD28" s="172"/>
      <c r="TE28" s="172"/>
      <c r="TF28" s="172"/>
      <c r="TG28" s="172"/>
      <c r="TH28" s="172"/>
      <c r="TI28" s="172"/>
      <c r="TJ28" s="172"/>
      <c r="TK28" s="172"/>
      <c r="TL28" s="172"/>
      <c r="TM28" s="172"/>
      <c r="TN28" s="172"/>
      <c r="TO28" s="172"/>
      <c r="TP28" s="172"/>
      <c r="TQ28" s="172"/>
      <c r="TR28" s="172"/>
      <c r="TS28" s="172"/>
      <c r="TT28" s="172"/>
      <c r="TU28" s="172"/>
      <c r="TV28" s="172"/>
      <c r="TW28" s="172"/>
      <c r="TX28" s="172"/>
      <c r="TY28" s="172"/>
      <c r="TZ28" s="172"/>
      <c r="UA28" s="172"/>
      <c r="UB28" s="172"/>
      <c r="UC28" s="172"/>
      <c r="UD28" s="172"/>
      <c r="UE28" s="172"/>
      <c r="UF28" s="172"/>
      <c r="UG28" s="172"/>
      <c r="UH28" s="172"/>
      <c r="UI28" s="172"/>
      <c r="UJ28" s="172"/>
      <c r="UK28" s="172"/>
      <c r="UL28" s="172"/>
      <c r="UM28" s="172"/>
      <c r="UN28" s="172"/>
      <c r="UO28" s="172"/>
      <c r="UP28" s="172"/>
      <c r="UQ28" s="172"/>
      <c r="UR28" s="172"/>
      <c r="US28" s="172"/>
      <c r="UT28" s="172"/>
      <c r="UU28" s="172"/>
      <c r="UV28" s="172"/>
      <c r="UW28" s="172"/>
      <c r="UX28" s="172"/>
      <c r="UY28" s="172"/>
      <c r="UZ28" s="172"/>
      <c r="VA28" s="172"/>
      <c r="VB28" s="172"/>
      <c r="VC28" s="172"/>
      <c r="VD28" s="172"/>
      <c r="VE28" s="172"/>
      <c r="VF28" s="172"/>
      <c r="VG28" s="172"/>
      <c r="VH28" s="172"/>
      <c r="VI28" s="172"/>
      <c r="VJ28" s="172"/>
      <c r="VK28" s="172"/>
      <c r="VL28" s="172"/>
      <c r="VM28" s="172"/>
      <c r="VN28" s="172"/>
      <c r="VO28" s="172"/>
      <c r="VP28" s="172"/>
      <c r="VQ28" s="172"/>
      <c r="VR28" s="172"/>
      <c r="VS28" s="172"/>
      <c r="VT28" s="172"/>
      <c r="VU28" s="172"/>
      <c r="VV28" s="172"/>
      <c r="VW28" s="172"/>
      <c r="VX28" s="172"/>
      <c r="VY28" s="172"/>
      <c r="VZ28" s="172"/>
      <c r="WA28" s="172"/>
      <c r="WB28" s="172"/>
      <c r="WC28" s="172"/>
      <c r="WD28" s="172"/>
      <c r="WE28" s="172"/>
      <c r="WF28" s="172"/>
      <c r="WG28" s="172"/>
      <c r="WH28" s="172"/>
      <c r="WI28" s="172"/>
      <c r="WJ28" s="172"/>
      <c r="WK28" s="172"/>
      <c r="WL28" s="172"/>
      <c r="WM28" s="172"/>
      <c r="WN28" s="172"/>
      <c r="WO28" s="172"/>
      <c r="WP28" s="172"/>
      <c r="WQ28" s="172"/>
      <c r="WR28" s="172"/>
      <c r="WS28" s="172"/>
      <c r="WT28" s="172"/>
      <c r="WU28" s="172"/>
      <c r="WV28" s="172"/>
      <c r="WW28" s="172"/>
      <c r="WX28" s="172"/>
      <c r="WY28" s="172"/>
      <c r="WZ28" s="172"/>
      <c r="XA28" s="172"/>
      <c r="XB28" s="172"/>
      <c r="XC28" s="172"/>
      <c r="XD28" s="172"/>
      <c r="XE28" s="172"/>
      <c r="XF28" s="172"/>
      <c r="XG28" s="172"/>
      <c r="XH28" s="172"/>
      <c r="XI28" s="172"/>
      <c r="XJ28" s="172"/>
      <c r="XK28" s="172"/>
      <c r="XL28" s="172"/>
      <c r="XM28" s="172"/>
      <c r="XN28" s="172"/>
      <c r="XO28" s="172"/>
      <c r="XP28" s="172"/>
      <c r="XQ28" s="172"/>
      <c r="XR28" s="172"/>
      <c r="XS28" s="172"/>
      <c r="XT28" s="172"/>
      <c r="XU28" s="172"/>
      <c r="XV28" s="172"/>
      <c r="XW28" s="172"/>
      <c r="XX28" s="172"/>
      <c r="XY28" s="172"/>
      <c r="XZ28" s="172"/>
      <c r="YA28" s="172"/>
      <c r="YB28" s="172"/>
      <c r="YC28" s="172"/>
      <c r="YD28" s="172"/>
      <c r="YE28" s="172"/>
      <c r="YF28" s="172"/>
      <c r="YG28" s="172"/>
      <c r="YH28" s="172"/>
      <c r="YI28" s="172"/>
      <c r="YJ28" s="172"/>
      <c r="YK28" s="172"/>
      <c r="YL28" s="172"/>
      <c r="YM28" s="172"/>
      <c r="YN28" s="172"/>
      <c r="YO28" s="172"/>
      <c r="YP28" s="172"/>
      <c r="YQ28" s="172"/>
      <c r="YR28" s="172"/>
      <c r="YS28" s="172"/>
      <c r="YT28" s="172"/>
      <c r="YU28" s="172"/>
      <c r="YV28" s="172"/>
      <c r="YW28" s="172"/>
      <c r="YX28" s="172"/>
      <c r="YY28" s="172"/>
      <c r="YZ28" s="172"/>
      <c r="ZA28" s="172"/>
      <c r="ZB28" s="172"/>
      <c r="ZC28" s="172"/>
      <c r="ZD28" s="172"/>
      <c r="ZE28" s="172"/>
      <c r="ZF28" s="172"/>
      <c r="ZG28" s="172"/>
      <c r="ZH28" s="172"/>
      <c r="ZI28" s="172"/>
      <c r="ZJ28" s="172"/>
      <c r="ZK28" s="172"/>
      <c r="ZL28" s="172"/>
      <c r="ZM28" s="172"/>
      <c r="ZN28" s="172"/>
      <c r="ZO28" s="172"/>
      <c r="ZP28" s="172"/>
      <c r="ZQ28" s="172"/>
      <c r="ZR28" s="172"/>
      <c r="ZS28" s="172"/>
      <c r="ZT28" s="172"/>
      <c r="ZU28" s="172"/>
      <c r="ZV28" s="172"/>
      <c r="ZW28" s="172"/>
      <c r="ZX28" s="172"/>
      <c r="ZY28" s="172"/>
      <c r="ZZ28" s="172"/>
      <c r="AAA28" s="172"/>
      <c r="AAB28" s="172"/>
      <c r="AAC28" s="172"/>
      <c r="AAD28" s="172"/>
      <c r="AAE28" s="172"/>
      <c r="AAF28" s="172"/>
      <c r="AAG28" s="172"/>
      <c r="AAH28" s="172"/>
      <c r="AAI28" s="172"/>
      <c r="AAJ28" s="172"/>
      <c r="AAK28" s="172"/>
      <c r="AAL28" s="172"/>
      <c r="AAM28" s="172"/>
      <c r="AAN28" s="172"/>
      <c r="AAO28" s="172"/>
      <c r="AAP28" s="172"/>
      <c r="AAQ28" s="172"/>
      <c r="AAR28" s="172"/>
      <c r="AAS28" s="172"/>
      <c r="AAT28" s="172"/>
      <c r="AAU28" s="172"/>
      <c r="AAV28" s="172"/>
      <c r="AAW28" s="172"/>
      <c r="AAX28" s="172"/>
      <c r="AAY28" s="172"/>
      <c r="AAZ28" s="172"/>
      <c r="ABA28" s="172"/>
      <c r="ABB28" s="172"/>
      <c r="ABC28" s="172"/>
      <c r="ABD28" s="172"/>
      <c r="ABE28" s="172"/>
      <c r="ABF28" s="172"/>
      <c r="ABG28" s="172"/>
      <c r="ABH28" s="172"/>
      <c r="ABI28" s="172"/>
      <c r="ABJ28" s="172"/>
      <c r="ABK28" s="172"/>
      <c r="ABL28" s="172"/>
      <c r="ABM28" s="172"/>
      <c r="ABN28" s="172"/>
      <c r="ABO28" s="172"/>
      <c r="ABP28" s="172"/>
      <c r="ABQ28" s="172"/>
      <c r="ABR28" s="172"/>
      <c r="ABS28" s="172"/>
      <c r="ABT28" s="172"/>
      <c r="ABU28" s="172"/>
      <c r="ABV28" s="172"/>
      <c r="ABW28" s="172"/>
      <c r="ABX28" s="172"/>
      <c r="ABY28" s="172"/>
      <c r="ABZ28" s="172"/>
      <c r="ACA28" s="172"/>
      <c r="ACB28" s="172"/>
      <c r="ACC28" s="172"/>
      <c r="ACD28" s="172"/>
      <c r="ACE28" s="172"/>
      <c r="ACF28" s="172"/>
      <c r="ACG28" s="172"/>
      <c r="ACH28" s="172"/>
      <c r="ACI28" s="172"/>
      <c r="ACJ28" s="172"/>
      <c r="ACK28" s="172"/>
      <c r="ACL28" s="172"/>
      <c r="ACM28" s="172"/>
      <c r="ACN28" s="172"/>
      <c r="ACO28" s="172"/>
      <c r="ACP28" s="172"/>
      <c r="ACQ28" s="172"/>
      <c r="ACR28" s="172"/>
      <c r="ACS28" s="172"/>
      <c r="ACT28" s="172"/>
      <c r="ACU28" s="172"/>
      <c r="ACV28" s="172"/>
      <c r="ACW28" s="172"/>
      <c r="ACX28" s="172"/>
      <c r="ACY28" s="172"/>
      <c r="ACZ28" s="172"/>
      <c r="ADA28" s="172"/>
      <c r="ADB28" s="172"/>
      <c r="ADC28" s="172"/>
      <c r="ADD28" s="172"/>
      <c r="ADE28" s="172"/>
      <c r="ADF28" s="172"/>
      <c r="ADG28" s="172"/>
      <c r="ADH28" s="172"/>
      <c r="ADI28" s="172"/>
      <c r="ADJ28" s="172"/>
      <c r="ADK28" s="172"/>
      <c r="ADL28" s="172"/>
      <c r="ADM28" s="172"/>
      <c r="ADN28" s="172"/>
      <c r="ADO28" s="172"/>
      <c r="ADP28" s="172"/>
      <c r="ADQ28" s="172"/>
      <c r="ADR28" s="172"/>
      <c r="ADS28" s="172"/>
      <c r="ADT28" s="172"/>
      <c r="ADU28" s="172"/>
      <c r="ADV28" s="172"/>
      <c r="ADW28" s="172"/>
      <c r="ADX28" s="172"/>
      <c r="ADY28" s="172"/>
      <c r="ADZ28" s="172"/>
      <c r="AEA28" s="172"/>
      <c r="AEB28" s="172"/>
      <c r="AEC28" s="172"/>
      <c r="AED28" s="172"/>
      <c r="AEE28" s="172"/>
      <c r="AEF28" s="172"/>
      <c r="AEG28" s="172"/>
      <c r="AEH28" s="172"/>
      <c r="AEI28" s="172"/>
      <c r="AEJ28" s="172"/>
      <c r="AEK28" s="172"/>
      <c r="AEL28" s="172"/>
      <c r="AEM28" s="172"/>
      <c r="AEN28" s="172"/>
      <c r="AEO28" s="172"/>
      <c r="AEP28" s="172"/>
      <c r="AEQ28" s="172"/>
      <c r="AER28" s="172"/>
      <c r="AES28" s="172"/>
      <c r="AET28" s="172"/>
      <c r="AEU28" s="172"/>
      <c r="AEV28" s="172"/>
      <c r="AEW28" s="172"/>
      <c r="AEX28" s="172"/>
      <c r="AEY28" s="172"/>
      <c r="AEZ28" s="172"/>
      <c r="AFA28" s="172"/>
      <c r="AFB28" s="172"/>
      <c r="AFC28" s="172"/>
      <c r="AFD28" s="172"/>
      <c r="AFE28" s="172"/>
      <c r="AFF28" s="172"/>
      <c r="AFG28" s="172"/>
      <c r="AFH28" s="172"/>
      <c r="AFI28" s="172"/>
      <c r="AFJ28" s="172"/>
      <c r="AFK28" s="172"/>
      <c r="AFL28" s="172"/>
      <c r="AFM28" s="172"/>
      <c r="AFN28" s="172"/>
      <c r="AFO28" s="172"/>
      <c r="AFP28" s="172"/>
      <c r="AFQ28" s="172"/>
      <c r="AFR28" s="172"/>
      <c r="AFS28" s="172"/>
      <c r="AFT28" s="172"/>
      <c r="AFU28" s="172"/>
      <c r="AFV28" s="172"/>
      <c r="AFW28" s="172"/>
      <c r="AFX28" s="172"/>
      <c r="AFY28" s="172"/>
      <c r="AFZ28" s="172"/>
      <c r="AGA28" s="172"/>
      <c r="AGB28" s="172"/>
      <c r="AGC28" s="172"/>
      <c r="AGD28" s="172"/>
      <c r="AGE28" s="172"/>
      <c r="AGF28" s="172"/>
      <c r="AGG28" s="172"/>
      <c r="AGH28" s="172"/>
      <c r="AGI28" s="172"/>
      <c r="AGJ28" s="172"/>
      <c r="AGK28" s="172"/>
      <c r="AGL28" s="172"/>
      <c r="AGM28" s="172"/>
      <c r="AGN28" s="172"/>
      <c r="AGO28" s="172"/>
      <c r="AGP28" s="172"/>
      <c r="AGQ28" s="172"/>
      <c r="AGR28" s="172"/>
      <c r="AGS28" s="172"/>
      <c r="AGT28" s="172"/>
      <c r="AGU28" s="172"/>
      <c r="AGV28" s="172"/>
      <c r="AGW28" s="172"/>
      <c r="AGX28" s="172"/>
      <c r="AGY28" s="172"/>
      <c r="AGZ28" s="172"/>
      <c r="AHA28" s="172"/>
      <c r="AHB28" s="172"/>
      <c r="AHC28" s="172"/>
      <c r="AHD28" s="172"/>
      <c r="AHE28" s="172"/>
      <c r="AHF28" s="172"/>
      <c r="AHG28" s="172"/>
      <c r="AHH28" s="172"/>
      <c r="AHI28" s="172"/>
      <c r="AHJ28" s="172"/>
      <c r="AHK28" s="172"/>
      <c r="AHL28" s="172"/>
      <c r="AHM28" s="172"/>
      <c r="AHN28" s="172"/>
      <c r="AHO28" s="172"/>
      <c r="AHP28" s="172"/>
      <c r="AHQ28" s="172"/>
      <c r="AHR28" s="172"/>
      <c r="AHS28" s="172"/>
      <c r="AHT28" s="172"/>
      <c r="AHU28" s="172"/>
      <c r="AHV28" s="172"/>
      <c r="AHW28" s="172"/>
      <c r="AHX28" s="172"/>
      <c r="AHY28" s="172"/>
      <c r="AHZ28" s="172"/>
      <c r="AIA28" s="172"/>
      <c r="AIB28" s="172"/>
      <c r="AIC28" s="172"/>
      <c r="AID28" s="172"/>
      <c r="AIE28" s="172"/>
      <c r="AIF28" s="172"/>
      <c r="AIG28" s="172"/>
      <c r="AIH28" s="172"/>
      <c r="AII28" s="172"/>
      <c r="AIJ28" s="172"/>
      <c r="AIK28" s="172"/>
      <c r="AIL28" s="172"/>
      <c r="AIM28" s="172"/>
      <c r="AIN28" s="172"/>
      <c r="AIO28" s="172"/>
      <c r="AIP28" s="172"/>
      <c r="AIQ28" s="172"/>
      <c r="AIR28" s="172"/>
      <c r="AIS28" s="172"/>
      <c r="AIT28" s="172"/>
      <c r="AIU28" s="172"/>
      <c r="AIV28" s="172"/>
      <c r="AIW28" s="172"/>
      <c r="AIX28" s="172"/>
      <c r="AIY28" s="172"/>
      <c r="AIZ28" s="172"/>
      <c r="AJA28" s="172"/>
      <c r="AJB28" s="172"/>
      <c r="AJC28" s="172"/>
      <c r="AJD28" s="172"/>
      <c r="AJE28" s="172"/>
      <c r="AJF28" s="172"/>
      <c r="AJG28" s="172"/>
      <c r="AJH28" s="172"/>
      <c r="AJI28" s="172"/>
      <c r="AJJ28" s="172"/>
      <c r="AJK28" s="172"/>
      <c r="AJL28" s="172"/>
      <c r="AJM28" s="172"/>
      <c r="AJN28" s="172"/>
      <c r="AJO28" s="172"/>
      <c r="AJP28" s="172"/>
      <c r="AJQ28" s="172"/>
      <c r="AJR28" s="172"/>
      <c r="AJS28" s="172"/>
      <c r="AJT28" s="172"/>
      <c r="AJU28" s="172"/>
      <c r="AJV28" s="172"/>
      <c r="AJW28" s="172"/>
      <c r="AJX28" s="172"/>
      <c r="AJY28" s="172"/>
      <c r="AJZ28" s="172"/>
      <c r="AKA28" s="172"/>
      <c r="AKB28" s="172"/>
      <c r="AKC28" s="172"/>
      <c r="AKD28" s="172"/>
      <c r="AKE28" s="172"/>
      <c r="AKF28" s="172"/>
      <c r="AKG28" s="172"/>
      <c r="AKH28" s="172"/>
      <c r="AKI28" s="172"/>
      <c r="AKJ28" s="172"/>
      <c r="AKK28" s="172"/>
      <c r="AKL28" s="172"/>
      <c r="AKM28" s="172"/>
      <c r="AKN28" s="172"/>
      <c r="AKO28" s="172"/>
      <c r="AKP28" s="172"/>
      <c r="AKQ28" s="172"/>
      <c r="AKR28" s="172"/>
      <c r="AKS28" s="172"/>
      <c r="AKT28" s="172"/>
      <c r="AKU28" s="172"/>
      <c r="AKV28" s="172"/>
      <c r="AKW28" s="172"/>
      <c r="AKX28" s="172"/>
      <c r="AKY28" s="172"/>
      <c r="AKZ28" s="172"/>
      <c r="ALA28" s="172"/>
      <c r="ALB28" s="172"/>
      <c r="ALC28" s="172"/>
      <c r="ALD28" s="172"/>
      <c r="ALE28" s="172"/>
      <c r="ALF28" s="172"/>
      <c r="ALG28" s="172"/>
      <c r="ALH28" s="172"/>
      <c r="ALI28" s="172"/>
      <c r="ALJ28" s="172"/>
      <c r="ALK28" s="172"/>
      <c r="ALL28" s="172"/>
      <c r="ALM28" s="172"/>
      <c r="ALN28" s="172"/>
      <c r="ALO28" s="172"/>
      <c r="ALP28" s="172"/>
      <c r="ALQ28" s="172"/>
      <c r="ALR28" s="172"/>
      <c r="ALS28" s="172"/>
      <c r="ALT28" s="172"/>
      <c r="ALU28" s="172"/>
      <c r="ALV28" s="172"/>
      <c r="ALW28" s="172"/>
      <c r="ALX28" s="172"/>
      <c r="ALY28" s="172"/>
      <c r="ALZ28" s="172"/>
      <c r="AMA28" s="172"/>
      <c r="AMB28" s="172"/>
      <c r="AMC28" s="172"/>
      <c r="AMD28" s="172"/>
    </row>
    <row r="29" spans="1:1019" ht="15" customHeight="1">
      <c r="A29" s="168">
        <f t="shared" si="0"/>
        <v>24</v>
      </c>
      <c r="B29" s="175">
        <v>1756</v>
      </c>
      <c r="C29" s="175" t="s">
        <v>27</v>
      </c>
      <c r="D29" s="169">
        <f>'הנדסה '!D93</f>
        <v>800000</v>
      </c>
      <c r="E29" s="169">
        <f>'הנדסה '!E93</f>
        <v>500000</v>
      </c>
      <c r="F29" s="169">
        <f>'הנדסה '!F93</f>
        <v>300000</v>
      </c>
      <c r="G29" s="169">
        <f>'הנדסה '!G93</f>
        <v>400000</v>
      </c>
      <c r="H29" s="169">
        <f>'הנדסה '!H93</f>
        <v>175559</v>
      </c>
      <c r="I29" s="169">
        <f>'הנדסה '!I93</f>
        <v>36643.81</v>
      </c>
      <c r="J29" s="169">
        <f>'הנדסה '!J93</f>
        <v>44604</v>
      </c>
      <c r="K29" s="169">
        <f>'הנדסה '!K93</f>
        <v>81247.81</v>
      </c>
      <c r="L29" s="169">
        <f>'הנדסה '!L93</f>
        <v>256806.81</v>
      </c>
      <c r="M29" s="169">
        <f>'הנדסה '!M93</f>
        <v>143193.19</v>
      </c>
      <c r="N29" s="169">
        <f>'הנדסה '!N93</f>
        <v>200000</v>
      </c>
      <c r="O29" s="169">
        <f>'הנדסה '!O93</f>
        <v>199999.99999999994</v>
      </c>
      <c r="P29" s="169">
        <f>'הנדסה '!P93</f>
        <v>143193.19</v>
      </c>
      <c r="Q29" s="169">
        <f>'הנדסה '!Q93</f>
        <v>0</v>
      </c>
      <c r="R29" s="169">
        <f>'הנדסה '!R93</f>
        <v>0</v>
      </c>
      <c r="S29" s="169">
        <f>'הנדסה '!S93</f>
        <v>0</v>
      </c>
      <c r="T29" s="169">
        <f>'הנדסה '!T93</f>
        <v>0</v>
      </c>
      <c r="U29" s="169">
        <f>'הנדסה '!U93</f>
        <v>200000</v>
      </c>
      <c r="V29" s="169">
        <f>'הנדסה '!V93</f>
        <v>200000</v>
      </c>
      <c r="W29" s="169">
        <f>'הנדסה '!W93</f>
        <v>0</v>
      </c>
      <c r="X29" s="169">
        <f>'הנדסה '!X93</f>
        <v>0</v>
      </c>
      <c r="Y29" s="169">
        <f>'הנדסה '!Y93</f>
        <v>0</v>
      </c>
      <c r="Z29" s="169">
        <f>'הנדסה '!Z93</f>
        <v>0</v>
      </c>
      <c r="AA29" s="659">
        <f>'הנדסה '!AA93</f>
        <v>732000</v>
      </c>
      <c r="AB29" s="157"/>
    </row>
    <row r="30" spans="1:1019" s="174" customFormat="1" ht="15" customHeight="1">
      <c r="A30" s="168">
        <f t="shared" si="0"/>
        <v>25</v>
      </c>
      <c r="B30" s="175">
        <v>1757</v>
      </c>
      <c r="C30" s="168" t="s">
        <v>28</v>
      </c>
      <c r="D30" s="169">
        <f>'הנדסה '!D94</f>
        <v>300000</v>
      </c>
      <c r="E30" s="169">
        <f>'הנדסה '!E94</f>
        <v>300000</v>
      </c>
      <c r="F30" s="169">
        <f>'הנדסה '!F94</f>
        <v>0</v>
      </c>
      <c r="G30" s="169">
        <f>'הנדסה '!G94</f>
        <v>110000</v>
      </c>
      <c r="H30" s="169">
        <f>'הנדסה '!H94</f>
        <v>10908.07</v>
      </c>
      <c r="I30" s="169">
        <f>'הנדסה '!I94</f>
        <v>908.93</v>
      </c>
      <c r="J30" s="169">
        <f>'הנדסה '!J94</f>
        <v>0</v>
      </c>
      <c r="K30" s="169">
        <f>'הנדסה '!K94</f>
        <v>908.93</v>
      </c>
      <c r="L30" s="169">
        <f>'הנדסה '!L94</f>
        <v>11817</v>
      </c>
      <c r="M30" s="169">
        <f>'הנדסה '!M94</f>
        <v>48183</v>
      </c>
      <c r="N30" s="169">
        <f>'הנדסה '!N94</f>
        <v>100000</v>
      </c>
      <c r="O30" s="169">
        <f>'הנדסה '!O94</f>
        <v>140000</v>
      </c>
      <c r="P30" s="169">
        <f>'הנדסה '!P94</f>
        <v>98183</v>
      </c>
      <c r="Q30" s="169">
        <f>'הנדסה '!Q94</f>
        <v>0</v>
      </c>
      <c r="R30" s="169">
        <f>'הנדסה '!R94</f>
        <v>0</v>
      </c>
      <c r="S30" s="169">
        <f>'הנדסה '!S94</f>
        <v>0</v>
      </c>
      <c r="T30" s="169">
        <f>'הנדסה '!T94</f>
        <v>50000</v>
      </c>
      <c r="U30" s="169">
        <f>'הנדסה '!U94</f>
        <v>50000</v>
      </c>
      <c r="V30" s="169">
        <f>'הנדסה '!V94</f>
        <v>50000</v>
      </c>
      <c r="W30" s="169">
        <f>'הנדסה '!W94</f>
        <v>0</v>
      </c>
      <c r="X30" s="169">
        <f>'הנדסה '!X94</f>
        <v>0</v>
      </c>
      <c r="Y30" s="169">
        <f>'הנדסה '!Y94</f>
        <v>0</v>
      </c>
      <c r="Z30" s="169">
        <f>'הנדסה '!Z94</f>
        <v>0</v>
      </c>
      <c r="AA30" s="659">
        <f>'הנדסה '!AA94</f>
        <v>732000</v>
      </c>
      <c r="AB30" s="157"/>
      <c r="AC30" s="157"/>
      <c r="AD30" s="157"/>
      <c r="AE30" s="157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0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0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0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0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0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0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0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0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0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0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0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0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0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0"/>
      <c r="AFF30" s="160"/>
      <c r="AFG30" s="160"/>
      <c r="AFH30" s="160"/>
      <c r="AFI30" s="160"/>
      <c r="AFJ30" s="160"/>
      <c r="AFK30" s="160"/>
      <c r="AFL30" s="160"/>
      <c r="AFM30" s="160"/>
      <c r="AFN30" s="160"/>
      <c r="AFO30" s="160"/>
      <c r="AFP30" s="160"/>
      <c r="AFQ30" s="160"/>
      <c r="AFR30" s="160"/>
      <c r="AFS30" s="160"/>
      <c r="AFT30" s="160"/>
      <c r="AFU30" s="160"/>
      <c r="AFV30" s="160"/>
      <c r="AFW30" s="160"/>
      <c r="AFX30" s="160"/>
      <c r="AFY30" s="160"/>
      <c r="AFZ30" s="160"/>
      <c r="AGA30" s="160"/>
      <c r="AGB30" s="160"/>
      <c r="AGC30" s="160"/>
      <c r="AGD30" s="160"/>
      <c r="AGE30" s="160"/>
      <c r="AGF30" s="160"/>
      <c r="AGG30" s="160"/>
      <c r="AGH30" s="160"/>
      <c r="AGI30" s="160"/>
      <c r="AGJ30" s="160"/>
      <c r="AGK30" s="160"/>
      <c r="AGL30" s="160"/>
      <c r="AGM30" s="160"/>
      <c r="AGN30" s="160"/>
      <c r="AGO30" s="160"/>
      <c r="AGP30" s="160"/>
      <c r="AGQ30" s="160"/>
      <c r="AGR30" s="160"/>
      <c r="AGS30" s="160"/>
      <c r="AGT30" s="160"/>
      <c r="AGU30" s="160"/>
      <c r="AGV30" s="160"/>
      <c r="AGW30" s="160"/>
      <c r="AGX30" s="160"/>
      <c r="AGY30" s="160"/>
      <c r="AGZ30" s="160"/>
      <c r="AHA30" s="160"/>
      <c r="AHB30" s="160"/>
      <c r="AHC30" s="160"/>
      <c r="AHD30" s="160"/>
      <c r="AHE30" s="160"/>
      <c r="AHF30" s="160"/>
      <c r="AHG30" s="160"/>
      <c r="AHH30" s="160"/>
      <c r="AHI30" s="160"/>
      <c r="AHJ30" s="160"/>
      <c r="AHK30" s="160"/>
      <c r="AHL30" s="160"/>
      <c r="AHM30" s="160"/>
      <c r="AHN30" s="160"/>
      <c r="AHO30" s="160"/>
      <c r="AHP30" s="160"/>
      <c r="AHQ30" s="160"/>
      <c r="AHR30" s="160"/>
      <c r="AHS30" s="160"/>
      <c r="AHT30" s="160"/>
      <c r="AHU30" s="160"/>
      <c r="AHV30" s="160"/>
      <c r="AHW30" s="160"/>
      <c r="AHX30" s="160"/>
      <c r="AHY30" s="160"/>
      <c r="AHZ30" s="160"/>
      <c r="AIA30" s="160"/>
      <c r="AIB30" s="160"/>
      <c r="AIC30" s="160"/>
      <c r="AID30" s="160"/>
      <c r="AIE30" s="160"/>
      <c r="AIF30" s="160"/>
      <c r="AIG30" s="160"/>
      <c r="AIH30" s="160"/>
      <c r="AII30" s="160"/>
      <c r="AIJ30" s="160"/>
      <c r="AIK30" s="160"/>
      <c r="AIL30" s="160"/>
      <c r="AIM30" s="160"/>
      <c r="AIN30" s="160"/>
      <c r="AIO30" s="160"/>
      <c r="AIP30" s="160"/>
      <c r="AIQ30" s="160"/>
      <c r="AIR30" s="160"/>
      <c r="AIS30" s="160"/>
      <c r="AIT30" s="160"/>
      <c r="AIU30" s="160"/>
      <c r="AIV30" s="160"/>
      <c r="AIW30" s="160"/>
      <c r="AIX30" s="160"/>
      <c r="AIY30" s="160"/>
      <c r="AIZ30" s="160"/>
      <c r="AJA30" s="160"/>
      <c r="AJB30" s="160"/>
      <c r="AJC30" s="160"/>
      <c r="AJD30" s="160"/>
      <c r="AJE30" s="160"/>
      <c r="AJF30" s="160"/>
      <c r="AJG30" s="160"/>
      <c r="AJH30" s="160"/>
      <c r="AJI30" s="160"/>
      <c r="AJJ30" s="160"/>
      <c r="AJK30" s="160"/>
      <c r="AJL30" s="160"/>
      <c r="AJM30" s="160"/>
      <c r="AJN30" s="160"/>
      <c r="AJO30" s="160"/>
      <c r="AJP30" s="160"/>
      <c r="AJQ30" s="160"/>
      <c r="AJR30" s="160"/>
      <c r="AJS30" s="160"/>
      <c r="AJT30" s="160"/>
      <c r="AJU30" s="160"/>
      <c r="AJV30" s="160"/>
      <c r="AJW30" s="160"/>
      <c r="AJX30" s="160"/>
      <c r="AJY30" s="160"/>
      <c r="AJZ30" s="160"/>
      <c r="AKA30" s="160"/>
      <c r="AKB30" s="160"/>
      <c r="AKC30" s="160"/>
      <c r="AKD30" s="160"/>
      <c r="AKE30" s="160"/>
      <c r="AKF30" s="160"/>
      <c r="AKG30" s="160"/>
      <c r="AKH30" s="160"/>
      <c r="AKI30" s="160"/>
      <c r="AKJ30" s="160"/>
      <c r="AKK30" s="160"/>
      <c r="AKL30" s="160"/>
      <c r="AKM30" s="160"/>
      <c r="AKN30" s="160"/>
      <c r="AKO30" s="160"/>
      <c r="AKP30" s="160"/>
      <c r="AKQ30" s="160"/>
      <c r="AKR30" s="160"/>
      <c r="AKS30" s="160"/>
      <c r="AKT30" s="160"/>
      <c r="AKU30" s="160"/>
      <c r="AKV30" s="160"/>
      <c r="AKW30" s="160"/>
      <c r="AKX30" s="160"/>
      <c r="AKY30" s="160"/>
      <c r="AKZ30" s="160"/>
      <c r="ALA30" s="160"/>
      <c r="ALB30" s="160"/>
      <c r="ALC30" s="160"/>
      <c r="ALD30" s="160"/>
      <c r="ALE30" s="160"/>
      <c r="ALF30" s="160"/>
      <c r="ALG30" s="160"/>
      <c r="ALH30" s="160"/>
      <c r="ALI30" s="160"/>
      <c r="ALJ30" s="160"/>
      <c r="ALK30" s="160"/>
      <c r="ALL30" s="160"/>
      <c r="ALM30" s="160"/>
      <c r="ALN30" s="160"/>
      <c r="ALO30" s="160"/>
      <c r="ALP30" s="160"/>
      <c r="ALQ30" s="160"/>
      <c r="ALR30" s="160"/>
      <c r="ALS30" s="160"/>
      <c r="ALT30" s="160"/>
      <c r="ALU30" s="160"/>
      <c r="ALV30" s="160"/>
      <c r="ALW30" s="160"/>
      <c r="ALX30" s="160"/>
      <c r="ALY30" s="160"/>
      <c r="ALZ30" s="160"/>
      <c r="AMA30" s="160"/>
      <c r="AMB30" s="160"/>
      <c r="AMC30" s="160"/>
      <c r="AMD30" s="160"/>
      <c r="AME30" s="158"/>
    </row>
    <row r="31" spans="1:1019" s="174" customFormat="1" ht="15" customHeight="1">
      <c r="A31" s="168">
        <f t="shared" si="0"/>
        <v>26</v>
      </c>
      <c r="B31" s="175">
        <v>1758</v>
      </c>
      <c r="C31" s="168" t="s">
        <v>213</v>
      </c>
      <c r="D31" s="169">
        <f>'הנדסה '!D95</f>
        <v>300000</v>
      </c>
      <c r="E31" s="169">
        <f>'הנדסה '!E95</f>
        <v>300000</v>
      </c>
      <c r="F31" s="169">
        <f>'הנדסה '!F95</f>
        <v>0</v>
      </c>
      <c r="G31" s="169">
        <f>'הנדסה '!G95</f>
        <v>120000</v>
      </c>
      <c r="H31" s="169">
        <f>'הנדסה '!H95</f>
        <v>10908.07</v>
      </c>
      <c r="I31" s="169">
        <f>'הנדסה '!I95</f>
        <v>4828.43</v>
      </c>
      <c r="J31" s="169">
        <f>'הנדסה '!J95</f>
        <v>380.25</v>
      </c>
      <c r="K31" s="169">
        <f>'הנדסה '!K95</f>
        <v>5208.68</v>
      </c>
      <c r="L31" s="169">
        <f>'הנדסה '!L95</f>
        <v>16116.75</v>
      </c>
      <c r="M31" s="169">
        <f>'הנדסה '!M95</f>
        <v>53883.25</v>
      </c>
      <c r="N31" s="169">
        <f>'הנדסה '!N95</f>
        <v>100000</v>
      </c>
      <c r="O31" s="169">
        <f>'הנדסה '!O95</f>
        <v>130000</v>
      </c>
      <c r="P31" s="169">
        <f>'הנדסה '!P95</f>
        <v>103883.25</v>
      </c>
      <c r="Q31" s="169">
        <f>'הנדסה '!Q95</f>
        <v>0</v>
      </c>
      <c r="R31" s="169">
        <f>'הנדסה '!R95</f>
        <v>0</v>
      </c>
      <c r="S31" s="169">
        <f>'הנדסה '!S95</f>
        <v>0</v>
      </c>
      <c r="T31" s="169">
        <f>'הנדסה '!T95</f>
        <v>50000</v>
      </c>
      <c r="U31" s="169">
        <f>'הנדסה '!U95</f>
        <v>50000</v>
      </c>
      <c r="V31" s="169">
        <f>'הנדסה '!V95</f>
        <v>50000</v>
      </c>
      <c r="W31" s="169">
        <f>'הנדסה '!W95</f>
        <v>0</v>
      </c>
      <c r="X31" s="169">
        <f>'הנדסה '!X95</f>
        <v>0</v>
      </c>
      <c r="Y31" s="169">
        <f>'הנדסה '!Y95</f>
        <v>0</v>
      </c>
      <c r="Z31" s="169">
        <f>'הנדסה '!Z95</f>
        <v>0</v>
      </c>
      <c r="AA31" s="659">
        <f>'הנדסה '!AA95</f>
        <v>732000</v>
      </c>
      <c r="AB31" s="157"/>
      <c r="AC31" s="157"/>
      <c r="AD31" s="157"/>
      <c r="AE31" s="157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0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0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0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0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0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0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0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0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0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0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0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0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0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0"/>
      <c r="AFF31" s="160"/>
      <c r="AFG31" s="160"/>
      <c r="AFH31" s="160"/>
      <c r="AFI31" s="160"/>
      <c r="AFJ31" s="160"/>
      <c r="AFK31" s="160"/>
      <c r="AFL31" s="160"/>
      <c r="AFM31" s="160"/>
      <c r="AFN31" s="160"/>
      <c r="AFO31" s="160"/>
      <c r="AFP31" s="160"/>
      <c r="AFQ31" s="160"/>
      <c r="AFR31" s="160"/>
      <c r="AFS31" s="160"/>
      <c r="AFT31" s="160"/>
      <c r="AFU31" s="160"/>
      <c r="AFV31" s="160"/>
      <c r="AFW31" s="160"/>
      <c r="AFX31" s="160"/>
      <c r="AFY31" s="160"/>
      <c r="AFZ31" s="160"/>
      <c r="AGA31" s="160"/>
      <c r="AGB31" s="160"/>
      <c r="AGC31" s="160"/>
      <c r="AGD31" s="160"/>
      <c r="AGE31" s="160"/>
      <c r="AGF31" s="160"/>
      <c r="AGG31" s="160"/>
      <c r="AGH31" s="160"/>
      <c r="AGI31" s="160"/>
      <c r="AGJ31" s="160"/>
      <c r="AGK31" s="160"/>
      <c r="AGL31" s="160"/>
      <c r="AGM31" s="160"/>
      <c r="AGN31" s="160"/>
      <c r="AGO31" s="160"/>
      <c r="AGP31" s="160"/>
      <c r="AGQ31" s="160"/>
      <c r="AGR31" s="160"/>
      <c r="AGS31" s="160"/>
      <c r="AGT31" s="160"/>
      <c r="AGU31" s="160"/>
      <c r="AGV31" s="160"/>
      <c r="AGW31" s="160"/>
      <c r="AGX31" s="160"/>
      <c r="AGY31" s="160"/>
      <c r="AGZ31" s="160"/>
      <c r="AHA31" s="160"/>
      <c r="AHB31" s="160"/>
      <c r="AHC31" s="160"/>
      <c r="AHD31" s="160"/>
      <c r="AHE31" s="160"/>
      <c r="AHF31" s="160"/>
      <c r="AHG31" s="160"/>
      <c r="AHH31" s="160"/>
      <c r="AHI31" s="160"/>
      <c r="AHJ31" s="160"/>
      <c r="AHK31" s="160"/>
      <c r="AHL31" s="160"/>
      <c r="AHM31" s="160"/>
      <c r="AHN31" s="160"/>
      <c r="AHO31" s="160"/>
      <c r="AHP31" s="160"/>
      <c r="AHQ31" s="160"/>
      <c r="AHR31" s="160"/>
      <c r="AHS31" s="160"/>
      <c r="AHT31" s="160"/>
      <c r="AHU31" s="160"/>
      <c r="AHV31" s="160"/>
      <c r="AHW31" s="160"/>
      <c r="AHX31" s="160"/>
      <c r="AHY31" s="160"/>
      <c r="AHZ31" s="160"/>
      <c r="AIA31" s="160"/>
      <c r="AIB31" s="160"/>
      <c r="AIC31" s="160"/>
      <c r="AID31" s="160"/>
      <c r="AIE31" s="160"/>
      <c r="AIF31" s="160"/>
      <c r="AIG31" s="160"/>
      <c r="AIH31" s="160"/>
      <c r="AII31" s="160"/>
      <c r="AIJ31" s="160"/>
      <c r="AIK31" s="160"/>
      <c r="AIL31" s="160"/>
      <c r="AIM31" s="160"/>
      <c r="AIN31" s="160"/>
      <c r="AIO31" s="160"/>
      <c r="AIP31" s="160"/>
      <c r="AIQ31" s="160"/>
      <c r="AIR31" s="160"/>
      <c r="AIS31" s="160"/>
      <c r="AIT31" s="160"/>
      <c r="AIU31" s="160"/>
      <c r="AIV31" s="160"/>
      <c r="AIW31" s="160"/>
      <c r="AIX31" s="160"/>
      <c r="AIY31" s="160"/>
      <c r="AIZ31" s="160"/>
      <c r="AJA31" s="160"/>
      <c r="AJB31" s="160"/>
      <c r="AJC31" s="160"/>
      <c r="AJD31" s="160"/>
      <c r="AJE31" s="160"/>
      <c r="AJF31" s="160"/>
      <c r="AJG31" s="160"/>
      <c r="AJH31" s="160"/>
      <c r="AJI31" s="160"/>
      <c r="AJJ31" s="160"/>
      <c r="AJK31" s="160"/>
      <c r="AJL31" s="160"/>
      <c r="AJM31" s="160"/>
      <c r="AJN31" s="160"/>
      <c r="AJO31" s="160"/>
      <c r="AJP31" s="160"/>
      <c r="AJQ31" s="160"/>
      <c r="AJR31" s="160"/>
      <c r="AJS31" s="160"/>
      <c r="AJT31" s="160"/>
      <c r="AJU31" s="160"/>
      <c r="AJV31" s="160"/>
      <c r="AJW31" s="160"/>
      <c r="AJX31" s="160"/>
      <c r="AJY31" s="160"/>
      <c r="AJZ31" s="160"/>
      <c r="AKA31" s="160"/>
      <c r="AKB31" s="160"/>
      <c r="AKC31" s="160"/>
      <c r="AKD31" s="160"/>
      <c r="AKE31" s="160"/>
      <c r="AKF31" s="160"/>
      <c r="AKG31" s="160"/>
      <c r="AKH31" s="160"/>
      <c r="AKI31" s="160"/>
      <c r="AKJ31" s="160"/>
      <c r="AKK31" s="160"/>
      <c r="AKL31" s="160"/>
      <c r="AKM31" s="160"/>
      <c r="AKN31" s="160"/>
      <c r="AKO31" s="160"/>
      <c r="AKP31" s="160"/>
      <c r="AKQ31" s="160"/>
      <c r="AKR31" s="160"/>
      <c r="AKS31" s="160"/>
      <c r="AKT31" s="160"/>
      <c r="AKU31" s="160"/>
      <c r="AKV31" s="160"/>
      <c r="AKW31" s="160"/>
      <c r="AKX31" s="160"/>
      <c r="AKY31" s="160"/>
      <c r="AKZ31" s="160"/>
      <c r="ALA31" s="160"/>
      <c r="ALB31" s="160"/>
      <c r="ALC31" s="160"/>
      <c r="ALD31" s="160"/>
      <c r="ALE31" s="160"/>
      <c r="ALF31" s="160"/>
      <c r="ALG31" s="160"/>
      <c r="ALH31" s="160"/>
      <c r="ALI31" s="160"/>
      <c r="ALJ31" s="160"/>
      <c r="ALK31" s="160"/>
      <c r="ALL31" s="160"/>
      <c r="ALM31" s="160"/>
      <c r="ALN31" s="160"/>
      <c r="ALO31" s="160"/>
      <c r="ALP31" s="160"/>
      <c r="ALQ31" s="160"/>
      <c r="ALR31" s="160"/>
      <c r="ALS31" s="160"/>
      <c r="ALT31" s="160"/>
      <c r="ALU31" s="160"/>
      <c r="ALV31" s="160"/>
      <c r="ALW31" s="160"/>
      <c r="ALX31" s="160"/>
      <c r="ALY31" s="160"/>
      <c r="ALZ31" s="160"/>
      <c r="AMA31" s="160"/>
      <c r="AMB31" s="160"/>
      <c r="AMC31" s="160"/>
      <c r="AMD31" s="160"/>
      <c r="AME31" s="158"/>
    </row>
    <row r="32" spans="1:1019" ht="15" customHeight="1">
      <c r="A32" s="168">
        <f t="shared" si="0"/>
        <v>27</v>
      </c>
      <c r="B32" s="175">
        <v>1759</v>
      </c>
      <c r="C32" s="175" t="s">
        <v>29</v>
      </c>
      <c r="D32" s="169">
        <f>'הנדסה '!D96</f>
        <v>600000</v>
      </c>
      <c r="E32" s="169">
        <f>'הנדסה '!E96</f>
        <v>600000</v>
      </c>
      <c r="F32" s="169">
        <f>'הנדסה '!F96</f>
        <v>0</v>
      </c>
      <c r="G32" s="169">
        <f>'הנדסה '!G96</f>
        <v>500000</v>
      </c>
      <c r="H32" s="169">
        <f>'הנדסה '!H96</f>
        <v>478660</v>
      </c>
      <c r="I32" s="169">
        <f>'הנדסה '!I96</f>
        <v>600</v>
      </c>
      <c r="J32" s="169">
        <f>'הנדסה '!J96</f>
        <v>17151.75</v>
      </c>
      <c r="K32" s="169">
        <f>'הנדסה '!K96</f>
        <v>17751.75</v>
      </c>
      <c r="L32" s="169">
        <f>'הנדסה '!L96</f>
        <v>496411.75</v>
      </c>
      <c r="M32" s="169">
        <f>'הנדסה '!M96</f>
        <v>3588.25</v>
      </c>
      <c r="N32" s="169">
        <f>'הנדסה '!N96</f>
        <v>0</v>
      </c>
      <c r="O32" s="169">
        <f>'הנדסה '!O96</f>
        <v>100000</v>
      </c>
      <c r="P32" s="169">
        <f>'הנדסה '!P96</f>
        <v>3588.25</v>
      </c>
      <c r="Q32" s="169">
        <f>'הנדסה '!Q96</f>
        <v>0</v>
      </c>
      <c r="R32" s="169">
        <f>'הנדסה '!R96</f>
        <v>0</v>
      </c>
      <c r="S32" s="169">
        <f>'הנדסה '!S96</f>
        <v>0</v>
      </c>
      <c r="T32" s="169">
        <f>'הנדסה '!T96</f>
        <v>0</v>
      </c>
      <c r="U32" s="169">
        <f>'הנדסה '!U96</f>
        <v>0</v>
      </c>
      <c r="V32" s="169">
        <f>'הנדסה '!V96</f>
        <v>0</v>
      </c>
      <c r="W32" s="169">
        <f>'הנדסה '!W96</f>
        <v>0</v>
      </c>
      <c r="X32" s="169">
        <f>'הנדסה '!X96</f>
        <v>0</v>
      </c>
      <c r="Y32" s="169">
        <f>'הנדסה '!Y96</f>
        <v>0</v>
      </c>
      <c r="Z32" s="169">
        <f>'הנדסה '!Z96</f>
        <v>0</v>
      </c>
      <c r="AA32" s="659">
        <f>'הנדסה '!AA96</f>
        <v>732000</v>
      </c>
      <c r="AB32" s="157"/>
    </row>
    <row r="33" spans="1:1019" ht="15" customHeight="1">
      <c r="A33" s="168">
        <f t="shared" si="0"/>
        <v>28</v>
      </c>
      <c r="B33" s="175">
        <v>1760</v>
      </c>
      <c r="C33" s="168" t="s">
        <v>1002</v>
      </c>
      <c r="D33" s="169">
        <f>'הנדסה '!D71</f>
        <v>900000</v>
      </c>
      <c r="E33" s="169">
        <f>'הנדסה '!E71</f>
        <v>500000</v>
      </c>
      <c r="F33" s="169">
        <f>'הנדסה '!F71</f>
        <v>400000</v>
      </c>
      <c r="G33" s="169">
        <f>'הנדסה '!G71</f>
        <v>300000</v>
      </c>
      <c r="H33" s="169">
        <f>'הנדסה '!H71</f>
        <v>38898</v>
      </c>
      <c r="I33" s="169">
        <f>'הנדסה '!I71</f>
        <v>0</v>
      </c>
      <c r="J33" s="169">
        <f>'הנדסה '!J71</f>
        <v>1228</v>
      </c>
      <c r="K33" s="169">
        <f>'הנדסה '!K71</f>
        <v>1228</v>
      </c>
      <c r="L33" s="169">
        <f>'הנדסה '!L71</f>
        <v>40126</v>
      </c>
      <c r="M33" s="169">
        <f>'הנדסה '!M71</f>
        <v>259874</v>
      </c>
      <c r="N33" s="169">
        <f>'הנדסה '!N71</f>
        <v>100000</v>
      </c>
      <c r="O33" s="169">
        <f>'הנדסה '!O71</f>
        <v>500000</v>
      </c>
      <c r="P33" s="169">
        <f>'הנדסה '!P71</f>
        <v>259874</v>
      </c>
      <c r="Q33" s="169">
        <f>'הנדסה '!Q71</f>
        <v>0</v>
      </c>
      <c r="R33" s="169">
        <f>'הנדסה '!R71</f>
        <v>0</v>
      </c>
      <c r="S33" s="169">
        <f>'הנדסה '!S71</f>
        <v>0</v>
      </c>
      <c r="T33" s="169">
        <f>'הנדסה '!T71</f>
        <v>0</v>
      </c>
      <c r="U33" s="169">
        <f>'הנדסה '!U71</f>
        <v>100000</v>
      </c>
      <c r="V33" s="169">
        <f>'הנדסה '!V71</f>
        <v>100000</v>
      </c>
      <c r="W33" s="169">
        <f>'הנדסה '!W71</f>
        <v>0</v>
      </c>
      <c r="X33" s="169">
        <f>'הנדסה '!X71</f>
        <v>0</v>
      </c>
      <c r="Y33" s="169">
        <f>'הנדסה '!Y71</f>
        <v>0</v>
      </c>
      <c r="Z33" s="169">
        <f>'הנדסה '!Z71</f>
        <v>0</v>
      </c>
      <c r="AA33" s="659">
        <f>'הנדסה '!AA71</f>
        <v>732000</v>
      </c>
      <c r="AB33" s="157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  <c r="JD33" s="172"/>
      <c r="JE33" s="172"/>
      <c r="JF33" s="172"/>
      <c r="JG33" s="172"/>
      <c r="JH33" s="172"/>
      <c r="JI33" s="172"/>
      <c r="JJ33" s="172"/>
      <c r="JK33" s="172"/>
      <c r="JL33" s="172"/>
      <c r="JM33" s="172"/>
      <c r="JN33" s="172"/>
      <c r="JO33" s="172"/>
      <c r="JP33" s="172"/>
      <c r="JQ33" s="172"/>
      <c r="JR33" s="172"/>
      <c r="JS33" s="172"/>
      <c r="JT33" s="172"/>
      <c r="JU33" s="172"/>
      <c r="JV33" s="172"/>
      <c r="JW33" s="172"/>
      <c r="JX33" s="172"/>
      <c r="JY33" s="172"/>
      <c r="JZ33" s="172"/>
      <c r="KA33" s="172"/>
      <c r="KB33" s="172"/>
      <c r="KC33" s="172"/>
      <c r="KD33" s="172"/>
      <c r="KE33" s="172"/>
      <c r="KF33" s="172"/>
      <c r="KG33" s="172"/>
      <c r="KH33" s="172"/>
      <c r="KI33" s="172"/>
      <c r="KJ33" s="172"/>
      <c r="KK33" s="172"/>
      <c r="KL33" s="172"/>
      <c r="KM33" s="172"/>
      <c r="KN33" s="172"/>
      <c r="KO33" s="172"/>
      <c r="KP33" s="172"/>
      <c r="KQ33" s="172"/>
      <c r="KR33" s="172"/>
      <c r="KS33" s="172"/>
      <c r="KT33" s="172"/>
      <c r="KU33" s="172"/>
      <c r="KV33" s="172"/>
      <c r="KW33" s="172"/>
      <c r="KX33" s="172"/>
      <c r="KY33" s="172"/>
      <c r="KZ33" s="172"/>
      <c r="LA33" s="172"/>
      <c r="LB33" s="172"/>
      <c r="LC33" s="172"/>
      <c r="LD33" s="172"/>
      <c r="LE33" s="172"/>
      <c r="LF33" s="172"/>
      <c r="LG33" s="172"/>
      <c r="LH33" s="172"/>
      <c r="LI33" s="172"/>
      <c r="LJ33" s="172"/>
      <c r="LK33" s="172"/>
      <c r="LL33" s="172"/>
      <c r="LM33" s="172"/>
      <c r="LN33" s="172"/>
      <c r="LO33" s="172"/>
      <c r="LP33" s="172"/>
      <c r="LQ33" s="172"/>
      <c r="LR33" s="172"/>
      <c r="LS33" s="172"/>
      <c r="LT33" s="172"/>
      <c r="LU33" s="172"/>
      <c r="LV33" s="172"/>
      <c r="LW33" s="172"/>
      <c r="LX33" s="172"/>
      <c r="LY33" s="172"/>
      <c r="LZ33" s="172"/>
      <c r="MA33" s="172"/>
      <c r="MB33" s="172"/>
      <c r="MC33" s="172"/>
      <c r="MD33" s="172"/>
      <c r="ME33" s="172"/>
      <c r="MF33" s="172"/>
      <c r="MG33" s="172"/>
      <c r="MH33" s="172"/>
      <c r="MI33" s="172"/>
      <c r="MJ33" s="172"/>
      <c r="MK33" s="172"/>
      <c r="ML33" s="172"/>
      <c r="MM33" s="172"/>
      <c r="MN33" s="172"/>
      <c r="MO33" s="172"/>
      <c r="MP33" s="172"/>
      <c r="MQ33" s="172"/>
      <c r="MR33" s="172"/>
      <c r="MS33" s="172"/>
      <c r="MT33" s="172"/>
      <c r="MU33" s="172"/>
      <c r="MV33" s="172"/>
      <c r="MW33" s="172"/>
      <c r="MX33" s="172"/>
      <c r="MY33" s="172"/>
      <c r="MZ33" s="172"/>
      <c r="NA33" s="172"/>
      <c r="NB33" s="172"/>
      <c r="NC33" s="172"/>
      <c r="ND33" s="172"/>
      <c r="NE33" s="172"/>
      <c r="NF33" s="172"/>
      <c r="NG33" s="172"/>
      <c r="NH33" s="172"/>
      <c r="NI33" s="172"/>
      <c r="NJ33" s="172"/>
      <c r="NK33" s="172"/>
      <c r="NL33" s="172"/>
      <c r="NM33" s="172"/>
      <c r="NN33" s="172"/>
      <c r="NO33" s="172"/>
      <c r="NP33" s="172"/>
      <c r="NQ33" s="172"/>
      <c r="NR33" s="172"/>
      <c r="NS33" s="172"/>
      <c r="NT33" s="172"/>
      <c r="NU33" s="172"/>
      <c r="NV33" s="172"/>
      <c r="NW33" s="172"/>
      <c r="NX33" s="172"/>
      <c r="NY33" s="172"/>
      <c r="NZ33" s="172"/>
      <c r="OA33" s="172"/>
      <c r="OB33" s="172"/>
      <c r="OC33" s="172"/>
      <c r="OD33" s="172"/>
      <c r="OE33" s="172"/>
      <c r="OF33" s="172"/>
      <c r="OG33" s="172"/>
      <c r="OH33" s="172"/>
      <c r="OI33" s="172"/>
      <c r="OJ33" s="172"/>
      <c r="OK33" s="172"/>
      <c r="OL33" s="172"/>
      <c r="OM33" s="172"/>
      <c r="ON33" s="172"/>
      <c r="OO33" s="172"/>
      <c r="OP33" s="172"/>
      <c r="OQ33" s="172"/>
      <c r="OR33" s="172"/>
      <c r="OS33" s="172"/>
      <c r="OT33" s="172"/>
      <c r="OU33" s="172"/>
      <c r="OV33" s="172"/>
      <c r="OW33" s="172"/>
      <c r="OX33" s="172"/>
      <c r="OY33" s="172"/>
      <c r="OZ33" s="172"/>
      <c r="PA33" s="172"/>
      <c r="PB33" s="172"/>
      <c r="PC33" s="172"/>
      <c r="PD33" s="172"/>
      <c r="PE33" s="172"/>
      <c r="PF33" s="172"/>
      <c r="PG33" s="172"/>
      <c r="PH33" s="172"/>
      <c r="PI33" s="172"/>
      <c r="PJ33" s="172"/>
      <c r="PK33" s="172"/>
      <c r="PL33" s="172"/>
      <c r="PM33" s="172"/>
      <c r="PN33" s="172"/>
      <c r="PO33" s="172"/>
      <c r="PP33" s="172"/>
      <c r="PQ33" s="172"/>
      <c r="PR33" s="172"/>
      <c r="PS33" s="172"/>
      <c r="PT33" s="172"/>
      <c r="PU33" s="172"/>
      <c r="PV33" s="172"/>
      <c r="PW33" s="172"/>
      <c r="PX33" s="172"/>
      <c r="PY33" s="172"/>
      <c r="PZ33" s="172"/>
      <c r="QA33" s="172"/>
      <c r="QB33" s="172"/>
      <c r="QC33" s="172"/>
      <c r="QD33" s="172"/>
      <c r="QE33" s="172"/>
      <c r="QF33" s="172"/>
      <c r="QG33" s="172"/>
      <c r="QH33" s="172"/>
      <c r="QI33" s="172"/>
      <c r="QJ33" s="172"/>
      <c r="QK33" s="172"/>
      <c r="QL33" s="172"/>
      <c r="QM33" s="172"/>
      <c r="QN33" s="172"/>
      <c r="QO33" s="172"/>
      <c r="QP33" s="172"/>
      <c r="QQ33" s="172"/>
      <c r="QR33" s="172"/>
      <c r="QS33" s="172"/>
      <c r="QT33" s="172"/>
      <c r="QU33" s="172"/>
      <c r="QV33" s="172"/>
      <c r="QW33" s="172"/>
      <c r="QX33" s="172"/>
      <c r="QY33" s="172"/>
      <c r="QZ33" s="172"/>
      <c r="RA33" s="172"/>
      <c r="RB33" s="172"/>
      <c r="RC33" s="172"/>
      <c r="RD33" s="172"/>
      <c r="RE33" s="172"/>
      <c r="RF33" s="172"/>
      <c r="RG33" s="172"/>
      <c r="RH33" s="172"/>
      <c r="RI33" s="172"/>
      <c r="RJ33" s="172"/>
      <c r="RK33" s="172"/>
      <c r="RL33" s="172"/>
      <c r="RM33" s="172"/>
      <c r="RN33" s="172"/>
      <c r="RO33" s="172"/>
      <c r="RP33" s="172"/>
      <c r="RQ33" s="172"/>
      <c r="RR33" s="172"/>
      <c r="RS33" s="172"/>
      <c r="RT33" s="172"/>
      <c r="RU33" s="172"/>
      <c r="RV33" s="172"/>
      <c r="RW33" s="172"/>
      <c r="RX33" s="172"/>
      <c r="RY33" s="172"/>
      <c r="RZ33" s="172"/>
      <c r="SA33" s="172"/>
      <c r="SB33" s="172"/>
      <c r="SC33" s="172"/>
      <c r="SD33" s="172"/>
      <c r="SE33" s="172"/>
      <c r="SF33" s="172"/>
      <c r="SG33" s="172"/>
      <c r="SH33" s="172"/>
      <c r="SI33" s="172"/>
      <c r="SJ33" s="172"/>
      <c r="SK33" s="172"/>
      <c r="SL33" s="172"/>
      <c r="SM33" s="172"/>
      <c r="SN33" s="172"/>
      <c r="SO33" s="172"/>
      <c r="SP33" s="172"/>
      <c r="SQ33" s="172"/>
      <c r="SR33" s="172"/>
      <c r="SS33" s="172"/>
      <c r="ST33" s="172"/>
      <c r="SU33" s="172"/>
      <c r="SV33" s="172"/>
      <c r="SW33" s="172"/>
      <c r="SX33" s="172"/>
      <c r="SY33" s="172"/>
      <c r="SZ33" s="172"/>
      <c r="TA33" s="172"/>
      <c r="TB33" s="172"/>
      <c r="TC33" s="172"/>
      <c r="TD33" s="172"/>
      <c r="TE33" s="172"/>
      <c r="TF33" s="172"/>
      <c r="TG33" s="172"/>
      <c r="TH33" s="172"/>
      <c r="TI33" s="172"/>
      <c r="TJ33" s="172"/>
      <c r="TK33" s="172"/>
      <c r="TL33" s="172"/>
      <c r="TM33" s="172"/>
      <c r="TN33" s="172"/>
      <c r="TO33" s="172"/>
      <c r="TP33" s="172"/>
      <c r="TQ33" s="172"/>
      <c r="TR33" s="172"/>
      <c r="TS33" s="172"/>
      <c r="TT33" s="172"/>
      <c r="TU33" s="172"/>
      <c r="TV33" s="172"/>
      <c r="TW33" s="172"/>
      <c r="TX33" s="172"/>
      <c r="TY33" s="172"/>
      <c r="TZ33" s="172"/>
      <c r="UA33" s="172"/>
      <c r="UB33" s="172"/>
      <c r="UC33" s="172"/>
      <c r="UD33" s="172"/>
      <c r="UE33" s="172"/>
      <c r="UF33" s="172"/>
      <c r="UG33" s="172"/>
      <c r="UH33" s="172"/>
      <c r="UI33" s="172"/>
      <c r="UJ33" s="172"/>
      <c r="UK33" s="172"/>
      <c r="UL33" s="172"/>
      <c r="UM33" s="172"/>
      <c r="UN33" s="172"/>
      <c r="UO33" s="172"/>
      <c r="UP33" s="172"/>
      <c r="UQ33" s="172"/>
      <c r="UR33" s="172"/>
      <c r="US33" s="172"/>
      <c r="UT33" s="172"/>
      <c r="UU33" s="172"/>
      <c r="UV33" s="172"/>
      <c r="UW33" s="172"/>
      <c r="UX33" s="172"/>
      <c r="UY33" s="172"/>
      <c r="UZ33" s="172"/>
      <c r="VA33" s="172"/>
      <c r="VB33" s="172"/>
      <c r="VC33" s="172"/>
      <c r="VD33" s="172"/>
      <c r="VE33" s="172"/>
      <c r="VF33" s="172"/>
      <c r="VG33" s="172"/>
      <c r="VH33" s="172"/>
      <c r="VI33" s="172"/>
      <c r="VJ33" s="172"/>
      <c r="VK33" s="172"/>
      <c r="VL33" s="172"/>
      <c r="VM33" s="172"/>
      <c r="VN33" s="172"/>
      <c r="VO33" s="172"/>
      <c r="VP33" s="172"/>
      <c r="VQ33" s="172"/>
      <c r="VR33" s="172"/>
      <c r="VS33" s="172"/>
      <c r="VT33" s="172"/>
      <c r="VU33" s="172"/>
      <c r="VV33" s="172"/>
      <c r="VW33" s="172"/>
      <c r="VX33" s="172"/>
      <c r="VY33" s="172"/>
      <c r="VZ33" s="172"/>
      <c r="WA33" s="172"/>
      <c r="WB33" s="172"/>
      <c r="WC33" s="172"/>
      <c r="WD33" s="172"/>
      <c r="WE33" s="172"/>
      <c r="WF33" s="172"/>
      <c r="WG33" s="172"/>
      <c r="WH33" s="172"/>
      <c r="WI33" s="172"/>
      <c r="WJ33" s="172"/>
      <c r="WK33" s="172"/>
      <c r="WL33" s="172"/>
      <c r="WM33" s="172"/>
      <c r="WN33" s="172"/>
      <c r="WO33" s="172"/>
      <c r="WP33" s="172"/>
      <c r="WQ33" s="172"/>
      <c r="WR33" s="172"/>
      <c r="WS33" s="172"/>
      <c r="WT33" s="172"/>
      <c r="WU33" s="172"/>
      <c r="WV33" s="172"/>
      <c r="WW33" s="172"/>
      <c r="WX33" s="172"/>
      <c r="WY33" s="172"/>
      <c r="WZ33" s="172"/>
      <c r="XA33" s="172"/>
      <c r="XB33" s="172"/>
      <c r="XC33" s="172"/>
      <c r="XD33" s="172"/>
      <c r="XE33" s="172"/>
      <c r="XF33" s="172"/>
      <c r="XG33" s="172"/>
      <c r="XH33" s="172"/>
      <c r="XI33" s="172"/>
      <c r="XJ33" s="172"/>
      <c r="XK33" s="172"/>
      <c r="XL33" s="172"/>
      <c r="XM33" s="172"/>
      <c r="XN33" s="172"/>
      <c r="XO33" s="172"/>
      <c r="XP33" s="172"/>
      <c r="XQ33" s="172"/>
      <c r="XR33" s="172"/>
      <c r="XS33" s="172"/>
      <c r="XT33" s="172"/>
      <c r="XU33" s="172"/>
      <c r="XV33" s="172"/>
      <c r="XW33" s="172"/>
      <c r="XX33" s="172"/>
      <c r="XY33" s="172"/>
      <c r="XZ33" s="172"/>
      <c r="YA33" s="172"/>
      <c r="YB33" s="172"/>
      <c r="YC33" s="172"/>
      <c r="YD33" s="172"/>
      <c r="YE33" s="172"/>
      <c r="YF33" s="172"/>
      <c r="YG33" s="172"/>
      <c r="YH33" s="172"/>
      <c r="YI33" s="172"/>
      <c r="YJ33" s="172"/>
      <c r="YK33" s="172"/>
      <c r="YL33" s="172"/>
      <c r="YM33" s="172"/>
      <c r="YN33" s="172"/>
      <c r="YO33" s="172"/>
      <c r="YP33" s="172"/>
      <c r="YQ33" s="172"/>
      <c r="YR33" s="172"/>
      <c r="YS33" s="172"/>
      <c r="YT33" s="172"/>
      <c r="YU33" s="172"/>
      <c r="YV33" s="172"/>
      <c r="YW33" s="172"/>
      <c r="YX33" s="172"/>
      <c r="YY33" s="172"/>
      <c r="YZ33" s="172"/>
      <c r="ZA33" s="172"/>
      <c r="ZB33" s="172"/>
      <c r="ZC33" s="172"/>
      <c r="ZD33" s="172"/>
      <c r="ZE33" s="172"/>
      <c r="ZF33" s="172"/>
      <c r="ZG33" s="172"/>
      <c r="ZH33" s="172"/>
      <c r="ZI33" s="172"/>
      <c r="ZJ33" s="172"/>
      <c r="ZK33" s="172"/>
      <c r="ZL33" s="172"/>
      <c r="ZM33" s="172"/>
      <c r="ZN33" s="172"/>
      <c r="ZO33" s="172"/>
      <c r="ZP33" s="172"/>
      <c r="ZQ33" s="172"/>
      <c r="ZR33" s="172"/>
      <c r="ZS33" s="172"/>
      <c r="ZT33" s="172"/>
      <c r="ZU33" s="172"/>
      <c r="ZV33" s="172"/>
      <c r="ZW33" s="172"/>
      <c r="ZX33" s="172"/>
      <c r="ZY33" s="172"/>
      <c r="ZZ33" s="172"/>
      <c r="AAA33" s="172"/>
      <c r="AAB33" s="172"/>
      <c r="AAC33" s="172"/>
      <c r="AAD33" s="172"/>
      <c r="AAE33" s="172"/>
      <c r="AAF33" s="172"/>
      <c r="AAG33" s="172"/>
      <c r="AAH33" s="172"/>
      <c r="AAI33" s="172"/>
      <c r="AAJ33" s="172"/>
      <c r="AAK33" s="172"/>
      <c r="AAL33" s="172"/>
      <c r="AAM33" s="172"/>
      <c r="AAN33" s="172"/>
      <c r="AAO33" s="172"/>
      <c r="AAP33" s="172"/>
      <c r="AAQ33" s="172"/>
      <c r="AAR33" s="172"/>
      <c r="AAS33" s="172"/>
      <c r="AAT33" s="172"/>
      <c r="AAU33" s="172"/>
      <c r="AAV33" s="172"/>
      <c r="AAW33" s="172"/>
      <c r="AAX33" s="172"/>
      <c r="AAY33" s="172"/>
      <c r="AAZ33" s="172"/>
      <c r="ABA33" s="172"/>
      <c r="ABB33" s="172"/>
      <c r="ABC33" s="172"/>
      <c r="ABD33" s="172"/>
      <c r="ABE33" s="172"/>
      <c r="ABF33" s="172"/>
      <c r="ABG33" s="172"/>
      <c r="ABH33" s="172"/>
      <c r="ABI33" s="172"/>
      <c r="ABJ33" s="172"/>
      <c r="ABK33" s="172"/>
      <c r="ABL33" s="172"/>
      <c r="ABM33" s="172"/>
      <c r="ABN33" s="172"/>
      <c r="ABO33" s="172"/>
      <c r="ABP33" s="172"/>
      <c r="ABQ33" s="172"/>
      <c r="ABR33" s="172"/>
      <c r="ABS33" s="172"/>
      <c r="ABT33" s="172"/>
      <c r="ABU33" s="172"/>
      <c r="ABV33" s="172"/>
      <c r="ABW33" s="172"/>
      <c r="ABX33" s="172"/>
      <c r="ABY33" s="172"/>
      <c r="ABZ33" s="172"/>
      <c r="ACA33" s="172"/>
      <c r="ACB33" s="172"/>
      <c r="ACC33" s="172"/>
      <c r="ACD33" s="172"/>
      <c r="ACE33" s="172"/>
      <c r="ACF33" s="172"/>
      <c r="ACG33" s="172"/>
      <c r="ACH33" s="172"/>
      <c r="ACI33" s="172"/>
      <c r="ACJ33" s="172"/>
      <c r="ACK33" s="172"/>
      <c r="ACL33" s="172"/>
      <c r="ACM33" s="172"/>
      <c r="ACN33" s="172"/>
      <c r="ACO33" s="172"/>
      <c r="ACP33" s="172"/>
      <c r="ACQ33" s="172"/>
      <c r="ACR33" s="172"/>
      <c r="ACS33" s="172"/>
      <c r="ACT33" s="172"/>
      <c r="ACU33" s="172"/>
      <c r="ACV33" s="172"/>
      <c r="ACW33" s="172"/>
      <c r="ACX33" s="172"/>
      <c r="ACY33" s="172"/>
      <c r="ACZ33" s="172"/>
      <c r="ADA33" s="172"/>
      <c r="ADB33" s="172"/>
      <c r="ADC33" s="172"/>
      <c r="ADD33" s="172"/>
      <c r="ADE33" s="172"/>
      <c r="ADF33" s="172"/>
      <c r="ADG33" s="172"/>
      <c r="ADH33" s="172"/>
      <c r="ADI33" s="172"/>
      <c r="ADJ33" s="172"/>
      <c r="ADK33" s="172"/>
      <c r="ADL33" s="172"/>
      <c r="ADM33" s="172"/>
      <c r="ADN33" s="172"/>
      <c r="ADO33" s="172"/>
      <c r="ADP33" s="172"/>
      <c r="ADQ33" s="172"/>
      <c r="ADR33" s="172"/>
      <c r="ADS33" s="172"/>
      <c r="ADT33" s="172"/>
      <c r="ADU33" s="172"/>
      <c r="ADV33" s="172"/>
      <c r="ADW33" s="172"/>
      <c r="ADX33" s="172"/>
      <c r="ADY33" s="172"/>
      <c r="ADZ33" s="172"/>
      <c r="AEA33" s="172"/>
      <c r="AEB33" s="172"/>
      <c r="AEC33" s="172"/>
      <c r="AED33" s="172"/>
      <c r="AEE33" s="172"/>
      <c r="AEF33" s="172"/>
      <c r="AEG33" s="172"/>
      <c r="AEH33" s="172"/>
      <c r="AEI33" s="172"/>
      <c r="AEJ33" s="172"/>
      <c r="AEK33" s="172"/>
      <c r="AEL33" s="172"/>
      <c r="AEM33" s="172"/>
      <c r="AEN33" s="172"/>
      <c r="AEO33" s="172"/>
      <c r="AEP33" s="172"/>
      <c r="AEQ33" s="172"/>
      <c r="AER33" s="172"/>
      <c r="AES33" s="172"/>
      <c r="AET33" s="172"/>
      <c r="AEU33" s="172"/>
      <c r="AEV33" s="172"/>
      <c r="AEW33" s="172"/>
      <c r="AEX33" s="172"/>
      <c r="AEY33" s="172"/>
      <c r="AEZ33" s="172"/>
      <c r="AFA33" s="172"/>
      <c r="AFB33" s="172"/>
      <c r="AFC33" s="172"/>
      <c r="AFD33" s="172"/>
      <c r="AFE33" s="172"/>
      <c r="AFF33" s="172"/>
      <c r="AFG33" s="172"/>
      <c r="AFH33" s="172"/>
      <c r="AFI33" s="172"/>
      <c r="AFJ33" s="172"/>
      <c r="AFK33" s="172"/>
      <c r="AFL33" s="172"/>
      <c r="AFM33" s="172"/>
      <c r="AFN33" s="172"/>
      <c r="AFO33" s="172"/>
      <c r="AFP33" s="172"/>
      <c r="AFQ33" s="172"/>
      <c r="AFR33" s="172"/>
      <c r="AFS33" s="172"/>
      <c r="AFT33" s="172"/>
      <c r="AFU33" s="172"/>
      <c r="AFV33" s="172"/>
      <c r="AFW33" s="172"/>
      <c r="AFX33" s="172"/>
      <c r="AFY33" s="172"/>
      <c r="AFZ33" s="172"/>
      <c r="AGA33" s="172"/>
      <c r="AGB33" s="172"/>
      <c r="AGC33" s="172"/>
      <c r="AGD33" s="172"/>
      <c r="AGE33" s="172"/>
      <c r="AGF33" s="172"/>
      <c r="AGG33" s="172"/>
      <c r="AGH33" s="172"/>
      <c r="AGI33" s="172"/>
      <c r="AGJ33" s="172"/>
      <c r="AGK33" s="172"/>
      <c r="AGL33" s="172"/>
      <c r="AGM33" s="172"/>
      <c r="AGN33" s="172"/>
      <c r="AGO33" s="172"/>
      <c r="AGP33" s="172"/>
      <c r="AGQ33" s="172"/>
      <c r="AGR33" s="172"/>
      <c r="AGS33" s="172"/>
      <c r="AGT33" s="172"/>
      <c r="AGU33" s="172"/>
      <c r="AGV33" s="172"/>
      <c r="AGW33" s="172"/>
      <c r="AGX33" s="172"/>
      <c r="AGY33" s="172"/>
      <c r="AGZ33" s="172"/>
      <c r="AHA33" s="172"/>
      <c r="AHB33" s="172"/>
      <c r="AHC33" s="172"/>
      <c r="AHD33" s="172"/>
      <c r="AHE33" s="172"/>
      <c r="AHF33" s="172"/>
      <c r="AHG33" s="172"/>
      <c r="AHH33" s="172"/>
      <c r="AHI33" s="172"/>
      <c r="AHJ33" s="172"/>
      <c r="AHK33" s="172"/>
      <c r="AHL33" s="172"/>
      <c r="AHM33" s="172"/>
      <c r="AHN33" s="172"/>
      <c r="AHO33" s="172"/>
      <c r="AHP33" s="172"/>
      <c r="AHQ33" s="172"/>
      <c r="AHR33" s="172"/>
      <c r="AHS33" s="172"/>
      <c r="AHT33" s="172"/>
      <c r="AHU33" s="172"/>
      <c r="AHV33" s="172"/>
      <c r="AHW33" s="172"/>
      <c r="AHX33" s="172"/>
      <c r="AHY33" s="172"/>
      <c r="AHZ33" s="172"/>
      <c r="AIA33" s="172"/>
      <c r="AIB33" s="172"/>
      <c r="AIC33" s="172"/>
      <c r="AID33" s="172"/>
      <c r="AIE33" s="172"/>
      <c r="AIF33" s="172"/>
      <c r="AIG33" s="172"/>
      <c r="AIH33" s="172"/>
      <c r="AII33" s="172"/>
      <c r="AIJ33" s="172"/>
      <c r="AIK33" s="172"/>
      <c r="AIL33" s="172"/>
      <c r="AIM33" s="172"/>
      <c r="AIN33" s="172"/>
      <c r="AIO33" s="172"/>
      <c r="AIP33" s="172"/>
      <c r="AIQ33" s="172"/>
      <c r="AIR33" s="172"/>
      <c r="AIS33" s="172"/>
      <c r="AIT33" s="172"/>
      <c r="AIU33" s="172"/>
      <c r="AIV33" s="172"/>
      <c r="AIW33" s="172"/>
      <c r="AIX33" s="172"/>
      <c r="AIY33" s="172"/>
      <c r="AIZ33" s="172"/>
      <c r="AJA33" s="172"/>
      <c r="AJB33" s="172"/>
      <c r="AJC33" s="172"/>
      <c r="AJD33" s="172"/>
      <c r="AJE33" s="172"/>
      <c r="AJF33" s="172"/>
      <c r="AJG33" s="172"/>
      <c r="AJH33" s="172"/>
      <c r="AJI33" s="172"/>
      <c r="AJJ33" s="172"/>
      <c r="AJK33" s="172"/>
      <c r="AJL33" s="172"/>
      <c r="AJM33" s="172"/>
      <c r="AJN33" s="172"/>
      <c r="AJO33" s="172"/>
      <c r="AJP33" s="172"/>
      <c r="AJQ33" s="172"/>
      <c r="AJR33" s="172"/>
      <c r="AJS33" s="172"/>
      <c r="AJT33" s="172"/>
      <c r="AJU33" s="172"/>
      <c r="AJV33" s="172"/>
      <c r="AJW33" s="172"/>
      <c r="AJX33" s="172"/>
      <c r="AJY33" s="172"/>
      <c r="AJZ33" s="172"/>
      <c r="AKA33" s="172"/>
      <c r="AKB33" s="172"/>
      <c r="AKC33" s="172"/>
      <c r="AKD33" s="172"/>
      <c r="AKE33" s="172"/>
      <c r="AKF33" s="172"/>
      <c r="AKG33" s="172"/>
      <c r="AKH33" s="172"/>
      <c r="AKI33" s="172"/>
      <c r="AKJ33" s="172"/>
      <c r="AKK33" s="172"/>
      <c r="AKL33" s="172"/>
      <c r="AKM33" s="172"/>
      <c r="AKN33" s="172"/>
      <c r="AKO33" s="172"/>
      <c r="AKP33" s="172"/>
      <c r="AKQ33" s="172"/>
      <c r="AKR33" s="172"/>
      <c r="AKS33" s="172"/>
      <c r="AKT33" s="172"/>
      <c r="AKU33" s="172"/>
      <c r="AKV33" s="172"/>
      <c r="AKW33" s="172"/>
      <c r="AKX33" s="172"/>
      <c r="AKY33" s="172"/>
      <c r="AKZ33" s="172"/>
      <c r="ALA33" s="172"/>
      <c r="ALB33" s="172"/>
      <c r="ALC33" s="172"/>
      <c r="ALD33" s="172"/>
      <c r="ALE33" s="172"/>
      <c r="ALF33" s="172"/>
      <c r="ALG33" s="172"/>
      <c r="ALH33" s="172"/>
      <c r="ALI33" s="172"/>
      <c r="ALJ33" s="172"/>
      <c r="ALK33" s="172"/>
      <c r="ALL33" s="172"/>
      <c r="ALM33" s="172"/>
      <c r="ALN33" s="172"/>
      <c r="ALO33" s="172"/>
      <c r="ALP33" s="172"/>
      <c r="ALQ33" s="172"/>
      <c r="ALR33" s="172"/>
      <c r="ALS33" s="172"/>
      <c r="ALT33" s="172"/>
      <c r="ALU33" s="172"/>
      <c r="ALV33" s="172"/>
      <c r="ALW33" s="172"/>
      <c r="ALX33" s="172"/>
      <c r="ALY33" s="172"/>
      <c r="ALZ33" s="172"/>
      <c r="AMA33" s="172"/>
      <c r="AMB33" s="172"/>
      <c r="AMC33" s="172"/>
      <c r="AMD33" s="172"/>
    </row>
    <row r="34" spans="1:1019" s="172" customFormat="1" ht="15" customHeight="1">
      <c r="A34" s="168">
        <f t="shared" si="0"/>
        <v>29</v>
      </c>
      <c r="B34" s="175">
        <v>1761</v>
      </c>
      <c r="C34" s="175" t="s">
        <v>31</v>
      </c>
      <c r="D34" s="169">
        <f>'הנדסה '!D97</f>
        <v>400000</v>
      </c>
      <c r="E34" s="169">
        <f>'הנדסה '!E97</f>
        <v>400000</v>
      </c>
      <c r="F34" s="169">
        <f>'הנדסה '!F97</f>
        <v>0</v>
      </c>
      <c r="G34" s="169">
        <f>'הנדסה '!G97</f>
        <v>150000</v>
      </c>
      <c r="H34" s="169">
        <f>'הנדסה '!H97</f>
        <v>0</v>
      </c>
      <c r="I34" s="169">
        <f>'הנדסה '!I97</f>
        <v>0</v>
      </c>
      <c r="J34" s="169">
        <f>'הנדסה '!J97</f>
        <v>0</v>
      </c>
      <c r="K34" s="169">
        <f>'הנדסה '!K97</f>
        <v>0</v>
      </c>
      <c r="L34" s="169">
        <f>'הנדסה '!L97</f>
        <v>0</v>
      </c>
      <c r="M34" s="169">
        <f>'הנדסה '!M97</f>
        <v>0</v>
      </c>
      <c r="N34" s="169">
        <f>'הנדסה '!N97</f>
        <v>150000</v>
      </c>
      <c r="O34" s="169">
        <f>'הנדסה '!O97</f>
        <v>250000</v>
      </c>
      <c r="P34" s="169">
        <f>'הנדסה '!P97</f>
        <v>150000</v>
      </c>
      <c r="Q34" s="169">
        <f>'הנדסה '!Q97</f>
        <v>0</v>
      </c>
      <c r="R34" s="169">
        <f>'הנדסה '!R97</f>
        <v>0</v>
      </c>
      <c r="S34" s="169">
        <f>'הנדסה '!S97</f>
        <v>0</v>
      </c>
      <c r="T34" s="169">
        <f>'הנדסה '!T97</f>
        <v>150000</v>
      </c>
      <c r="U34" s="169">
        <f>'הנדסה '!U97</f>
        <v>0</v>
      </c>
      <c r="V34" s="169">
        <f>'הנדסה '!V97</f>
        <v>0</v>
      </c>
      <c r="W34" s="169">
        <f>'הנדסה '!W97</f>
        <v>0</v>
      </c>
      <c r="X34" s="169">
        <f>'הנדסה '!X97</f>
        <v>0</v>
      </c>
      <c r="Y34" s="169">
        <f>'הנדסה '!Y97</f>
        <v>0</v>
      </c>
      <c r="Z34" s="169">
        <f>'הנדסה '!Z97</f>
        <v>0</v>
      </c>
      <c r="AA34" s="659">
        <f>'הנדסה '!AA97</f>
        <v>732000</v>
      </c>
      <c r="AB34" s="157"/>
      <c r="AC34" s="157"/>
      <c r="AD34" s="157"/>
      <c r="AE34" s="157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176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  <c r="EB34" s="176"/>
      <c r="EC34" s="176"/>
      <c r="ED34" s="176"/>
      <c r="EE34" s="176"/>
      <c r="EF34" s="176"/>
      <c r="EG34" s="176"/>
      <c r="EH34" s="176"/>
      <c r="EI34" s="176"/>
      <c r="EJ34" s="176"/>
      <c r="EK34" s="176"/>
      <c r="EL34" s="176"/>
      <c r="EM34" s="176"/>
      <c r="EN34" s="176"/>
      <c r="EO34" s="176"/>
      <c r="EP34" s="176"/>
      <c r="EQ34" s="176"/>
      <c r="ER34" s="176"/>
      <c r="ES34" s="176"/>
      <c r="ET34" s="176"/>
      <c r="EU34" s="176"/>
      <c r="EV34" s="176"/>
      <c r="EW34" s="176"/>
      <c r="EX34" s="176"/>
      <c r="EY34" s="176"/>
      <c r="EZ34" s="176"/>
      <c r="FA34" s="176"/>
      <c r="FB34" s="176"/>
      <c r="FC34" s="176"/>
      <c r="FD34" s="176"/>
      <c r="FE34" s="176"/>
      <c r="FF34" s="176"/>
      <c r="FG34" s="176"/>
      <c r="FH34" s="176"/>
      <c r="FI34" s="176"/>
      <c r="FJ34" s="176"/>
      <c r="FK34" s="176"/>
      <c r="FL34" s="176"/>
      <c r="FM34" s="176"/>
      <c r="FN34" s="176"/>
      <c r="FO34" s="176"/>
      <c r="FP34" s="176"/>
      <c r="FQ34" s="176"/>
      <c r="FR34" s="176"/>
      <c r="FS34" s="176"/>
      <c r="FT34" s="176"/>
      <c r="FU34" s="176"/>
      <c r="FV34" s="176"/>
      <c r="FW34" s="176"/>
      <c r="FX34" s="176"/>
      <c r="FY34" s="176"/>
      <c r="FZ34" s="176"/>
      <c r="GA34" s="176"/>
      <c r="GB34" s="176"/>
      <c r="GC34" s="176"/>
      <c r="GD34" s="176"/>
      <c r="GE34" s="176"/>
      <c r="GF34" s="176"/>
      <c r="GG34" s="176"/>
      <c r="GH34" s="176"/>
      <c r="GI34" s="176"/>
      <c r="GJ34" s="176"/>
      <c r="GK34" s="176"/>
      <c r="GL34" s="176"/>
      <c r="GM34" s="176"/>
      <c r="GN34" s="176"/>
      <c r="GO34" s="176"/>
      <c r="GP34" s="176"/>
      <c r="GQ34" s="176"/>
      <c r="GR34" s="176"/>
      <c r="GS34" s="176"/>
      <c r="GT34" s="176"/>
      <c r="GU34" s="176"/>
      <c r="GV34" s="176"/>
      <c r="GW34" s="176"/>
      <c r="GX34" s="176"/>
      <c r="GY34" s="176"/>
      <c r="GZ34" s="176"/>
      <c r="HA34" s="176"/>
      <c r="HB34" s="176"/>
      <c r="HC34" s="176"/>
      <c r="HD34" s="176"/>
      <c r="HE34" s="176"/>
      <c r="HF34" s="176"/>
      <c r="HG34" s="176"/>
      <c r="HH34" s="176"/>
      <c r="HI34" s="176"/>
      <c r="HJ34" s="176"/>
      <c r="HK34" s="176"/>
      <c r="HL34" s="176"/>
      <c r="HM34" s="176"/>
      <c r="HN34" s="176"/>
      <c r="HO34" s="176"/>
      <c r="HP34" s="176"/>
      <c r="HQ34" s="176"/>
      <c r="HR34" s="176"/>
      <c r="HS34" s="176"/>
      <c r="HT34" s="176"/>
      <c r="HU34" s="176"/>
      <c r="HV34" s="176"/>
      <c r="HW34" s="176"/>
      <c r="HX34" s="176"/>
      <c r="HY34" s="176"/>
      <c r="HZ34" s="176"/>
      <c r="IA34" s="176"/>
      <c r="IB34" s="176"/>
      <c r="IC34" s="176"/>
      <c r="ID34" s="176"/>
      <c r="IE34" s="176"/>
      <c r="IF34" s="176"/>
      <c r="IG34" s="176"/>
      <c r="IH34" s="176"/>
      <c r="II34" s="176"/>
      <c r="IJ34" s="176"/>
      <c r="IK34" s="176"/>
      <c r="IL34" s="176"/>
      <c r="IM34" s="176"/>
      <c r="IN34" s="176"/>
      <c r="IO34" s="176"/>
      <c r="IP34" s="176"/>
      <c r="IQ34" s="176"/>
      <c r="IR34" s="176"/>
      <c r="IS34" s="176"/>
      <c r="IT34" s="176"/>
      <c r="IU34" s="176"/>
      <c r="IV34" s="176"/>
      <c r="IW34" s="176"/>
      <c r="IX34" s="176"/>
      <c r="IY34" s="176"/>
      <c r="IZ34" s="176"/>
      <c r="JA34" s="176"/>
      <c r="JB34" s="176"/>
      <c r="JC34" s="176"/>
      <c r="JD34" s="176"/>
      <c r="JE34" s="176"/>
      <c r="JF34" s="176"/>
      <c r="JG34" s="176"/>
      <c r="JH34" s="176"/>
      <c r="JI34" s="176"/>
      <c r="JJ34" s="176"/>
      <c r="JK34" s="176"/>
      <c r="JL34" s="176"/>
      <c r="JM34" s="176"/>
      <c r="JN34" s="176"/>
      <c r="JO34" s="176"/>
      <c r="JP34" s="176"/>
      <c r="JQ34" s="176"/>
      <c r="JR34" s="176"/>
      <c r="JS34" s="176"/>
      <c r="JT34" s="176"/>
      <c r="JU34" s="176"/>
      <c r="JV34" s="176"/>
      <c r="JW34" s="176"/>
      <c r="JX34" s="176"/>
      <c r="JY34" s="176"/>
      <c r="JZ34" s="176"/>
      <c r="KA34" s="176"/>
      <c r="KB34" s="176"/>
      <c r="KC34" s="176"/>
      <c r="KD34" s="176"/>
      <c r="KE34" s="176"/>
      <c r="KF34" s="176"/>
      <c r="KG34" s="176"/>
      <c r="KH34" s="176"/>
      <c r="KI34" s="176"/>
      <c r="KJ34" s="176"/>
      <c r="KK34" s="176"/>
      <c r="KL34" s="176"/>
      <c r="KM34" s="176"/>
      <c r="KN34" s="176"/>
      <c r="KO34" s="176"/>
      <c r="KP34" s="176"/>
      <c r="KQ34" s="176"/>
      <c r="KR34" s="176"/>
      <c r="KS34" s="176"/>
      <c r="KT34" s="176"/>
      <c r="KU34" s="176"/>
      <c r="KV34" s="176"/>
      <c r="KW34" s="176"/>
      <c r="KX34" s="176"/>
      <c r="KY34" s="176"/>
      <c r="KZ34" s="176"/>
      <c r="LA34" s="176"/>
      <c r="LB34" s="176"/>
      <c r="LC34" s="176"/>
      <c r="LD34" s="176"/>
      <c r="LE34" s="176"/>
      <c r="LF34" s="176"/>
      <c r="LG34" s="176"/>
      <c r="LH34" s="176"/>
      <c r="LI34" s="176"/>
      <c r="LJ34" s="176"/>
      <c r="LK34" s="176"/>
      <c r="LL34" s="176"/>
      <c r="LM34" s="176"/>
      <c r="LN34" s="176"/>
      <c r="LO34" s="176"/>
      <c r="LP34" s="176"/>
      <c r="LQ34" s="176"/>
      <c r="LR34" s="176"/>
      <c r="LS34" s="176"/>
      <c r="LT34" s="176"/>
      <c r="LU34" s="176"/>
      <c r="LV34" s="176"/>
      <c r="LW34" s="176"/>
      <c r="LX34" s="176"/>
      <c r="LY34" s="176"/>
      <c r="LZ34" s="176"/>
      <c r="MA34" s="176"/>
      <c r="MB34" s="176"/>
      <c r="MC34" s="176"/>
      <c r="MD34" s="176"/>
      <c r="ME34" s="176"/>
      <c r="MF34" s="176"/>
      <c r="MG34" s="176"/>
      <c r="MH34" s="176"/>
      <c r="MI34" s="176"/>
      <c r="MJ34" s="176"/>
      <c r="MK34" s="176"/>
      <c r="ML34" s="176"/>
      <c r="MM34" s="176"/>
      <c r="MN34" s="176"/>
      <c r="MO34" s="176"/>
      <c r="MP34" s="176"/>
      <c r="MQ34" s="176"/>
      <c r="MR34" s="176"/>
      <c r="MS34" s="176"/>
      <c r="MT34" s="176"/>
      <c r="MU34" s="176"/>
      <c r="MV34" s="176"/>
      <c r="MW34" s="176"/>
      <c r="MX34" s="176"/>
      <c r="MY34" s="176"/>
      <c r="MZ34" s="176"/>
      <c r="NA34" s="176"/>
      <c r="NB34" s="176"/>
      <c r="NC34" s="176"/>
      <c r="ND34" s="176"/>
      <c r="NE34" s="176"/>
      <c r="NF34" s="176"/>
      <c r="NG34" s="176"/>
      <c r="NH34" s="176"/>
      <c r="NI34" s="176"/>
      <c r="NJ34" s="176"/>
      <c r="NK34" s="176"/>
      <c r="NL34" s="176"/>
      <c r="NM34" s="176"/>
      <c r="NN34" s="176"/>
      <c r="NO34" s="176"/>
      <c r="NP34" s="176"/>
      <c r="NQ34" s="176"/>
      <c r="NR34" s="176"/>
      <c r="NS34" s="176"/>
      <c r="NT34" s="176"/>
      <c r="NU34" s="176"/>
      <c r="NV34" s="176"/>
      <c r="NW34" s="176"/>
      <c r="NX34" s="176"/>
      <c r="NY34" s="176"/>
      <c r="NZ34" s="176"/>
      <c r="OA34" s="176"/>
      <c r="OB34" s="176"/>
      <c r="OC34" s="176"/>
      <c r="OD34" s="176"/>
      <c r="OE34" s="176"/>
      <c r="OF34" s="176"/>
      <c r="OG34" s="176"/>
      <c r="OH34" s="176"/>
      <c r="OI34" s="176"/>
      <c r="OJ34" s="176"/>
      <c r="OK34" s="176"/>
      <c r="OL34" s="176"/>
      <c r="OM34" s="176"/>
      <c r="ON34" s="176"/>
      <c r="OO34" s="176"/>
      <c r="OP34" s="176"/>
      <c r="OQ34" s="176"/>
      <c r="OR34" s="176"/>
      <c r="OS34" s="176"/>
      <c r="OT34" s="176"/>
      <c r="OU34" s="176"/>
      <c r="OV34" s="176"/>
      <c r="OW34" s="176"/>
      <c r="OX34" s="176"/>
      <c r="OY34" s="176"/>
      <c r="OZ34" s="176"/>
      <c r="PA34" s="176"/>
      <c r="PB34" s="176"/>
      <c r="PC34" s="176"/>
      <c r="PD34" s="176"/>
      <c r="PE34" s="176"/>
      <c r="PF34" s="176"/>
      <c r="PG34" s="176"/>
      <c r="PH34" s="176"/>
      <c r="PI34" s="176"/>
      <c r="PJ34" s="176"/>
      <c r="PK34" s="176"/>
      <c r="PL34" s="176"/>
      <c r="PM34" s="176"/>
      <c r="PN34" s="176"/>
      <c r="PO34" s="176"/>
      <c r="PP34" s="176"/>
      <c r="PQ34" s="176"/>
      <c r="PR34" s="176"/>
      <c r="PS34" s="176"/>
      <c r="PT34" s="176"/>
      <c r="PU34" s="176"/>
      <c r="PV34" s="176"/>
      <c r="PW34" s="176"/>
      <c r="PX34" s="176"/>
      <c r="PY34" s="176"/>
      <c r="PZ34" s="176"/>
      <c r="QA34" s="176"/>
      <c r="QB34" s="176"/>
      <c r="QC34" s="176"/>
      <c r="QD34" s="176"/>
      <c r="QE34" s="176"/>
      <c r="QF34" s="176"/>
      <c r="QG34" s="176"/>
      <c r="QH34" s="176"/>
      <c r="QI34" s="176"/>
      <c r="QJ34" s="176"/>
      <c r="QK34" s="176"/>
      <c r="QL34" s="176"/>
      <c r="QM34" s="176"/>
      <c r="QN34" s="176"/>
      <c r="QO34" s="176"/>
      <c r="QP34" s="176"/>
      <c r="QQ34" s="176"/>
      <c r="QR34" s="176"/>
      <c r="QS34" s="176"/>
      <c r="QT34" s="176"/>
      <c r="QU34" s="176"/>
      <c r="QV34" s="176"/>
      <c r="QW34" s="176"/>
      <c r="QX34" s="176"/>
      <c r="QY34" s="176"/>
      <c r="QZ34" s="176"/>
      <c r="RA34" s="176"/>
      <c r="RB34" s="176"/>
      <c r="RC34" s="176"/>
      <c r="RD34" s="176"/>
      <c r="RE34" s="176"/>
      <c r="RF34" s="176"/>
      <c r="RG34" s="176"/>
      <c r="RH34" s="176"/>
      <c r="RI34" s="176"/>
      <c r="RJ34" s="176"/>
      <c r="RK34" s="176"/>
      <c r="RL34" s="176"/>
      <c r="RM34" s="176"/>
      <c r="RN34" s="176"/>
      <c r="RO34" s="176"/>
      <c r="RP34" s="176"/>
      <c r="RQ34" s="176"/>
      <c r="RR34" s="176"/>
      <c r="RS34" s="176"/>
      <c r="RT34" s="176"/>
      <c r="RU34" s="176"/>
      <c r="RV34" s="176"/>
      <c r="RW34" s="176"/>
      <c r="RX34" s="176"/>
      <c r="RY34" s="176"/>
      <c r="RZ34" s="176"/>
      <c r="SA34" s="176"/>
      <c r="SB34" s="176"/>
      <c r="SC34" s="176"/>
      <c r="SD34" s="176"/>
      <c r="SE34" s="176"/>
      <c r="SF34" s="176"/>
      <c r="SG34" s="176"/>
      <c r="SH34" s="176"/>
      <c r="SI34" s="176"/>
      <c r="SJ34" s="176"/>
      <c r="SK34" s="176"/>
      <c r="SL34" s="176"/>
      <c r="SM34" s="176"/>
      <c r="SN34" s="176"/>
      <c r="SO34" s="176"/>
      <c r="SP34" s="176"/>
      <c r="SQ34" s="176"/>
      <c r="SR34" s="176"/>
      <c r="SS34" s="176"/>
      <c r="ST34" s="176"/>
      <c r="SU34" s="176"/>
      <c r="SV34" s="176"/>
      <c r="SW34" s="176"/>
      <c r="SX34" s="176"/>
      <c r="SY34" s="176"/>
      <c r="SZ34" s="176"/>
      <c r="TA34" s="176"/>
      <c r="TB34" s="176"/>
      <c r="TC34" s="176"/>
      <c r="TD34" s="176"/>
      <c r="TE34" s="176"/>
      <c r="TF34" s="176"/>
      <c r="TG34" s="176"/>
      <c r="TH34" s="176"/>
      <c r="TI34" s="176"/>
      <c r="TJ34" s="176"/>
      <c r="TK34" s="176"/>
      <c r="TL34" s="176"/>
      <c r="TM34" s="176"/>
      <c r="TN34" s="176"/>
      <c r="TO34" s="176"/>
      <c r="TP34" s="176"/>
      <c r="TQ34" s="176"/>
      <c r="TR34" s="176"/>
      <c r="TS34" s="176"/>
      <c r="TT34" s="176"/>
      <c r="TU34" s="176"/>
      <c r="TV34" s="176"/>
      <c r="TW34" s="176"/>
      <c r="TX34" s="176"/>
      <c r="TY34" s="176"/>
      <c r="TZ34" s="176"/>
      <c r="UA34" s="176"/>
      <c r="UB34" s="176"/>
      <c r="UC34" s="176"/>
      <c r="UD34" s="176"/>
      <c r="UE34" s="176"/>
      <c r="UF34" s="176"/>
      <c r="UG34" s="176"/>
      <c r="UH34" s="176"/>
      <c r="UI34" s="176"/>
      <c r="UJ34" s="176"/>
      <c r="UK34" s="176"/>
      <c r="UL34" s="176"/>
      <c r="UM34" s="176"/>
      <c r="UN34" s="176"/>
      <c r="UO34" s="176"/>
      <c r="UP34" s="176"/>
      <c r="UQ34" s="176"/>
      <c r="UR34" s="176"/>
      <c r="US34" s="176"/>
      <c r="UT34" s="176"/>
      <c r="UU34" s="176"/>
      <c r="UV34" s="176"/>
      <c r="UW34" s="176"/>
      <c r="UX34" s="176"/>
      <c r="UY34" s="176"/>
      <c r="UZ34" s="176"/>
      <c r="VA34" s="176"/>
      <c r="VB34" s="176"/>
      <c r="VC34" s="176"/>
      <c r="VD34" s="176"/>
      <c r="VE34" s="176"/>
      <c r="VF34" s="176"/>
      <c r="VG34" s="176"/>
      <c r="VH34" s="176"/>
      <c r="VI34" s="176"/>
      <c r="VJ34" s="176"/>
      <c r="VK34" s="176"/>
      <c r="VL34" s="176"/>
      <c r="VM34" s="176"/>
      <c r="VN34" s="176"/>
      <c r="VO34" s="176"/>
      <c r="VP34" s="176"/>
      <c r="VQ34" s="176"/>
      <c r="VR34" s="176"/>
      <c r="VS34" s="176"/>
      <c r="VT34" s="176"/>
      <c r="VU34" s="176"/>
      <c r="VV34" s="176"/>
      <c r="VW34" s="176"/>
      <c r="VX34" s="176"/>
      <c r="VY34" s="176"/>
      <c r="VZ34" s="176"/>
      <c r="WA34" s="176"/>
      <c r="WB34" s="176"/>
      <c r="WC34" s="176"/>
      <c r="WD34" s="176"/>
      <c r="WE34" s="176"/>
      <c r="WF34" s="176"/>
      <c r="WG34" s="176"/>
      <c r="WH34" s="176"/>
      <c r="WI34" s="176"/>
      <c r="WJ34" s="176"/>
      <c r="WK34" s="176"/>
      <c r="WL34" s="176"/>
      <c r="WM34" s="176"/>
      <c r="WN34" s="176"/>
      <c r="WO34" s="176"/>
      <c r="WP34" s="176"/>
      <c r="WQ34" s="176"/>
      <c r="WR34" s="176"/>
      <c r="WS34" s="176"/>
      <c r="WT34" s="176"/>
      <c r="WU34" s="176"/>
      <c r="WV34" s="176"/>
      <c r="WW34" s="176"/>
      <c r="WX34" s="176"/>
      <c r="WY34" s="176"/>
      <c r="WZ34" s="176"/>
      <c r="XA34" s="176"/>
      <c r="XB34" s="176"/>
      <c r="XC34" s="176"/>
      <c r="XD34" s="176"/>
      <c r="XE34" s="176"/>
      <c r="XF34" s="176"/>
      <c r="XG34" s="176"/>
      <c r="XH34" s="176"/>
      <c r="XI34" s="176"/>
      <c r="XJ34" s="176"/>
      <c r="XK34" s="176"/>
      <c r="XL34" s="176"/>
      <c r="XM34" s="176"/>
      <c r="XN34" s="176"/>
      <c r="XO34" s="176"/>
      <c r="XP34" s="176"/>
      <c r="XQ34" s="176"/>
      <c r="XR34" s="176"/>
      <c r="XS34" s="176"/>
      <c r="XT34" s="176"/>
      <c r="XU34" s="176"/>
      <c r="XV34" s="176"/>
      <c r="XW34" s="176"/>
      <c r="XX34" s="176"/>
      <c r="XY34" s="176"/>
      <c r="XZ34" s="176"/>
      <c r="YA34" s="176"/>
      <c r="YB34" s="176"/>
      <c r="YC34" s="176"/>
      <c r="YD34" s="176"/>
      <c r="YE34" s="176"/>
      <c r="YF34" s="176"/>
      <c r="YG34" s="176"/>
      <c r="YH34" s="176"/>
      <c r="YI34" s="176"/>
      <c r="YJ34" s="176"/>
      <c r="YK34" s="176"/>
      <c r="YL34" s="176"/>
      <c r="YM34" s="176"/>
      <c r="YN34" s="176"/>
      <c r="YO34" s="176"/>
      <c r="YP34" s="176"/>
      <c r="YQ34" s="176"/>
      <c r="YR34" s="176"/>
      <c r="YS34" s="176"/>
      <c r="YT34" s="176"/>
      <c r="YU34" s="176"/>
      <c r="YV34" s="176"/>
      <c r="YW34" s="176"/>
      <c r="YX34" s="176"/>
      <c r="YY34" s="176"/>
      <c r="YZ34" s="176"/>
      <c r="ZA34" s="176"/>
      <c r="ZB34" s="176"/>
      <c r="ZC34" s="176"/>
      <c r="ZD34" s="176"/>
      <c r="ZE34" s="176"/>
      <c r="ZF34" s="176"/>
      <c r="ZG34" s="176"/>
      <c r="ZH34" s="176"/>
      <c r="ZI34" s="176"/>
      <c r="ZJ34" s="176"/>
      <c r="ZK34" s="176"/>
      <c r="ZL34" s="176"/>
      <c r="ZM34" s="176"/>
      <c r="ZN34" s="176"/>
      <c r="ZO34" s="176"/>
      <c r="ZP34" s="176"/>
      <c r="ZQ34" s="176"/>
      <c r="ZR34" s="176"/>
      <c r="ZS34" s="176"/>
      <c r="ZT34" s="176"/>
      <c r="ZU34" s="176"/>
      <c r="ZV34" s="176"/>
      <c r="ZW34" s="176"/>
      <c r="ZX34" s="176"/>
      <c r="ZY34" s="176"/>
      <c r="ZZ34" s="176"/>
      <c r="AAA34" s="176"/>
      <c r="AAB34" s="176"/>
      <c r="AAC34" s="176"/>
      <c r="AAD34" s="176"/>
      <c r="AAE34" s="176"/>
      <c r="AAF34" s="176"/>
      <c r="AAG34" s="176"/>
      <c r="AAH34" s="176"/>
      <c r="AAI34" s="176"/>
      <c r="AAJ34" s="176"/>
      <c r="AAK34" s="176"/>
      <c r="AAL34" s="176"/>
      <c r="AAM34" s="176"/>
      <c r="AAN34" s="176"/>
      <c r="AAO34" s="176"/>
      <c r="AAP34" s="176"/>
      <c r="AAQ34" s="176"/>
      <c r="AAR34" s="176"/>
      <c r="AAS34" s="176"/>
      <c r="AAT34" s="176"/>
      <c r="AAU34" s="176"/>
      <c r="AAV34" s="176"/>
      <c r="AAW34" s="176"/>
      <c r="AAX34" s="176"/>
      <c r="AAY34" s="176"/>
      <c r="AAZ34" s="176"/>
      <c r="ABA34" s="176"/>
      <c r="ABB34" s="176"/>
      <c r="ABC34" s="176"/>
      <c r="ABD34" s="176"/>
      <c r="ABE34" s="176"/>
      <c r="ABF34" s="176"/>
      <c r="ABG34" s="176"/>
      <c r="ABH34" s="176"/>
      <c r="ABI34" s="176"/>
      <c r="ABJ34" s="176"/>
      <c r="ABK34" s="176"/>
      <c r="ABL34" s="176"/>
      <c r="ABM34" s="176"/>
      <c r="ABN34" s="176"/>
      <c r="ABO34" s="176"/>
      <c r="ABP34" s="176"/>
      <c r="ABQ34" s="176"/>
      <c r="ABR34" s="176"/>
      <c r="ABS34" s="176"/>
      <c r="ABT34" s="176"/>
      <c r="ABU34" s="176"/>
      <c r="ABV34" s="176"/>
      <c r="ABW34" s="176"/>
      <c r="ABX34" s="176"/>
      <c r="ABY34" s="176"/>
      <c r="ABZ34" s="176"/>
      <c r="ACA34" s="176"/>
      <c r="ACB34" s="176"/>
      <c r="ACC34" s="176"/>
      <c r="ACD34" s="176"/>
      <c r="ACE34" s="176"/>
      <c r="ACF34" s="176"/>
      <c r="ACG34" s="176"/>
      <c r="ACH34" s="176"/>
      <c r="ACI34" s="176"/>
      <c r="ACJ34" s="176"/>
      <c r="ACK34" s="176"/>
      <c r="ACL34" s="176"/>
      <c r="ACM34" s="176"/>
      <c r="ACN34" s="176"/>
      <c r="ACO34" s="176"/>
      <c r="ACP34" s="176"/>
      <c r="ACQ34" s="176"/>
      <c r="ACR34" s="176"/>
      <c r="ACS34" s="176"/>
      <c r="ACT34" s="176"/>
      <c r="ACU34" s="176"/>
      <c r="ACV34" s="176"/>
      <c r="ACW34" s="176"/>
      <c r="ACX34" s="176"/>
      <c r="ACY34" s="176"/>
      <c r="ACZ34" s="176"/>
      <c r="ADA34" s="176"/>
      <c r="ADB34" s="176"/>
      <c r="ADC34" s="176"/>
      <c r="ADD34" s="176"/>
      <c r="ADE34" s="176"/>
      <c r="ADF34" s="176"/>
      <c r="ADG34" s="176"/>
      <c r="ADH34" s="176"/>
      <c r="ADI34" s="176"/>
      <c r="ADJ34" s="176"/>
      <c r="ADK34" s="176"/>
      <c r="ADL34" s="176"/>
      <c r="ADM34" s="176"/>
      <c r="ADN34" s="176"/>
      <c r="ADO34" s="176"/>
      <c r="ADP34" s="176"/>
      <c r="ADQ34" s="176"/>
      <c r="ADR34" s="176"/>
      <c r="ADS34" s="176"/>
      <c r="ADT34" s="176"/>
      <c r="ADU34" s="176"/>
      <c r="ADV34" s="176"/>
      <c r="ADW34" s="176"/>
      <c r="ADX34" s="176"/>
      <c r="ADY34" s="176"/>
      <c r="ADZ34" s="176"/>
      <c r="AEA34" s="176"/>
      <c r="AEB34" s="176"/>
      <c r="AEC34" s="176"/>
      <c r="AED34" s="176"/>
      <c r="AEE34" s="176"/>
      <c r="AEF34" s="176"/>
      <c r="AEG34" s="176"/>
      <c r="AEH34" s="176"/>
      <c r="AEI34" s="176"/>
      <c r="AEJ34" s="176"/>
      <c r="AEK34" s="176"/>
      <c r="AEL34" s="176"/>
      <c r="AEM34" s="176"/>
      <c r="AEN34" s="176"/>
      <c r="AEO34" s="176"/>
      <c r="AEP34" s="176"/>
      <c r="AEQ34" s="176"/>
      <c r="AER34" s="176"/>
      <c r="AES34" s="176"/>
      <c r="AET34" s="176"/>
      <c r="AEU34" s="176"/>
      <c r="AEV34" s="176"/>
      <c r="AEW34" s="176"/>
      <c r="AEX34" s="176"/>
      <c r="AEY34" s="176"/>
      <c r="AEZ34" s="176"/>
      <c r="AFA34" s="176"/>
      <c r="AFB34" s="176"/>
      <c r="AFC34" s="176"/>
      <c r="AFD34" s="176"/>
      <c r="AFE34" s="176"/>
      <c r="AFF34" s="176"/>
      <c r="AFG34" s="176"/>
      <c r="AFH34" s="176"/>
      <c r="AFI34" s="176"/>
      <c r="AFJ34" s="176"/>
      <c r="AFK34" s="176"/>
      <c r="AFL34" s="176"/>
      <c r="AFM34" s="176"/>
      <c r="AFN34" s="176"/>
      <c r="AFO34" s="176"/>
      <c r="AFP34" s="176"/>
      <c r="AFQ34" s="176"/>
      <c r="AFR34" s="176"/>
      <c r="AFS34" s="176"/>
      <c r="AFT34" s="176"/>
      <c r="AFU34" s="176"/>
      <c r="AFV34" s="176"/>
      <c r="AFW34" s="176"/>
      <c r="AFX34" s="176"/>
      <c r="AFY34" s="176"/>
      <c r="AFZ34" s="176"/>
      <c r="AGA34" s="176"/>
      <c r="AGB34" s="176"/>
      <c r="AGC34" s="176"/>
      <c r="AGD34" s="176"/>
      <c r="AGE34" s="176"/>
      <c r="AGF34" s="176"/>
      <c r="AGG34" s="176"/>
      <c r="AGH34" s="176"/>
      <c r="AGI34" s="176"/>
      <c r="AGJ34" s="176"/>
      <c r="AGK34" s="176"/>
      <c r="AGL34" s="176"/>
      <c r="AGM34" s="176"/>
      <c r="AGN34" s="176"/>
      <c r="AGO34" s="176"/>
      <c r="AGP34" s="176"/>
      <c r="AGQ34" s="176"/>
      <c r="AGR34" s="176"/>
      <c r="AGS34" s="176"/>
      <c r="AGT34" s="176"/>
      <c r="AGU34" s="176"/>
      <c r="AGV34" s="176"/>
      <c r="AGW34" s="176"/>
      <c r="AGX34" s="176"/>
      <c r="AGY34" s="176"/>
      <c r="AGZ34" s="176"/>
      <c r="AHA34" s="176"/>
      <c r="AHB34" s="176"/>
      <c r="AHC34" s="176"/>
      <c r="AHD34" s="176"/>
      <c r="AHE34" s="176"/>
      <c r="AHF34" s="176"/>
      <c r="AHG34" s="176"/>
      <c r="AHH34" s="176"/>
      <c r="AHI34" s="176"/>
      <c r="AHJ34" s="176"/>
      <c r="AHK34" s="176"/>
      <c r="AHL34" s="176"/>
      <c r="AHM34" s="176"/>
      <c r="AHN34" s="176"/>
      <c r="AHO34" s="176"/>
      <c r="AHP34" s="176"/>
      <c r="AHQ34" s="176"/>
      <c r="AHR34" s="176"/>
      <c r="AHS34" s="176"/>
      <c r="AHT34" s="176"/>
      <c r="AHU34" s="176"/>
      <c r="AHV34" s="176"/>
      <c r="AHW34" s="176"/>
      <c r="AHX34" s="176"/>
      <c r="AHY34" s="176"/>
      <c r="AHZ34" s="176"/>
      <c r="AIA34" s="176"/>
      <c r="AIB34" s="176"/>
      <c r="AIC34" s="176"/>
      <c r="AID34" s="176"/>
      <c r="AIE34" s="176"/>
      <c r="AIF34" s="176"/>
      <c r="AIG34" s="176"/>
      <c r="AIH34" s="176"/>
      <c r="AII34" s="176"/>
      <c r="AIJ34" s="176"/>
      <c r="AIK34" s="176"/>
      <c r="AIL34" s="176"/>
      <c r="AIM34" s="176"/>
      <c r="AIN34" s="176"/>
      <c r="AIO34" s="176"/>
      <c r="AIP34" s="176"/>
      <c r="AIQ34" s="176"/>
      <c r="AIR34" s="176"/>
      <c r="AIS34" s="176"/>
      <c r="AIT34" s="176"/>
      <c r="AIU34" s="176"/>
      <c r="AIV34" s="176"/>
      <c r="AIW34" s="176"/>
      <c r="AIX34" s="176"/>
      <c r="AIY34" s="176"/>
      <c r="AIZ34" s="176"/>
      <c r="AJA34" s="176"/>
      <c r="AJB34" s="176"/>
      <c r="AJC34" s="176"/>
      <c r="AJD34" s="176"/>
      <c r="AJE34" s="176"/>
      <c r="AJF34" s="176"/>
      <c r="AJG34" s="176"/>
      <c r="AJH34" s="176"/>
      <c r="AJI34" s="176"/>
      <c r="AJJ34" s="176"/>
      <c r="AJK34" s="176"/>
      <c r="AJL34" s="176"/>
      <c r="AJM34" s="176"/>
      <c r="AJN34" s="176"/>
      <c r="AJO34" s="176"/>
      <c r="AJP34" s="176"/>
      <c r="AJQ34" s="176"/>
      <c r="AJR34" s="176"/>
      <c r="AJS34" s="176"/>
      <c r="AJT34" s="176"/>
      <c r="AJU34" s="176"/>
      <c r="AJV34" s="176"/>
      <c r="AJW34" s="176"/>
      <c r="AJX34" s="176"/>
      <c r="AJY34" s="176"/>
      <c r="AJZ34" s="176"/>
      <c r="AKA34" s="176"/>
      <c r="AKB34" s="176"/>
      <c r="AKC34" s="176"/>
      <c r="AKD34" s="176"/>
      <c r="AKE34" s="176"/>
      <c r="AKF34" s="176"/>
      <c r="AKG34" s="176"/>
      <c r="AKH34" s="176"/>
      <c r="AKI34" s="176"/>
      <c r="AKJ34" s="176"/>
      <c r="AKK34" s="176"/>
      <c r="AKL34" s="176"/>
      <c r="AKM34" s="176"/>
      <c r="AKN34" s="176"/>
      <c r="AKO34" s="176"/>
      <c r="AKP34" s="176"/>
      <c r="AKQ34" s="176"/>
      <c r="AKR34" s="176"/>
      <c r="AKS34" s="176"/>
      <c r="AKT34" s="176"/>
      <c r="AKU34" s="176"/>
      <c r="AKV34" s="176"/>
      <c r="AKW34" s="176"/>
      <c r="AKX34" s="176"/>
      <c r="AKY34" s="176"/>
      <c r="AKZ34" s="176"/>
      <c r="ALA34" s="176"/>
      <c r="ALB34" s="176"/>
      <c r="ALC34" s="176"/>
      <c r="ALD34" s="176"/>
      <c r="ALE34" s="176"/>
      <c r="ALF34" s="176"/>
      <c r="ALG34" s="176"/>
      <c r="ALH34" s="176"/>
      <c r="ALI34" s="176"/>
      <c r="ALJ34" s="176"/>
      <c r="ALK34" s="176"/>
      <c r="ALL34" s="176"/>
      <c r="ALM34" s="176"/>
      <c r="ALN34" s="176"/>
      <c r="ALO34" s="176"/>
      <c r="ALP34" s="176"/>
      <c r="ALQ34" s="176"/>
      <c r="ALR34" s="176"/>
      <c r="ALS34" s="176"/>
      <c r="ALT34" s="176"/>
      <c r="ALU34" s="176"/>
      <c r="ALV34" s="176"/>
      <c r="ALW34" s="176"/>
      <c r="ALX34" s="176"/>
      <c r="ALY34" s="176"/>
      <c r="ALZ34" s="176"/>
      <c r="AMA34" s="176"/>
      <c r="AMB34" s="176"/>
      <c r="AMC34" s="176"/>
      <c r="AMD34" s="176"/>
      <c r="AME34" s="158"/>
    </row>
    <row r="35" spans="1:1019" s="172" customFormat="1" ht="15" customHeight="1">
      <c r="A35" s="168">
        <f t="shared" si="0"/>
        <v>30</v>
      </c>
      <c r="B35" s="175">
        <v>1762</v>
      </c>
      <c r="C35" s="168" t="s">
        <v>33</v>
      </c>
      <c r="D35" s="169">
        <f>'הנדסה '!D72</f>
        <v>500000</v>
      </c>
      <c r="E35" s="169">
        <f>'הנדסה '!E72</f>
        <v>500000</v>
      </c>
      <c r="F35" s="169">
        <f>'הנדסה '!F72</f>
        <v>0</v>
      </c>
      <c r="G35" s="169">
        <f>'הנדסה '!G72</f>
        <v>100000</v>
      </c>
      <c r="H35" s="169">
        <f>'הנדסה '!H72</f>
        <v>0</v>
      </c>
      <c r="I35" s="169">
        <f>'הנדסה '!I72</f>
        <v>0</v>
      </c>
      <c r="J35" s="169">
        <f>'הנדסה '!J72</f>
        <v>11442.6</v>
      </c>
      <c r="K35" s="169">
        <f>'הנדסה '!K72</f>
        <v>11442.6</v>
      </c>
      <c r="L35" s="169">
        <f>'הנדסה '!L72</f>
        <v>11442.6</v>
      </c>
      <c r="M35" s="169">
        <f>'הנדסה '!M72</f>
        <v>8557.3999999999942</v>
      </c>
      <c r="N35" s="169">
        <f>'הנדסה '!N72</f>
        <v>80000</v>
      </c>
      <c r="O35" s="169">
        <f>'הנדסה '!O72</f>
        <v>400000</v>
      </c>
      <c r="P35" s="169">
        <f>'הנדסה '!P72</f>
        <v>88557.4</v>
      </c>
      <c r="Q35" s="169">
        <f>'הנדסה '!Q72</f>
        <v>0</v>
      </c>
      <c r="R35" s="169">
        <f>'הנדסה '!R72</f>
        <v>0</v>
      </c>
      <c r="S35" s="169">
        <f>'הנדסה '!S72</f>
        <v>0</v>
      </c>
      <c r="T35" s="169">
        <f>'הנדסה '!T72</f>
        <v>80000</v>
      </c>
      <c r="U35" s="169">
        <f>'הנדסה '!U72</f>
        <v>0</v>
      </c>
      <c r="V35" s="169">
        <f>'הנדסה '!V72</f>
        <v>0</v>
      </c>
      <c r="W35" s="169">
        <f>'הנדסה '!W72</f>
        <v>0</v>
      </c>
      <c r="X35" s="169">
        <f>'הנדסה '!X72</f>
        <v>0</v>
      </c>
      <c r="Y35" s="169">
        <f>'הנדסה '!Y72</f>
        <v>0</v>
      </c>
      <c r="Z35" s="169">
        <f>'הנדסה '!Z72</f>
        <v>0</v>
      </c>
      <c r="AA35" s="659">
        <f>'הנדסה '!AA72</f>
        <v>732000</v>
      </c>
      <c r="AB35" s="157"/>
      <c r="AC35" s="157"/>
      <c r="AD35" s="157"/>
      <c r="AE35" s="157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  <c r="EB35" s="176"/>
      <c r="EC35" s="176"/>
      <c r="ED35" s="176"/>
      <c r="EE35" s="176"/>
      <c r="EF35" s="176"/>
      <c r="EG35" s="176"/>
      <c r="EH35" s="176"/>
      <c r="EI35" s="176"/>
      <c r="EJ35" s="176"/>
      <c r="EK35" s="176"/>
      <c r="EL35" s="176"/>
      <c r="EM35" s="176"/>
      <c r="EN35" s="176"/>
      <c r="EO35" s="176"/>
      <c r="EP35" s="176"/>
      <c r="EQ35" s="176"/>
      <c r="ER35" s="176"/>
      <c r="ES35" s="176"/>
      <c r="ET35" s="176"/>
      <c r="EU35" s="176"/>
      <c r="EV35" s="176"/>
      <c r="EW35" s="176"/>
      <c r="EX35" s="176"/>
      <c r="EY35" s="176"/>
      <c r="EZ35" s="176"/>
      <c r="FA35" s="176"/>
      <c r="FB35" s="176"/>
      <c r="FC35" s="176"/>
      <c r="FD35" s="176"/>
      <c r="FE35" s="176"/>
      <c r="FF35" s="176"/>
      <c r="FG35" s="176"/>
      <c r="FH35" s="176"/>
      <c r="FI35" s="176"/>
      <c r="FJ35" s="176"/>
      <c r="FK35" s="176"/>
      <c r="FL35" s="176"/>
      <c r="FM35" s="176"/>
      <c r="FN35" s="176"/>
      <c r="FO35" s="176"/>
      <c r="FP35" s="176"/>
      <c r="FQ35" s="176"/>
      <c r="FR35" s="176"/>
      <c r="FS35" s="176"/>
      <c r="FT35" s="176"/>
      <c r="FU35" s="176"/>
      <c r="FV35" s="176"/>
      <c r="FW35" s="176"/>
      <c r="FX35" s="176"/>
      <c r="FY35" s="176"/>
      <c r="FZ35" s="176"/>
      <c r="GA35" s="176"/>
      <c r="GB35" s="176"/>
      <c r="GC35" s="176"/>
      <c r="GD35" s="176"/>
      <c r="GE35" s="176"/>
      <c r="GF35" s="176"/>
      <c r="GG35" s="176"/>
      <c r="GH35" s="176"/>
      <c r="GI35" s="176"/>
      <c r="GJ35" s="176"/>
      <c r="GK35" s="176"/>
      <c r="GL35" s="176"/>
      <c r="GM35" s="176"/>
      <c r="GN35" s="176"/>
      <c r="GO35" s="176"/>
      <c r="GP35" s="176"/>
      <c r="GQ35" s="176"/>
      <c r="GR35" s="176"/>
      <c r="GS35" s="176"/>
      <c r="GT35" s="176"/>
      <c r="GU35" s="176"/>
      <c r="GV35" s="176"/>
      <c r="GW35" s="176"/>
      <c r="GX35" s="176"/>
      <c r="GY35" s="176"/>
      <c r="GZ35" s="176"/>
      <c r="HA35" s="176"/>
      <c r="HB35" s="176"/>
      <c r="HC35" s="176"/>
      <c r="HD35" s="176"/>
      <c r="HE35" s="176"/>
      <c r="HF35" s="176"/>
      <c r="HG35" s="176"/>
      <c r="HH35" s="176"/>
      <c r="HI35" s="176"/>
      <c r="HJ35" s="176"/>
      <c r="HK35" s="176"/>
      <c r="HL35" s="176"/>
      <c r="HM35" s="176"/>
      <c r="HN35" s="176"/>
      <c r="HO35" s="176"/>
      <c r="HP35" s="176"/>
      <c r="HQ35" s="176"/>
      <c r="HR35" s="176"/>
      <c r="HS35" s="176"/>
      <c r="HT35" s="176"/>
      <c r="HU35" s="176"/>
      <c r="HV35" s="176"/>
      <c r="HW35" s="176"/>
      <c r="HX35" s="176"/>
      <c r="HY35" s="176"/>
      <c r="HZ35" s="176"/>
      <c r="IA35" s="176"/>
      <c r="IB35" s="176"/>
      <c r="IC35" s="176"/>
      <c r="ID35" s="176"/>
      <c r="IE35" s="176"/>
      <c r="IF35" s="176"/>
      <c r="IG35" s="176"/>
      <c r="IH35" s="176"/>
      <c r="II35" s="176"/>
      <c r="IJ35" s="176"/>
      <c r="IK35" s="176"/>
      <c r="IL35" s="176"/>
      <c r="IM35" s="176"/>
      <c r="IN35" s="176"/>
      <c r="IO35" s="176"/>
      <c r="IP35" s="176"/>
      <c r="IQ35" s="176"/>
      <c r="IR35" s="176"/>
      <c r="IS35" s="176"/>
      <c r="IT35" s="176"/>
      <c r="IU35" s="176"/>
      <c r="IV35" s="176"/>
      <c r="IW35" s="176"/>
      <c r="IX35" s="176"/>
      <c r="IY35" s="176"/>
      <c r="IZ35" s="176"/>
      <c r="JA35" s="176"/>
      <c r="JB35" s="176"/>
      <c r="JC35" s="176"/>
      <c r="JD35" s="176"/>
      <c r="JE35" s="176"/>
      <c r="JF35" s="176"/>
      <c r="JG35" s="176"/>
      <c r="JH35" s="176"/>
      <c r="JI35" s="176"/>
      <c r="JJ35" s="176"/>
      <c r="JK35" s="176"/>
      <c r="JL35" s="176"/>
      <c r="JM35" s="176"/>
      <c r="JN35" s="176"/>
      <c r="JO35" s="176"/>
      <c r="JP35" s="176"/>
      <c r="JQ35" s="176"/>
      <c r="JR35" s="176"/>
      <c r="JS35" s="176"/>
      <c r="JT35" s="176"/>
      <c r="JU35" s="176"/>
      <c r="JV35" s="176"/>
      <c r="JW35" s="176"/>
      <c r="JX35" s="176"/>
      <c r="JY35" s="176"/>
      <c r="JZ35" s="176"/>
      <c r="KA35" s="176"/>
      <c r="KB35" s="176"/>
      <c r="KC35" s="176"/>
      <c r="KD35" s="176"/>
      <c r="KE35" s="176"/>
      <c r="KF35" s="176"/>
      <c r="KG35" s="176"/>
      <c r="KH35" s="176"/>
      <c r="KI35" s="176"/>
      <c r="KJ35" s="176"/>
      <c r="KK35" s="176"/>
      <c r="KL35" s="176"/>
      <c r="KM35" s="176"/>
      <c r="KN35" s="176"/>
      <c r="KO35" s="176"/>
      <c r="KP35" s="176"/>
      <c r="KQ35" s="176"/>
      <c r="KR35" s="176"/>
      <c r="KS35" s="176"/>
      <c r="KT35" s="176"/>
      <c r="KU35" s="176"/>
      <c r="KV35" s="176"/>
      <c r="KW35" s="176"/>
      <c r="KX35" s="176"/>
      <c r="KY35" s="176"/>
      <c r="KZ35" s="176"/>
      <c r="LA35" s="176"/>
      <c r="LB35" s="176"/>
      <c r="LC35" s="176"/>
      <c r="LD35" s="176"/>
      <c r="LE35" s="176"/>
      <c r="LF35" s="176"/>
      <c r="LG35" s="176"/>
      <c r="LH35" s="176"/>
      <c r="LI35" s="176"/>
      <c r="LJ35" s="176"/>
      <c r="LK35" s="176"/>
      <c r="LL35" s="176"/>
      <c r="LM35" s="176"/>
      <c r="LN35" s="176"/>
      <c r="LO35" s="176"/>
      <c r="LP35" s="176"/>
      <c r="LQ35" s="176"/>
      <c r="LR35" s="176"/>
      <c r="LS35" s="176"/>
      <c r="LT35" s="176"/>
      <c r="LU35" s="176"/>
      <c r="LV35" s="176"/>
      <c r="LW35" s="176"/>
      <c r="LX35" s="176"/>
      <c r="LY35" s="176"/>
      <c r="LZ35" s="176"/>
      <c r="MA35" s="176"/>
      <c r="MB35" s="176"/>
      <c r="MC35" s="176"/>
      <c r="MD35" s="176"/>
      <c r="ME35" s="176"/>
      <c r="MF35" s="176"/>
      <c r="MG35" s="176"/>
      <c r="MH35" s="176"/>
      <c r="MI35" s="176"/>
      <c r="MJ35" s="176"/>
      <c r="MK35" s="176"/>
      <c r="ML35" s="176"/>
      <c r="MM35" s="176"/>
      <c r="MN35" s="176"/>
      <c r="MO35" s="176"/>
      <c r="MP35" s="176"/>
      <c r="MQ35" s="176"/>
      <c r="MR35" s="176"/>
      <c r="MS35" s="176"/>
      <c r="MT35" s="176"/>
      <c r="MU35" s="176"/>
      <c r="MV35" s="176"/>
      <c r="MW35" s="176"/>
      <c r="MX35" s="176"/>
      <c r="MY35" s="176"/>
      <c r="MZ35" s="176"/>
      <c r="NA35" s="176"/>
      <c r="NB35" s="176"/>
      <c r="NC35" s="176"/>
      <c r="ND35" s="176"/>
      <c r="NE35" s="176"/>
      <c r="NF35" s="176"/>
      <c r="NG35" s="176"/>
      <c r="NH35" s="176"/>
      <c r="NI35" s="176"/>
      <c r="NJ35" s="176"/>
      <c r="NK35" s="176"/>
      <c r="NL35" s="176"/>
      <c r="NM35" s="176"/>
      <c r="NN35" s="176"/>
      <c r="NO35" s="176"/>
      <c r="NP35" s="176"/>
      <c r="NQ35" s="176"/>
      <c r="NR35" s="176"/>
      <c r="NS35" s="176"/>
      <c r="NT35" s="176"/>
      <c r="NU35" s="176"/>
      <c r="NV35" s="176"/>
      <c r="NW35" s="176"/>
      <c r="NX35" s="176"/>
      <c r="NY35" s="176"/>
      <c r="NZ35" s="176"/>
      <c r="OA35" s="176"/>
      <c r="OB35" s="176"/>
      <c r="OC35" s="176"/>
      <c r="OD35" s="176"/>
      <c r="OE35" s="176"/>
      <c r="OF35" s="176"/>
      <c r="OG35" s="176"/>
      <c r="OH35" s="176"/>
      <c r="OI35" s="176"/>
      <c r="OJ35" s="176"/>
      <c r="OK35" s="176"/>
      <c r="OL35" s="176"/>
      <c r="OM35" s="176"/>
      <c r="ON35" s="176"/>
      <c r="OO35" s="176"/>
      <c r="OP35" s="176"/>
      <c r="OQ35" s="176"/>
      <c r="OR35" s="176"/>
      <c r="OS35" s="176"/>
      <c r="OT35" s="176"/>
      <c r="OU35" s="176"/>
      <c r="OV35" s="176"/>
      <c r="OW35" s="176"/>
      <c r="OX35" s="176"/>
      <c r="OY35" s="176"/>
      <c r="OZ35" s="176"/>
      <c r="PA35" s="176"/>
      <c r="PB35" s="176"/>
      <c r="PC35" s="176"/>
      <c r="PD35" s="176"/>
      <c r="PE35" s="176"/>
      <c r="PF35" s="176"/>
      <c r="PG35" s="176"/>
      <c r="PH35" s="176"/>
      <c r="PI35" s="176"/>
      <c r="PJ35" s="176"/>
      <c r="PK35" s="176"/>
      <c r="PL35" s="176"/>
      <c r="PM35" s="176"/>
      <c r="PN35" s="176"/>
      <c r="PO35" s="176"/>
      <c r="PP35" s="176"/>
      <c r="PQ35" s="176"/>
      <c r="PR35" s="176"/>
      <c r="PS35" s="176"/>
      <c r="PT35" s="176"/>
      <c r="PU35" s="176"/>
      <c r="PV35" s="176"/>
      <c r="PW35" s="176"/>
      <c r="PX35" s="176"/>
      <c r="PY35" s="176"/>
      <c r="PZ35" s="176"/>
      <c r="QA35" s="176"/>
      <c r="QB35" s="176"/>
      <c r="QC35" s="176"/>
      <c r="QD35" s="176"/>
      <c r="QE35" s="176"/>
      <c r="QF35" s="176"/>
      <c r="QG35" s="176"/>
      <c r="QH35" s="176"/>
      <c r="QI35" s="176"/>
      <c r="QJ35" s="176"/>
      <c r="QK35" s="176"/>
      <c r="QL35" s="176"/>
      <c r="QM35" s="176"/>
      <c r="QN35" s="176"/>
      <c r="QO35" s="176"/>
      <c r="QP35" s="176"/>
      <c r="QQ35" s="176"/>
      <c r="QR35" s="176"/>
      <c r="QS35" s="176"/>
      <c r="QT35" s="176"/>
      <c r="QU35" s="176"/>
      <c r="QV35" s="176"/>
      <c r="QW35" s="176"/>
      <c r="QX35" s="176"/>
      <c r="QY35" s="176"/>
      <c r="QZ35" s="176"/>
      <c r="RA35" s="176"/>
      <c r="RB35" s="176"/>
      <c r="RC35" s="176"/>
      <c r="RD35" s="176"/>
      <c r="RE35" s="176"/>
      <c r="RF35" s="176"/>
      <c r="RG35" s="176"/>
      <c r="RH35" s="176"/>
      <c r="RI35" s="176"/>
      <c r="RJ35" s="176"/>
      <c r="RK35" s="176"/>
      <c r="RL35" s="176"/>
      <c r="RM35" s="176"/>
      <c r="RN35" s="176"/>
      <c r="RO35" s="176"/>
      <c r="RP35" s="176"/>
      <c r="RQ35" s="176"/>
      <c r="RR35" s="176"/>
      <c r="RS35" s="176"/>
      <c r="RT35" s="176"/>
      <c r="RU35" s="176"/>
      <c r="RV35" s="176"/>
      <c r="RW35" s="176"/>
      <c r="RX35" s="176"/>
      <c r="RY35" s="176"/>
      <c r="RZ35" s="176"/>
      <c r="SA35" s="176"/>
      <c r="SB35" s="176"/>
      <c r="SC35" s="176"/>
      <c r="SD35" s="176"/>
      <c r="SE35" s="176"/>
      <c r="SF35" s="176"/>
      <c r="SG35" s="176"/>
      <c r="SH35" s="176"/>
      <c r="SI35" s="176"/>
      <c r="SJ35" s="176"/>
      <c r="SK35" s="176"/>
      <c r="SL35" s="176"/>
      <c r="SM35" s="176"/>
      <c r="SN35" s="176"/>
      <c r="SO35" s="176"/>
      <c r="SP35" s="176"/>
      <c r="SQ35" s="176"/>
      <c r="SR35" s="176"/>
      <c r="SS35" s="176"/>
      <c r="ST35" s="176"/>
      <c r="SU35" s="176"/>
      <c r="SV35" s="176"/>
      <c r="SW35" s="176"/>
      <c r="SX35" s="176"/>
      <c r="SY35" s="176"/>
      <c r="SZ35" s="176"/>
      <c r="TA35" s="176"/>
      <c r="TB35" s="176"/>
      <c r="TC35" s="176"/>
      <c r="TD35" s="176"/>
      <c r="TE35" s="176"/>
      <c r="TF35" s="176"/>
      <c r="TG35" s="176"/>
      <c r="TH35" s="176"/>
      <c r="TI35" s="176"/>
      <c r="TJ35" s="176"/>
      <c r="TK35" s="176"/>
      <c r="TL35" s="176"/>
      <c r="TM35" s="176"/>
      <c r="TN35" s="176"/>
      <c r="TO35" s="176"/>
      <c r="TP35" s="176"/>
      <c r="TQ35" s="176"/>
      <c r="TR35" s="176"/>
      <c r="TS35" s="176"/>
      <c r="TT35" s="176"/>
      <c r="TU35" s="176"/>
      <c r="TV35" s="176"/>
      <c r="TW35" s="176"/>
      <c r="TX35" s="176"/>
      <c r="TY35" s="176"/>
      <c r="TZ35" s="176"/>
      <c r="UA35" s="176"/>
      <c r="UB35" s="176"/>
      <c r="UC35" s="176"/>
      <c r="UD35" s="176"/>
      <c r="UE35" s="176"/>
      <c r="UF35" s="176"/>
      <c r="UG35" s="176"/>
      <c r="UH35" s="176"/>
      <c r="UI35" s="176"/>
      <c r="UJ35" s="176"/>
      <c r="UK35" s="176"/>
      <c r="UL35" s="176"/>
      <c r="UM35" s="176"/>
      <c r="UN35" s="176"/>
      <c r="UO35" s="176"/>
      <c r="UP35" s="176"/>
      <c r="UQ35" s="176"/>
      <c r="UR35" s="176"/>
      <c r="US35" s="176"/>
      <c r="UT35" s="176"/>
      <c r="UU35" s="176"/>
      <c r="UV35" s="176"/>
      <c r="UW35" s="176"/>
      <c r="UX35" s="176"/>
      <c r="UY35" s="176"/>
      <c r="UZ35" s="176"/>
      <c r="VA35" s="176"/>
      <c r="VB35" s="176"/>
      <c r="VC35" s="176"/>
      <c r="VD35" s="176"/>
      <c r="VE35" s="176"/>
      <c r="VF35" s="176"/>
      <c r="VG35" s="176"/>
      <c r="VH35" s="176"/>
      <c r="VI35" s="176"/>
      <c r="VJ35" s="176"/>
      <c r="VK35" s="176"/>
      <c r="VL35" s="176"/>
      <c r="VM35" s="176"/>
      <c r="VN35" s="176"/>
      <c r="VO35" s="176"/>
      <c r="VP35" s="176"/>
      <c r="VQ35" s="176"/>
      <c r="VR35" s="176"/>
      <c r="VS35" s="176"/>
      <c r="VT35" s="176"/>
      <c r="VU35" s="176"/>
      <c r="VV35" s="176"/>
      <c r="VW35" s="176"/>
      <c r="VX35" s="176"/>
      <c r="VY35" s="176"/>
      <c r="VZ35" s="176"/>
      <c r="WA35" s="176"/>
      <c r="WB35" s="176"/>
      <c r="WC35" s="176"/>
      <c r="WD35" s="176"/>
      <c r="WE35" s="176"/>
      <c r="WF35" s="176"/>
      <c r="WG35" s="176"/>
      <c r="WH35" s="176"/>
      <c r="WI35" s="176"/>
      <c r="WJ35" s="176"/>
      <c r="WK35" s="176"/>
      <c r="WL35" s="176"/>
      <c r="WM35" s="176"/>
      <c r="WN35" s="176"/>
      <c r="WO35" s="176"/>
      <c r="WP35" s="176"/>
      <c r="WQ35" s="176"/>
      <c r="WR35" s="176"/>
      <c r="WS35" s="176"/>
      <c r="WT35" s="176"/>
      <c r="WU35" s="176"/>
      <c r="WV35" s="176"/>
      <c r="WW35" s="176"/>
      <c r="WX35" s="176"/>
      <c r="WY35" s="176"/>
      <c r="WZ35" s="176"/>
      <c r="XA35" s="176"/>
      <c r="XB35" s="176"/>
      <c r="XC35" s="176"/>
      <c r="XD35" s="176"/>
      <c r="XE35" s="176"/>
      <c r="XF35" s="176"/>
      <c r="XG35" s="176"/>
      <c r="XH35" s="176"/>
      <c r="XI35" s="176"/>
      <c r="XJ35" s="176"/>
      <c r="XK35" s="176"/>
      <c r="XL35" s="176"/>
      <c r="XM35" s="176"/>
      <c r="XN35" s="176"/>
      <c r="XO35" s="176"/>
      <c r="XP35" s="176"/>
      <c r="XQ35" s="176"/>
      <c r="XR35" s="176"/>
      <c r="XS35" s="176"/>
      <c r="XT35" s="176"/>
      <c r="XU35" s="176"/>
      <c r="XV35" s="176"/>
      <c r="XW35" s="176"/>
      <c r="XX35" s="176"/>
      <c r="XY35" s="176"/>
      <c r="XZ35" s="176"/>
      <c r="YA35" s="176"/>
      <c r="YB35" s="176"/>
      <c r="YC35" s="176"/>
      <c r="YD35" s="176"/>
      <c r="YE35" s="176"/>
      <c r="YF35" s="176"/>
      <c r="YG35" s="176"/>
      <c r="YH35" s="176"/>
      <c r="YI35" s="176"/>
      <c r="YJ35" s="176"/>
      <c r="YK35" s="176"/>
      <c r="YL35" s="176"/>
      <c r="YM35" s="176"/>
      <c r="YN35" s="176"/>
      <c r="YO35" s="176"/>
      <c r="YP35" s="176"/>
      <c r="YQ35" s="176"/>
      <c r="YR35" s="176"/>
      <c r="YS35" s="176"/>
      <c r="YT35" s="176"/>
      <c r="YU35" s="176"/>
      <c r="YV35" s="176"/>
      <c r="YW35" s="176"/>
      <c r="YX35" s="176"/>
      <c r="YY35" s="176"/>
      <c r="YZ35" s="176"/>
      <c r="ZA35" s="176"/>
      <c r="ZB35" s="176"/>
      <c r="ZC35" s="176"/>
      <c r="ZD35" s="176"/>
      <c r="ZE35" s="176"/>
      <c r="ZF35" s="176"/>
      <c r="ZG35" s="176"/>
      <c r="ZH35" s="176"/>
      <c r="ZI35" s="176"/>
      <c r="ZJ35" s="176"/>
      <c r="ZK35" s="176"/>
      <c r="ZL35" s="176"/>
      <c r="ZM35" s="176"/>
      <c r="ZN35" s="176"/>
      <c r="ZO35" s="176"/>
      <c r="ZP35" s="176"/>
      <c r="ZQ35" s="176"/>
      <c r="ZR35" s="176"/>
      <c r="ZS35" s="176"/>
      <c r="ZT35" s="176"/>
      <c r="ZU35" s="176"/>
      <c r="ZV35" s="176"/>
      <c r="ZW35" s="176"/>
      <c r="ZX35" s="176"/>
      <c r="ZY35" s="176"/>
      <c r="ZZ35" s="176"/>
      <c r="AAA35" s="176"/>
      <c r="AAB35" s="176"/>
      <c r="AAC35" s="176"/>
      <c r="AAD35" s="176"/>
      <c r="AAE35" s="176"/>
      <c r="AAF35" s="176"/>
      <c r="AAG35" s="176"/>
      <c r="AAH35" s="176"/>
      <c r="AAI35" s="176"/>
      <c r="AAJ35" s="176"/>
      <c r="AAK35" s="176"/>
      <c r="AAL35" s="176"/>
      <c r="AAM35" s="176"/>
      <c r="AAN35" s="176"/>
      <c r="AAO35" s="176"/>
      <c r="AAP35" s="176"/>
      <c r="AAQ35" s="176"/>
      <c r="AAR35" s="176"/>
      <c r="AAS35" s="176"/>
      <c r="AAT35" s="176"/>
      <c r="AAU35" s="176"/>
      <c r="AAV35" s="176"/>
      <c r="AAW35" s="176"/>
      <c r="AAX35" s="176"/>
      <c r="AAY35" s="176"/>
      <c r="AAZ35" s="176"/>
      <c r="ABA35" s="176"/>
      <c r="ABB35" s="176"/>
      <c r="ABC35" s="176"/>
      <c r="ABD35" s="176"/>
      <c r="ABE35" s="176"/>
      <c r="ABF35" s="176"/>
      <c r="ABG35" s="176"/>
      <c r="ABH35" s="176"/>
      <c r="ABI35" s="176"/>
      <c r="ABJ35" s="176"/>
      <c r="ABK35" s="176"/>
      <c r="ABL35" s="176"/>
      <c r="ABM35" s="176"/>
      <c r="ABN35" s="176"/>
      <c r="ABO35" s="176"/>
      <c r="ABP35" s="176"/>
      <c r="ABQ35" s="176"/>
      <c r="ABR35" s="176"/>
      <c r="ABS35" s="176"/>
      <c r="ABT35" s="176"/>
      <c r="ABU35" s="176"/>
      <c r="ABV35" s="176"/>
      <c r="ABW35" s="176"/>
      <c r="ABX35" s="176"/>
      <c r="ABY35" s="176"/>
      <c r="ABZ35" s="176"/>
      <c r="ACA35" s="176"/>
      <c r="ACB35" s="176"/>
      <c r="ACC35" s="176"/>
      <c r="ACD35" s="176"/>
      <c r="ACE35" s="176"/>
      <c r="ACF35" s="176"/>
      <c r="ACG35" s="176"/>
      <c r="ACH35" s="176"/>
      <c r="ACI35" s="176"/>
      <c r="ACJ35" s="176"/>
      <c r="ACK35" s="176"/>
      <c r="ACL35" s="176"/>
      <c r="ACM35" s="176"/>
      <c r="ACN35" s="176"/>
      <c r="ACO35" s="176"/>
      <c r="ACP35" s="176"/>
      <c r="ACQ35" s="176"/>
      <c r="ACR35" s="176"/>
      <c r="ACS35" s="176"/>
      <c r="ACT35" s="176"/>
      <c r="ACU35" s="176"/>
      <c r="ACV35" s="176"/>
      <c r="ACW35" s="176"/>
      <c r="ACX35" s="176"/>
      <c r="ACY35" s="176"/>
      <c r="ACZ35" s="176"/>
      <c r="ADA35" s="176"/>
      <c r="ADB35" s="176"/>
      <c r="ADC35" s="176"/>
      <c r="ADD35" s="176"/>
      <c r="ADE35" s="176"/>
      <c r="ADF35" s="176"/>
      <c r="ADG35" s="176"/>
      <c r="ADH35" s="176"/>
      <c r="ADI35" s="176"/>
      <c r="ADJ35" s="176"/>
      <c r="ADK35" s="176"/>
      <c r="ADL35" s="176"/>
      <c r="ADM35" s="176"/>
      <c r="ADN35" s="176"/>
      <c r="ADO35" s="176"/>
      <c r="ADP35" s="176"/>
      <c r="ADQ35" s="176"/>
      <c r="ADR35" s="176"/>
      <c r="ADS35" s="176"/>
      <c r="ADT35" s="176"/>
      <c r="ADU35" s="176"/>
      <c r="ADV35" s="176"/>
      <c r="ADW35" s="176"/>
      <c r="ADX35" s="176"/>
      <c r="ADY35" s="176"/>
      <c r="ADZ35" s="176"/>
      <c r="AEA35" s="176"/>
      <c r="AEB35" s="176"/>
      <c r="AEC35" s="176"/>
      <c r="AED35" s="176"/>
      <c r="AEE35" s="176"/>
      <c r="AEF35" s="176"/>
      <c r="AEG35" s="176"/>
      <c r="AEH35" s="176"/>
      <c r="AEI35" s="176"/>
      <c r="AEJ35" s="176"/>
      <c r="AEK35" s="176"/>
      <c r="AEL35" s="176"/>
      <c r="AEM35" s="176"/>
      <c r="AEN35" s="176"/>
      <c r="AEO35" s="176"/>
      <c r="AEP35" s="176"/>
      <c r="AEQ35" s="176"/>
      <c r="AER35" s="176"/>
      <c r="AES35" s="176"/>
      <c r="AET35" s="176"/>
      <c r="AEU35" s="176"/>
      <c r="AEV35" s="176"/>
      <c r="AEW35" s="176"/>
      <c r="AEX35" s="176"/>
      <c r="AEY35" s="176"/>
      <c r="AEZ35" s="176"/>
      <c r="AFA35" s="176"/>
      <c r="AFB35" s="176"/>
      <c r="AFC35" s="176"/>
      <c r="AFD35" s="176"/>
      <c r="AFE35" s="176"/>
      <c r="AFF35" s="176"/>
      <c r="AFG35" s="176"/>
      <c r="AFH35" s="176"/>
      <c r="AFI35" s="176"/>
      <c r="AFJ35" s="176"/>
      <c r="AFK35" s="176"/>
      <c r="AFL35" s="176"/>
      <c r="AFM35" s="176"/>
      <c r="AFN35" s="176"/>
      <c r="AFO35" s="176"/>
      <c r="AFP35" s="176"/>
      <c r="AFQ35" s="176"/>
      <c r="AFR35" s="176"/>
      <c r="AFS35" s="176"/>
      <c r="AFT35" s="176"/>
      <c r="AFU35" s="176"/>
      <c r="AFV35" s="176"/>
      <c r="AFW35" s="176"/>
      <c r="AFX35" s="176"/>
      <c r="AFY35" s="176"/>
      <c r="AFZ35" s="176"/>
      <c r="AGA35" s="176"/>
      <c r="AGB35" s="176"/>
      <c r="AGC35" s="176"/>
      <c r="AGD35" s="176"/>
      <c r="AGE35" s="176"/>
      <c r="AGF35" s="176"/>
      <c r="AGG35" s="176"/>
      <c r="AGH35" s="176"/>
      <c r="AGI35" s="176"/>
      <c r="AGJ35" s="176"/>
      <c r="AGK35" s="176"/>
      <c r="AGL35" s="176"/>
      <c r="AGM35" s="176"/>
      <c r="AGN35" s="176"/>
      <c r="AGO35" s="176"/>
      <c r="AGP35" s="176"/>
      <c r="AGQ35" s="176"/>
      <c r="AGR35" s="176"/>
      <c r="AGS35" s="176"/>
      <c r="AGT35" s="176"/>
      <c r="AGU35" s="176"/>
      <c r="AGV35" s="176"/>
      <c r="AGW35" s="176"/>
      <c r="AGX35" s="176"/>
      <c r="AGY35" s="176"/>
      <c r="AGZ35" s="176"/>
      <c r="AHA35" s="176"/>
      <c r="AHB35" s="176"/>
      <c r="AHC35" s="176"/>
      <c r="AHD35" s="176"/>
      <c r="AHE35" s="176"/>
      <c r="AHF35" s="176"/>
      <c r="AHG35" s="176"/>
      <c r="AHH35" s="176"/>
      <c r="AHI35" s="176"/>
      <c r="AHJ35" s="176"/>
      <c r="AHK35" s="176"/>
      <c r="AHL35" s="176"/>
      <c r="AHM35" s="176"/>
      <c r="AHN35" s="176"/>
      <c r="AHO35" s="176"/>
      <c r="AHP35" s="176"/>
      <c r="AHQ35" s="176"/>
      <c r="AHR35" s="176"/>
      <c r="AHS35" s="176"/>
      <c r="AHT35" s="176"/>
      <c r="AHU35" s="176"/>
      <c r="AHV35" s="176"/>
      <c r="AHW35" s="176"/>
      <c r="AHX35" s="176"/>
      <c r="AHY35" s="176"/>
      <c r="AHZ35" s="176"/>
      <c r="AIA35" s="176"/>
      <c r="AIB35" s="176"/>
      <c r="AIC35" s="176"/>
      <c r="AID35" s="176"/>
      <c r="AIE35" s="176"/>
      <c r="AIF35" s="176"/>
      <c r="AIG35" s="176"/>
      <c r="AIH35" s="176"/>
      <c r="AII35" s="176"/>
      <c r="AIJ35" s="176"/>
      <c r="AIK35" s="176"/>
      <c r="AIL35" s="176"/>
      <c r="AIM35" s="176"/>
      <c r="AIN35" s="176"/>
      <c r="AIO35" s="176"/>
      <c r="AIP35" s="176"/>
      <c r="AIQ35" s="176"/>
      <c r="AIR35" s="176"/>
      <c r="AIS35" s="176"/>
      <c r="AIT35" s="176"/>
      <c r="AIU35" s="176"/>
      <c r="AIV35" s="176"/>
      <c r="AIW35" s="176"/>
      <c r="AIX35" s="176"/>
      <c r="AIY35" s="176"/>
      <c r="AIZ35" s="176"/>
      <c r="AJA35" s="176"/>
      <c r="AJB35" s="176"/>
      <c r="AJC35" s="176"/>
      <c r="AJD35" s="176"/>
      <c r="AJE35" s="176"/>
      <c r="AJF35" s="176"/>
      <c r="AJG35" s="176"/>
      <c r="AJH35" s="176"/>
      <c r="AJI35" s="176"/>
      <c r="AJJ35" s="176"/>
      <c r="AJK35" s="176"/>
      <c r="AJL35" s="176"/>
      <c r="AJM35" s="176"/>
      <c r="AJN35" s="176"/>
      <c r="AJO35" s="176"/>
      <c r="AJP35" s="176"/>
      <c r="AJQ35" s="176"/>
      <c r="AJR35" s="176"/>
      <c r="AJS35" s="176"/>
      <c r="AJT35" s="176"/>
      <c r="AJU35" s="176"/>
      <c r="AJV35" s="176"/>
      <c r="AJW35" s="176"/>
      <c r="AJX35" s="176"/>
      <c r="AJY35" s="176"/>
      <c r="AJZ35" s="176"/>
      <c r="AKA35" s="176"/>
      <c r="AKB35" s="176"/>
      <c r="AKC35" s="176"/>
      <c r="AKD35" s="176"/>
      <c r="AKE35" s="176"/>
      <c r="AKF35" s="176"/>
      <c r="AKG35" s="176"/>
      <c r="AKH35" s="176"/>
      <c r="AKI35" s="176"/>
      <c r="AKJ35" s="176"/>
      <c r="AKK35" s="176"/>
      <c r="AKL35" s="176"/>
      <c r="AKM35" s="176"/>
      <c r="AKN35" s="176"/>
      <c r="AKO35" s="176"/>
      <c r="AKP35" s="176"/>
      <c r="AKQ35" s="176"/>
      <c r="AKR35" s="176"/>
      <c r="AKS35" s="176"/>
      <c r="AKT35" s="176"/>
      <c r="AKU35" s="176"/>
      <c r="AKV35" s="176"/>
      <c r="AKW35" s="176"/>
      <c r="AKX35" s="176"/>
      <c r="AKY35" s="176"/>
      <c r="AKZ35" s="176"/>
      <c r="ALA35" s="176"/>
      <c r="ALB35" s="176"/>
      <c r="ALC35" s="176"/>
      <c r="ALD35" s="176"/>
      <c r="ALE35" s="176"/>
      <c r="ALF35" s="176"/>
      <c r="ALG35" s="176"/>
      <c r="ALH35" s="176"/>
      <c r="ALI35" s="176"/>
      <c r="ALJ35" s="176"/>
      <c r="ALK35" s="176"/>
      <c r="ALL35" s="176"/>
      <c r="ALM35" s="176"/>
      <c r="ALN35" s="176"/>
      <c r="ALO35" s="176"/>
      <c r="ALP35" s="176"/>
      <c r="ALQ35" s="176"/>
      <c r="ALR35" s="176"/>
      <c r="ALS35" s="176"/>
      <c r="ALT35" s="176"/>
      <c r="ALU35" s="176"/>
      <c r="ALV35" s="176"/>
      <c r="ALW35" s="176"/>
      <c r="ALX35" s="176"/>
      <c r="ALY35" s="176"/>
      <c r="ALZ35" s="176"/>
      <c r="AMA35" s="176"/>
      <c r="AMB35" s="176"/>
      <c r="AMC35" s="176"/>
      <c r="AMD35" s="176"/>
      <c r="AME35" s="158"/>
    </row>
    <row r="36" spans="1:1019" s="172" customFormat="1" ht="15" customHeight="1">
      <c r="A36" s="168">
        <f t="shared" si="0"/>
        <v>31</v>
      </c>
      <c r="B36" s="175">
        <v>1799</v>
      </c>
      <c r="C36" s="168" t="s">
        <v>234</v>
      </c>
      <c r="D36" s="169">
        <f>'הנדסה '!D73</f>
        <v>1000000</v>
      </c>
      <c r="E36" s="169">
        <f>'הנדסה '!E73</f>
        <v>1000000</v>
      </c>
      <c r="F36" s="169">
        <f>'הנדסה '!F73</f>
        <v>0</v>
      </c>
      <c r="G36" s="169">
        <f>'הנדסה '!G73</f>
        <v>500000</v>
      </c>
      <c r="H36" s="169">
        <f>'הנדסה '!H73</f>
        <v>24106</v>
      </c>
      <c r="I36" s="169">
        <f>'הנדסה '!I73</f>
        <v>0</v>
      </c>
      <c r="J36" s="169">
        <f>'הנדסה '!J73</f>
        <v>20567.86</v>
      </c>
      <c r="K36" s="169">
        <f>'הנדסה '!K73</f>
        <v>20567.86</v>
      </c>
      <c r="L36" s="169">
        <f>'הנדסה '!L73</f>
        <v>44673.86</v>
      </c>
      <c r="M36" s="169">
        <f>'הנדסה '!M73</f>
        <v>55326.140000000014</v>
      </c>
      <c r="N36" s="169">
        <f>'הנדסה '!N73</f>
        <v>250000</v>
      </c>
      <c r="O36" s="169">
        <f>'הנדסה '!O73</f>
        <v>650000</v>
      </c>
      <c r="P36" s="169">
        <f>'הנדסה '!P73</f>
        <v>455326.14</v>
      </c>
      <c r="Q36" s="169">
        <f>'הנדסה '!Q73</f>
        <v>0</v>
      </c>
      <c r="R36" s="169">
        <f>'הנדסה '!R73</f>
        <v>0</v>
      </c>
      <c r="S36" s="169">
        <f>'הנדסה '!S73</f>
        <v>0</v>
      </c>
      <c r="T36" s="169">
        <f>'הנדסה '!T73</f>
        <v>400000</v>
      </c>
      <c r="U36" s="169">
        <f>'הנדסה '!U73</f>
        <v>-150000</v>
      </c>
      <c r="V36" s="169">
        <f>'הנדסה '!V73</f>
        <v>-150000</v>
      </c>
      <c r="W36" s="169">
        <f>'הנדסה '!W73</f>
        <v>0</v>
      </c>
      <c r="X36" s="169">
        <f>'הנדסה '!X73</f>
        <v>0</v>
      </c>
      <c r="Y36" s="169">
        <f>'הנדסה '!Y73</f>
        <v>0</v>
      </c>
      <c r="Z36" s="169">
        <f>'הנדסה '!Z73</f>
        <v>0</v>
      </c>
      <c r="AA36" s="659">
        <f>'הנדסה '!AA73</f>
        <v>732000</v>
      </c>
      <c r="AB36" s="157"/>
      <c r="AC36" s="157"/>
      <c r="AD36" s="157"/>
      <c r="AE36" s="157"/>
      <c r="AME36" s="158"/>
    </row>
    <row r="37" spans="1:1019" s="172" customFormat="1" ht="30" customHeight="1">
      <c r="A37" s="168">
        <f t="shared" si="0"/>
        <v>32</v>
      </c>
      <c r="B37" s="175">
        <v>1811</v>
      </c>
      <c r="C37" s="175" t="s">
        <v>237</v>
      </c>
      <c r="D37" s="169">
        <f>'הנדסה '!D98</f>
        <v>250000</v>
      </c>
      <c r="E37" s="169">
        <f>'הנדסה '!E98</f>
        <v>250000</v>
      </c>
      <c r="F37" s="169">
        <f>'הנדסה '!F98</f>
        <v>0</v>
      </c>
      <c r="G37" s="169">
        <f>'הנדסה '!G98</f>
        <v>250000</v>
      </c>
      <c r="H37" s="169">
        <f>'הנדסה '!H98</f>
        <v>0</v>
      </c>
      <c r="I37" s="169">
        <f>'הנדסה '!I98</f>
        <v>0</v>
      </c>
      <c r="J37" s="169">
        <f>'הנדסה '!J98</f>
        <v>0</v>
      </c>
      <c r="K37" s="169">
        <f>'הנדסה '!K98</f>
        <v>0</v>
      </c>
      <c r="L37" s="169">
        <f>'הנדסה '!L98</f>
        <v>0</v>
      </c>
      <c r="M37" s="169">
        <f>'הנדסה '!M98</f>
        <v>50000</v>
      </c>
      <c r="N37" s="169">
        <f>'הנדסה '!N98</f>
        <v>200000</v>
      </c>
      <c r="O37" s="169">
        <f>'הנדסה '!O98</f>
        <v>0</v>
      </c>
      <c r="P37" s="169">
        <f>'הנדסה '!P98</f>
        <v>250000</v>
      </c>
      <c r="Q37" s="169">
        <f>'הנדסה '!Q98</f>
        <v>0</v>
      </c>
      <c r="R37" s="169">
        <f>'הנדסה '!R98</f>
        <v>0</v>
      </c>
      <c r="S37" s="169">
        <f>'הנדסה '!S98</f>
        <v>0</v>
      </c>
      <c r="T37" s="169">
        <f>'הנדסה '!T98</f>
        <v>200000</v>
      </c>
      <c r="U37" s="169">
        <f>'הנדסה '!U98</f>
        <v>0</v>
      </c>
      <c r="V37" s="169">
        <f>'הנדסה '!V98</f>
        <v>0</v>
      </c>
      <c r="W37" s="169">
        <f>'הנדסה '!W98</f>
        <v>0</v>
      </c>
      <c r="X37" s="169">
        <f>'הנדסה '!X98</f>
        <v>0</v>
      </c>
      <c r="Y37" s="169">
        <f>'הנדסה '!Y98</f>
        <v>0</v>
      </c>
      <c r="Z37" s="169">
        <f>'הנדסה '!Z98</f>
        <v>0</v>
      </c>
      <c r="AA37" s="659">
        <f>'הנדסה '!AA98</f>
        <v>732000</v>
      </c>
      <c r="AB37" s="157"/>
      <c r="AC37" s="157"/>
      <c r="AD37" s="157"/>
      <c r="AE37" s="157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76"/>
      <c r="BZ37" s="176"/>
      <c r="CA37" s="176"/>
      <c r="CB37" s="176"/>
      <c r="CC37" s="176"/>
      <c r="CD37" s="176"/>
      <c r="CE37" s="176"/>
      <c r="CF37" s="176"/>
      <c r="CG37" s="176"/>
      <c r="CH37" s="176"/>
      <c r="CI37" s="176"/>
      <c r="CJ37" s="176"/>
      <c r="CK37" s="176"/>
      <c r="CL37" s="176"/>
      <c r="CM37" s="176"/>
      <c r="CN37" s="176"/>
      <c r="CO37" s="176"/>
      <c r="CP37" s="176"/>
      <c r="CQ37" s="176"/>
      <c r="CR37" s="176"/>
      <c r="CS37" s="176"/>
      <c r="CT37" s="176"/>
      <c r="CU37" s="176"/>
      <c r="CV37" s="176"/>
      <c r="CW37" s="176"/>
      <c r="CX37" s="176"/>
      <c r="CY37" s="176"/>
      <c r="CZ37" s="176"/>
      <c r="DA37" s="176"/>
      <c r="DB37" s="176"/>
      <c r="DC37" s="176"/>
      <c r="DD37" s="176"/>
      <c r="DE37" s="176"/>
      <c r="DF37" s="176"/>
      <c r="DG37" s="176"/>
      <c r="DH37" s="176"/>
      <c r="DI37" s="176"/>
      <c r="DJ37" s="176"/>
      <c r="DK37" s="176"/>
      <c r="DL37" s="176"/>
      <c r="DM37" s="176"/>
      <c r="DN37" s="176"/>
      <c r="DO37" s="176"/>
      <c r="DP37" s="176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  <c r="EB37" s="176"/>
      <c r="EC37" s="176"/>
      <c r="ED37" s="176"/>
      <c r="EE37" s="176"/>
      <c r="EF37" s="176"/>
      <c r="EG37" s="176"/>
      <c r="EH37" s="176"/>
      <c r="EI37" s="176"/>
      <c r="EJ37" s="176"/>
      <c r="EK37" s="176"/>
      <c r="EL37" s="176"/>
      <c r="EM37" s="176"/>
      <c r="EN37" s="176"/>
      <c r="EO37" s="176"/>
      <c r="EP37" s="176"/>
      <c r="EQ37" s="176"/>
      <c r="ER37" s="176"/>
      <c r="ES37" s="176"/>
      <c r="ET37" s="176"/>
      <c r="EU37" s="176"/>
      <c r="EV37" s="176"/>
      <c r="EW37" s="176"/>
      <c r="EX37" s="176"/>
      <c r="EY37" s="176"/>
      <c r="EZ37" s="176"/>
      <c r="FA37" s="176"/>
      <c r="FB37" s="176"/>
      <c r="FC37" s="176"/>
      <c r="FD37" s="176"/>
      <c r="FE37" s="176"/>
      <c r="FF37" s="176"/>
      <c r="FG37" s="176"/>
      <c r="FH37" s="176"/>
      <c r="FI37" s="176"/>
      <c r="FJ37" s="176"/>
      <c r="FK37" s="176"/>
      <c r="FL37" s="176"/>
      <c r="FM37" s="176"/>
      <c r="FN37" s="176"/>
      <c r="FO37" s="176"/>
      <c r="FP37" s="176"/>
      <c r="FQ37" s="176"/>
      <c r="FR37" s="176"/>
      <c r="FS37" s="176"/>
      <c r="FT37" s="176"/>
      <c r="FU37" s="176"/>
      <c r="FV37" s="176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  <c r="IX37" s="176"/>
      <c r="IY37" s="176"/>
      <c r="IZ37" s="176"/>
      <c r="JA37" s="176"/>
      <c r="JB37" s="176"/>
      <c r="JC37" s="176"/>
      <c r="JD37" s="176"/>
      <c r="JE37" s="176"/>
      <c r="JF37" s="176"/>
      <c r="JG37" s="176"/>
      <c r="JH37" s="176"/>
      <c r="JI37" s="176"/>
      <c r="JJ37" s="176"/>
      <c r="JK37" s="176"/>
      <c r="JL37" s="176"/>
      <c r="JM37" s="176"/>
      <c r="JN37" s="176"/>
      <c r="JO37" s="176"/>
      <c r="JP37" s="176"/>
      <c r="JQ37" s="176"/>
      <c r="JR37" s="176"/>
      <c r="JS37" s="176"/>
      <c r="JT37" s="176"/>
      <c r="JU37" s="176"/>
      <c r="JV37" s="176"/>
      <c r="JW37" s="176"/>
      <c r="JX37" s="176"/>
      <c r="JY37" s="176"/>
      <c r="JZ37" s="176"/>
      <c r="KA37" s="176"/>
      <c r="KB37" s="176"/>
      <c r="KC37" s="176"/>
      <c r="KD37" s="176"/>
      <c r="KE37" s="176"/>
      <c r="KF37" s="176"/>
      <c r="KG37" s="176"/>
      <c r="KH37" s="176"/>
      <c r="KI37" s="176"/>
      <c r="KJ37" s="176"/>
      <c r="KK37" s="176"/>
      <c r="KL37" s="176"/>
      <c r="KM37" s="176"/>
      <c r="KN37" s="176"/>
      <c r="KO37" s="176"/>
      <c r="KP37" s="176"/>
      <c r="KQ37" s="176"/>
      <c r="KR37" s="176"/>
      <c r="KS37" s="176"/>
      <c r="KT37" s="176"/>
      <c r="KU37" s="176"/>
      <c r="KV37" s="176"/>
      <c r="KW37" s="176"/>
      <c r="KX37" s="176"/>
      <c r="KY37" s="176"/>
      <c r="KZ37" s="176"/>
      <c r="LA37" s="176"/>
      <c r="LB37" s="176"/>
      <c r="LC37" s="176"/>
      <c r="LD37" s="176"/>
      <c r="LE37" s="176"/>
      <c r="LF37" s="176"/>
      <c r="LG37" s="176"/>
      <c r="LH37" s="176"/>
      <c r="LI37" s="176"/>
      <c r="LJ37" s="176"/>
      <c r="LK37" s="176"/>
      <c r="LL37" s="176"/>
      <c r="LM37" s="176"/>
      <c r="LN37" s="176"/>
      <c r="LO37" s="176"/>
      <c r="LP37" s="176"/>
      <c r="LQ37" s="176"/>
      <c r="LR37" s="176"/>
      <c r="LS37" s="176"/>
      <c r="LT37" s="176"/>
      <c r="LU37" s="176"/>
      <c r="LV37" s="176"/>
      <c r="LW37" s="176"/>
      <c r="LX37" s="176"/>
      <c r="LY37" s="176"/>
      <c r="LZ37" s="176"/>
      <c r="MA37" s="176"/>
      <c r="MB37" s="176"/>
      <c r="MC37" s="176"/>
      <c r="MD37" s="176"/>
      <c r="ME37" s="176"/>
      <c r="MF37" s="176"/>
      <c r="MG37" s="176"/>
      <c r="MH37" s="176"/>
      <c r="MI37" s="176"/>
      <c r="MJ37" s="176"/>
      <c r="MK37" s="176"/>
      <c r="ML37" s="176"/>
      <c r="MM37" s="176"/>
      <c r="MN37" s="176"/>
      <c r="MO37" s="176"/>
      <c r="MP37" s="176"/>
      <c r="MQ37" s="176"/>
      <c r="MR37" s="176"/>
      <c r="MS37" s="176"/>
      <c r="MT37" s="176"/>
      <c r="MU37" s="176"/>
      <c r="MV37" s="176"/>
      <c r="MW37" s="176"/>
      <c r="MX37" s="176"/>
      <c r="MY37" s="176"/>
      <c r="MZ37" s="176"/>
      <c r="NA37" s="176"/>
      <c r="NB37" s="176"/>
      <c r="NC37" s="176"/>
      <c r="ND37" s="176"/>
      <c r="NE37" s="176"/>
      <c r="NF37" s="176"/>
      <c r="NG37" s="176"/>
      <c r="NH37" s="176"/>
      <c r="NI37" s="176"/>
      <c r="NJ37" s="176"/>
      <c r="NK37" s="176"/>
      <c r="NL37" s="176"/>
      <c r="NM37" s="176"/>
      <c r="NN37" s="176"/>
      <c r="NO37" s="176"/>
      <c r="NP37" s="176"/>
      <c r="NQ37" s="176"/>
      <c r="NR37" s="176"/>
      <c r="NS37" s="176"/>
      <c r="NT37" s="176"/>
      <c r="NU37" s="176"/>
      <c r="NV37" s="176"/>
      <c r="NW37" s="176"/>
      <c r="NX37" s="176"/>
      <c r="NY37" s="176"/>
      <c r="NZ37" s="176"/>
      <c r="OA37" s="176"/>
      <c r="OB37" s="176"/>
      <c r="OC37" s="176"/>
      <c r="OD37" s="176"/>
      <c r="OE37" s="176"/>
      <c r="OF37" s="176"/>
      <c r="OG37" s="176"/>
      <c r="OH37" s="176"/>
      <c r="OI37" s="176"/>
      <c r="OJ37" s="176"/>
      <c r="OK37" s="176"/>
      <c r="OL37" s="176"/>
      <c r="OM37" s="176"/>
      <c r="ON37" s="176"/>
      <c r="OO37" s="176"/>
      <c r="OP37" s="176"/>
      <c r="OQ37" s="176"/>
      <c r="OR37" s="176"/>
      <c r="OS37" s="176"/>
      <c r="OT37" s="176"/>
      <c r="OU37" s="176"/>
      <c r="OV37" s="176"/>
      <c r="OW37" s="176"/>
      <c r="OX37" s="176"/>
      <c r="OY37" s="176"/>
      <c r="OZ37" s="176"/>
      <c r="PA37" s="176"/>
      <c r="PB37" s="176"/>
      <c r="PC37" s="176"/>
      <c r="PD37" s="176"/>
      <c r="PE37" s="176"/>
      <c r="PF37" s="176"/>
      <c r="PG37" s="176"/>
      <c r="PH37" s="176"/>
      <c r="PI37" s="176"/>
      <c r="PJ37" s="176"/>
      <c r="PK37" s="176"/>
      <c r="PL37" s="176"/>
      <c r="PM37" s="176"/>
      <c r="PN37" s="176"/>
      <c r="PO37" s="176"/>
      <c r="PP37" s="176"/>
      <c r="PQ37" s="176"/>
      <c r="PR37" s="176"/>
      <c r="PS37" s="176"/>
      <c r="PT37" s="176"/>
      <c r="PU37" s="176"/>
      <c r="PV37" s="176"/>
      <c r="PW37" s="176"/>
      <c r="PX37" s="176"/>
      <c r="PY37" s="176"/>
      <c r="PZ37" s="176"/>
      <c r="QA37" s="176"/>
      <c r="QB37" s="176"/>
      <c r="QC37" s="176"/>
      <c r="QD37" s="176"/>
      <c r="QE37" s="176"/>
      <c r="QF37" s="176"/>
      <c r="QG37" s="176"/>
      <c r="QH37" s="176"/>
      <c r="QI37" s="176"/>
      <c r="QJ37" s="176"/>
      <c r="QK37" s="176"/>
      <c r="QL37" s="176"/>
      <c r="QM37" s="176"/>
      <c r="QN37" s="176"/>
      <c r="QO37" s="176"/>
      <c r="QP37" s="176"/>
      <c r="QQ37" s="176"/>
      <c r="QR37" s="176"/>
      <c r="QS37" s="176"/>
      <c r="QT37" s="176"/>
      <c r="QU37" s="176"/>
      <c r="QV37" s="176"/>
      <c r="QW37" s="176"/>
      <c r="QX37" s="176"/>
      <c r="QY37" s="176"/>
      <c r="QZ37" s="176"/>
      <c r="RA37" s="176"/>
      <c r="RB37" s="176"/>
      <c r="RC37" s="176"/>
      <c r="RD37" s="176"/>
      <c r="RE37" s="176"/>
      <c r="RF37" s="176"/>
      <c r="RG37" s="176"/>
      <c r="RH37" s="176"/>
      <c r="RI37" s="176"/>
      <c r="RJ37" s="176"/>
      <c r="RK37" s="176"/>
      <c r="RL37" s="176"/>
      <c r="RM37" s="176"/>
      <c r="RN37" s="176"/>
      <c r="RO37" s="176"/>
      <c r="RP37" s="176"/>
      <c r="RQ37" s="176"/>
      <c r="RR37" s="176"/>
      <c r="RS37" s="176"/>
      <c r="RT37" s="176"/>
      <c r="RU37" s="176"/>
      <c r="RV37" s="176"/>
      <c r="RW37" s="176"/>
      <c r="RX37" s="176"/>
      <c r="RY37" s="176"/>
      <c r="RZ37" s="176"/>
      <c r="SA37" s="176"/>
      <c r="SB37" s="176"/>
      <c r="SC37" s="176"/>
      <c r="SD37" s="176"/>
      <c r="SE37" s="176"/>
      <c r="SF37" s="176"/>
      <c r="SG37" s="176"/>
      <c r="SH37" s="176"/>
      <c r="SI37" s="176"/>
      <c r="SJ37" s="176"/>
      <c r="SK37" s="176"/>
      <c r="SL37" s="176"/>
      <c r="SM37" s="176"/>
      <c r="SN37" s="176"/>
      <c r="SO37" s="176"/>
      <c r="SP37" s="176"/>
      <c r="SQ37" s="176"/>
      <c r="SR37" s="176"/>
      <c r="SS37" s="176"/>
      <c r="ST37" s="176"/>
      <c r="SU37" s="176"/>
      <c r="SV37" s="176"/>
      <c r="SW37" s="176"/>
      <c r="SX37" s="176"/>
      <c r="SY37" s="176"/>
      <c r="SZ37" s="176"/>
      <c r="TA37" s="176"/>
      <c r="TB37" s="176"/>
      <c r="TC37" s="176"/>
      <c r="TD37" s="176"/>
      <c r="TE37" s="176"/>
      <c r="TF37" s="176"/>
      <c r="TG37" s="176"/>
      <c r="TH37" s="176"/>
      <c r="TI37" s="176"/>
      <c r="TJ37" s="176"/>
      <c r="TK37" s="176"/>
      <c r="TL37" s="176"/>
      <c r="TM37" s="176"/>
      <c r="TN37" s="176"/>
      <c r="TO37" s="176"/>
      <c r="TP37" s="176"/>
      <c r="TQ37" s="176"/>
      <c r="TR37" s="176"/>
      <c r="TS37" s="176"/>
      <c r="TT37" s="176"/>
      <c r="TU37" s="176"/>
      <c r="TV37" s="176"/>
      <c r="TW37" s="176"/>
      <c r="TX37" s="176"/>
      <c r="TY37" s="176"/>
      <c r="TZ37" s="176"/>
      <c r="UA37" s="176"/>
      <c r="UB37" s="176"/>
      <c r="UC37" s="176"/>
      <c r="UD37" s="176"/>
      <c r="UE37" s="176"/>
      <c r="UF37" s="176"/>
      <c r="UG37" s="176"/>
      <c r="UH37" s="176"/>
      <c r="UI37" s="176"/>
      <c r="UJ37" s="176"/>
      <c r="UK37" s="176"/>
      <c r="UL37" s="176"/>
      <c r="UM37" s="176"/>
      <c r="UN37" s="176"/>
      <c r="UO37" s="176"/>
      <c r="UP37" s="176"/>
      <c r="UQ37" s="176"/>
      <c r="UR37" s="176"/>
      <c r="US37" s="176"/>
      <c r="UT37" s="176"/>
      <c r="UU37" s="176"/>
      <c r="UV37" s="176"/>
      <c r="UW37" s="176"/>
      <c r="UX37" s="176"/>
      <c r="UY37" s="176"/>
      <c r="UZ37" s="176"/>
      <c r="VA37" s="176"/>
      <c r="VB37" s="176"/>
      <c r="VC37" s="176"/>
      <c r="VD37" s="176"/>
      <c r="VE37" s="176"/>
      <c r="VF37" s="176"/>
      <c r="VG37" s="176"/>
      <c r="VH37" s="176"/>
      <c r="VI37" s="176"/>
      <c r="VJ37" s="176"/>
      <c r="VK37" s="176"/>
      <c r="VL37" s="176"/>
      <c r="VM37" s="176"/>
      <c r="VN37" s="176"/>
      <c r="VO37" s="176"/>
      <c r="VP37" s="176"/>
      <c r="VQ37" s="176"/>
      <c r="VR37" s="176"/>
      <c r="VS37" s="176"/>
      <c r="VT37" s="176"/>
      <c r="VU37" s="176"/>
      <c r="VV37" s="176"/>
      <c r="VW37" s="176"/>
      <c r="VX37" s="176"/>
      <c r="VY37" s="176"/>
      <c r="VZ37" s="176"/>
      <c r="WA37" s="176"/>
      <c r="WB37" s="176"/>
      <c r="WC37" s="176"/>
      <c r="WD37" s="176"/>
      <c r="WE37" s="176"/>
      <c r="WF37" s="176"/>
      <c r="WG37" s="176"/>
      <c r="WH37" s="176"/>
      <c r="WI37" s="176"/>
      <c r="WJ37" s="176"/>
      <c r="WK37" s="176"/>
      <c r="WL37" s="176"/>
      <c r="WM37" s="176"/>
      <c r="WN37" s="176"/>
      <c r="WO37" s="176"/>
      <c r="WP37" s="176"/>
      <c r="WQ37" s="176"/>
      <c r="WR37" s="176"/>
      <c r="WS37" s="176"/>
      <c r="WT37" s="176"/>
      <c r="WU37" s="176"/>
      <c r="WV37" s="176"/>
      <c r="WW37" s="176"/>
      <c r="WX37" s="176"/>
      <c r="WY37" s="176"/>
      <c r="WZ37" s="176"/>
      <c r="XA37" s="176"/>
      <c r="XB37" s="176"/>
      <c r="XC37" s="176"/>
      <c r="XD37" s="176"/>
      <c r="XE37" s="176"/>
      <c r="XF37" s="176"/>
      <c r="XG37" s="176"/>
      <c r="XH37" s="176"/>
      <c r="XI37" s="176"/>
      <c r="XJ37" s="176"/>
      <c r="XK37" s="176"/>
      <c r="XL37" s="176"/>
      <c r="XM37" s="176"/>
      <c r="XN37" s="176"/>
      <c r="XO37" s="176"/>
      <c r="XP37" s="176"/>
      <c r="XQ37" s="176"/>
      <c r="XR37" s="176"/>
      <c r="XS37" s="176"/>
      <c r="XT37" s="176"/>
      <c r="XU37" s="176"/>
      <c r="XV37" s="176"/>
      <c r="XW37" s="176"/>
      <c r="XX37" s="176"/>
      <c r="XY37" s="176"/>
      <c r="XZ37" s="176"/>
      <c r="YA37" s="176"/>
      <c r="YB37" s="176"/>
      <c r="YC37" s="176"/>
      <c r="YD37" s="176"/>
      <c r="YE37" s="176"/>
      <c r="YF37" s="176"/>
      <c r="YG37" s="176"/>
      <c r="YH37" s="176"/>
      <c r="YI37" s="176"/>
      <c r="YJ37" s="176"/>
      <c r="YK37" s="176"/>
      <c r="YL37" s="176"/>
      <c r="YM37" s="176"/>
      <c r="YN37" s="176"/>
      <c r="YO37" s="176"/>
      <c r="YP37" s="176"/>
      <c r="YQ37" s="176"/>
      <c r="YR37" s="176"/>
      <c r="YS37" s="176"/>
      <c r="YT37" s="176"/>
      <c r="YU37" s="176"/>
      <c r="YV37" s="176"/>
      <c r="YW37" s="176"/>
      <c r="YX37" s="176"/>
      <c r="YY37" s="176"/>
      <c r="YZ37" s="176"/>
      <c r="ZA37" s="176"/>
      <c r="ZB37" s="176"/>
      <c r="ZC37" s="176"/>
      <c r="ZD37" s="176"/>
      <c r="ZE37" s="176"/>
      <c r="ZF37" s="176"/>
      <c r="ZG37" s="176"/>
      <c r="ZH37" s="176"/>
      <c r="ZI37" s="176"/>
      <c r="ZJ37" s="176"/>
      <c r="ZK37" s="176"/>
      <c r="ZL37" s="176"/>
      <c r="ZM37" s="176"/>
      <c r="ZN37" s="176"/>
      <c r="ZO37" s="176"/>
      <c r="ZP37" s="176"/>
      <c r="ZQ37" s="176"/>
      <c r="ZR37" s="176"/>
      <c r="ZS37" s="176"/>
      <c r="ZT37" s="176"/>
      <c r="ZU37" s="176"/>
      <c r="ZV37" s="176"/>
      <c r="ZW37" s="176"/>
      <c r="ZX37" s="176"/>
      <c r="ZY37" s="176"/>
      <c r="ZZ37" s="176"/>
      <c r="AAA37" s="176"/>
      <c r="AAB37" s="176"/>
      <c r="AAC37" s="176"/>
      <c r="AAD37" s="176"/>
      <c r="AAE37" s="176"/>
      <c r="AAF37" s="176"/>
      <c r="AAG37" s="176"/>
      <c r="AAH37" s="176"/>
      <c r="AAI37" s="176"/>
      <c r="AAJ37" s="176"/>
      <c r="AAK37" s="176"/>
      <c r="AAL37" s="176"/>
      <c r="AAM37" s="176"/>
      <c r="AAN37" s="176"/>
      <c r="AAO37" s="176"/>
      <c r="AAP37" s="176"/>
      <c r="AAQ37" s="176"/>
      <c r="AAR37" s="176"/>
      <c r="AAS37" s="176"/>
      <c r="AAT37" s="176"/>
      <c r="AAU37" s="176"/>
      <c r="AAV37" s="176"/>
      <c r="AAW37" s="176"/>
      <c r="AAX37" s="176"/>
      <c r="AAY37" s="176"/>
      <c r="AAZ37" s="176"/>
      <c r="ABA37" s="176"/>
      <c r="ABB37" s="176"/>
      <c r="ABC37" s="176"/>
      <c r="ABD37" s="176"/>
      <c r="ABE37" s="176"/>
      <c r="ABF37" s="176"/>
      <c r="ABG37" s="176"/>
      <c r="ABH37" s="176"/>
      <c r="ABI37" s="176"/>
      <c r="ABJ37" s="176"/>
      <c r="ABK37" s="176"/>
      <c r="ABL37" s="176"/>
      <c r="ABM37" s="176"/>
      <c r="ABN37" s="176"/>
      <c r="ABO37" s="176"/>
      <c r="ABP37" s="176"/>
      <c r="ABQ37" s="176"/>
      <c r="ABR37" s="176"/>
      <c r="ABS37" s="176"/>
      <c r="ABT37" s="176"/>
      <c r="ABU37" s="176"/>
      <c r="ABV37" s="176"/>
      <c r="ABW37" s="176"/>
      <c r="ABX37" s="176"/>
      <c r="ABY37" s="176"/>
      <c r="ABZ37" s="176"/>
      <c r="ACA37" s="176"/>
      <c r="ACB37" s="176"/>
      <c r="ACC37" s="176"/>
      <c r="ACD37" s="176"/>
      <c r="ACE37" s="176"/>
      <c r="ACF37" s="176"/>
      <c r="ACG37" s="176"/>
      <c r="ACH37" s="176"/>
      <c r="ACI37" s="176"/>
      <c r="ACJ37" s="176"/>
      <c r="ACK37" s="176"/>
      <c r="ACL37" s="176"/>
      <c r="ACM37" s="176"/>
      <c r="ACN37" s="176"/>
      <c r="ACO37" s="176"/>
      <c r="ACP37" s="176"/>
      <c r="ACQ37" s="176"/>
      <c r="ACR37" s="176"/>
      <c r="ACS37" s="176"/>
      <c r="ACT37" s="176"/>
      <c r="ACU37" s="176"/>
      <c r="ACV37" s="176"/>
      <c r="ACW37" s="176"/>
      <c r="ACX37" s="176"/>
      <c r="ACY37" s="176"/>
      <c r="ACZ37" s="176"/>
      <c r="ADA37" s="176"/>
      <c r="ADB37" s="176"/>
      <c r="ADC37" s="176"/>
      <c r="ADD37" s="176"/>
      <c r="ADE37" s="176"/>
      <c r="ADF37" s="176"/>
      <c r="ADG37" s="176"/>
      <c r="ADH37" s="176"/>
      <c r="ADI37" s="176"/>
      <c r="ADJ37" s="176"/>
      <c r="ADK37" s="176"/>
      <c r="ADL37" s="176"/>
      <c r="ADM37" s="176"/>
      <c r="ADN37" s="176"/>
      <c r="ADO37" s="176"/>
      <c r="ADP37" s="176"/>
      <c r="ADQ37" s="176"/>
      <c r="ADR37" s="176"/>
      <c r="ADS37" s="176"/>
      <c r="ADT37" s="176"/>
      <c r="ADU37" s="176"/>
      <c r="ADV37" s="176"/>
      <c r="ADW37" s="176"/>
      <c r="ADX37" s="176"/>
      <c r="ADY37" s="176"/>
      <c r="ADZ37" s="176"/>
      <c r="AEA37" s="176"/>
      <c r="AEB37" s="176"/>
      <c r="AEC37" s="176"/>
      <c r="AED37" s="176"/>
      <c r="AEE37" s="176"/>
      <c r="AEF37" s="176"/>
      <c r="AEG37" s="176"/>
      <c r="AEH37" s="176"/>
      <c r="AEI37" s="176"/>
      <c r="AEJ37" s="176"/>
      <c r="AEK37" s="176"/>
      <c r="AEL37" s="176"/>
      <c r="AEM37" s="176"/>
      <c r="AEN37" s="176"/>
      <c r="AEO37" s="176"/>
      <c r="AEP37" s="176"/>
      <c r="AEQ37" s="176"/>
      <c r="AER37" s="176"/>
      <c r="AES37" s="176"/>
      <c r="AET37" s="176"/>
      <c r="AEU37" s="176"/>
      <c r="AEV37" s="176"/>
      <c r="AEW37" s="176"/>
      <c r="AEX37" s="176"/>
      <c r="AEY37" s="176"/>
      <c r="AEZ37" s="176"/>
      <c r="AFA37" s="176"/>
      <c r="AFB37" s="176"/>
      <c r="AFC37" s="176"/>
      <c r="AFD37" s="176"/>
      <c r="AFE37" s="176"/>
      <c r="AFF37" s="176"/>
      <c r="AFG37" s="176"/>
      <c r="AFH37" s="176"/>
      <c r="AFI37" s="176"/>
      <c r="AFJ37" s="176"/>
      <c r="AFK37" s="176"/>
      <c r="AFL37" s="176"/>
      <c r="AFM37" s="176"/>
      <c r="AFN37" s="176"/>
      <c r="AFO37" s="176"/>
      <c r="AFP37" s="176"/>
      <c r="AFQ37" s="176"/>
      <c r="AFR37" s="176"/>
      <c r="AFS37" s="176"/>
      <c r="AFT37" s="176"/>
      <c r="AFU37" s="176"/>
      <c r="AFV37" s="176"/>
      <c r="AFW37" s="176"/>
      <c r="AFX37" s="176"/>
      <c r="AFY37" s="176"/>
      <c r="AFZ37" s="176"/>
      <c r="AGA37" s="176"/>
      <c r="AGB37" s="176"/>
      <c r="AGC37" s="176"/>
      <c r="AGD37" s="176"/>
      <c r="AGE37" s="176"/>
      <c r="AGF37" s="176"/>
      <c r="AGG37" s="176"/>
      <c r="AGH37" s="176"/>
      <c r="AGI37" s="176"/>
      <c r="AGJ37" s="176"/>
      <c r="AGK37" s="176"/>
      <c r="AGL37" s="176"/>
      <c r="AGM37" s="176"/>
      <c r="AGN37" s="176"/>
      <c r="AGO37" s="176"/>
      <c r="AGP37" s="176"/>
      <c r="AGQ37" s="176"/>
      <c r="AGR37" s="176"/>
      <c r="AGS37" s="176"/>
      <c r="AGT37" s="176"/>
      <c r="AGU37" s="176"/>
      <c r="AGV37" s="176"/>
      <c r="AGW37" s="176"/>
      <c r="AGX37" s="176"/>
      <c r="AGY37" s="176"/>
      <c r="AGZ37" s="176"/>
      <c r="AHA37" s="176"/>
      <c r="AHB37" s="176"/>
      <c r="AHC37" s="176"/>
      <c r="AHD37" s="176"/>
      <c r="AHE37" s="176"/>
      <c r="AHF37" s="176"/>
      <c r="AHG37" s="176"/>
      <c r="AHH37" s="176"/>
      <c r="AHI37" s="176"/>
      <c r="AHJ37" s="176"/>
      <c r="AHK37" s="176"/>
      <c r="AHL37" s="176"/>
      <c r="AHM37" s="176"/>
      <c r="AHN37" s="176"/>
      <c r="AHO37" s="176"/>
      <c r="AHP37" s="176"/>
      <c r="AHQ37" s="176"/>
      <c r="AHR37" s="176"/>
      <c r="AHS37" s="176"/>
      <c r="AHT37" s="176"/>
      <c r="AHU37" s="176"/>
      <c r="AHV37" s="176"/>
      <c r="AHW37" s="176"/>
      <c r="AHX37" s="176"/>
      <c r="AHY37" s="176"/>
      <c r="AHZ37" s="176"/>
      <c r="AIA37" s="176"/>
      <c r="AIB37" s="176"/>
      <c r="AIC37" s="176"/>
      <c r="AID37" s="176"/>
      <c r="AIE37" s="176"/>
      <c r="AIF37" s="176"/>
      <c r="AIG37" s="176"/>
      <c r="AIH37" s="176"/>
      <c r="AII37" s="176"/>
      <c r="AIJ37" s="176"/>
      <c r="AIK37" s="176"/>
      <c r="AIL37" s="176"/>
      <c r="AIM37" s="176"/>
      <c r="AIN37" s="176"/>
      <c r="AIO37" s="176"/>
      <c r="AIP37" s="176"/>
      <c r="AIQ37" s="176"/>
      <c r="AIR37" s="176"/>
      <c r="AIS37" s="176"/>
      <c r="AIT37" s="176"/>
      <c r="AIU37" s="176"/>
      <c r="AIV37" s="176"/>
      <c r="AIW37" s="176"/>
      <c r="AIX37" s="176"/>
      <c r="AIY37" s="176"/>
      <c r="AIZ37" s="176"/>
      <c r="AJA37" s="176"/>
      <c r="AJB37" s="176"/>
      <c r="AJC37" s="176"/>
      <c r="AJD37" s="176"/>
      <c r="AJE37" s="176"/>
      <c r="AJF37" s="176"/>
      <c r="AJG37" s="176"/>
      <c r="AJH37" s="176"/>
      <c r="AJI37" s="176"/>
      <c r="AJJ37" s="176"/>
      <c r="AJK37" s="176"/>
      <c r="AJL37" s="176"/>
      <c r="AJM37" s="176"/>
      <c r="AJN37" s="176"/>
      <c r="AJO37" s="176"/>
      <c r="AJP37" s="176"/>
      <c r="AJQ37" s="176"/>
      <c r="AJR37" s="176"/>
      <c r="AJS37" s="176"/>
      <c r="AJT37" s="176"/>
      <c r="AJU37" s="176"/>
      <c r="AJV37" s="176"/>
      <c r="AJW37" s="176"/>
      <c r="AJX37" s="176"/>
      <c r="AJY37" s="176"/>
      <c r="AJZ37" s="176"/>
      <c r="AKA37" s="176"/>
      <c r="AKB37" s="176"/>
      <c r="AKC37" s="176"/>
      <c r="AKD37" s="176"/>
      <c r="AKE37" s="176"/>
      <c r="AKF37" s="176"/>
      <c r="AKG37" s="176"/>
      <c r="AKH37" s="176"/>
      <c r="AKI37" s="176"/>
      <c r="AKJ37" s="176"/>
      <c r="AKK37" s="176"/>
      <c r="AKL37" s="176"/>
      <c r="AKM37" s="176"/>
      <c r="AKN37" s="176"/>
      <c r="AKO37" s="176"/>
      <c r="AKP37" s="176"/>
      <c r="AKQ37" s="176"/>
      <c r="AKR37" s="176"/>
      <c r="AKS37" s="176"/>
      <c r="AKT37" s="176"/>
      <c r="AKU37" s="176"/>
      <c r="AKV37" s="176"/>
      <c r="AKW37" s="176"/>
      <c r="AKX37" s="176"/>
      <c r="AKY37" s="176"/>
      <c r="AKZ37" s="176"/>
      <c r="ALA37" s="176"/>
      <c r="ALB37" s="176"/>
      <c r="ALC37" s="176"/>
      <c r="ALD37" s="176"/>
      <c r="ALE37" s="176"/>
      <c r="ALF37" s="176"/>
      <c r="ALG37" s="176"/>
      <c r="ALH37" s="176"/>
      <c r="ALI37" s="176"/>
      <c r="ALJ37" s="176"/>
      <c r="ALK37" s="176"/>
      <c r="ALL37" s="176"/>
      <c r="ALM37" s="176"/>
      <c r="ALN37" s="176"/>
      <c r="ALO37" s="176"/>
      <c r="ALP37" s="176"/>
      <c r="ALQ37" s="176"/>
      <c r="ALR37" s="176"/>
      <c r="ALS37" s="176"/>
      <c r="ALT37" s="176"/>
      <c r="ALU37" s="176"/>
      <c r="ALV37" s="176"/>
      <c r="ALW37" s="176"/>
      <c r="ALX37" s="176"/>
      <c r="ALY37" s="176"/>
      <c r="ALZ37" s="176"/>
      <c r="AMA37" s="176"/>
      <c r="AMB37" s="176"/>
      <c r="AMC37" s="176"/>
      <c r="AMD37" s="176"/>
      <c r="AME37" s="158"/>
    </row>
    <row r="38" spans="1:1019" s="15" customFormat="1">
      <c r="A38" s="168">
        <f t="shared" si="0"/>
        <v>33</v>
      </c>
      <c r="B38" s="175">
        <v>1838</v>
      </c>
      <c r="C38" s="168" t="s">
        <v>251</v>
      </c>
      <c r="D38" s="169">
        <f>'הנדסה '!D74</f>
        <v>400000</v>
      </c>
      <c r="E38" s="169">
        <f>'הנדסה '!E74</f>
        <v>400000</v>
      </c>
      <c r="F38" s="169">
        <f>'הנדסה '!F74</f>
        <v>0</v>
      </c>
      <c r="G38" s="169">
        <f>'הנדסה '!G74</f>
        <v>400000</v>
      </c>
      <c r="H38" s="169">
        <f>'הנדסה '!H74</f>
        <v>0</v>
      </c>
      <c r="I38" s="169">
        <f>'הנדסה '!I74</f>
        <v>0</v>
      </c>
      <c r="J38" s="169">
        <f>'הנדסה '!J74</f>
        <v>1168.83</v>
      </c>
      <c r="K38" s="169">
        <f>'הנדסה '!K74</f>
        <v>1168.83</v>
      </c>
      <c r="L38" s="169">
        <f>'הנדסה '!L74</f>
        <v>1168.83</v>
      </c>
      <c r="M38" s="169">
        <f>'הנדסה '!M74</f>
        <v>98831.169999999984</v>
      </c>
      <c r="N38" s="169">
        <f>'הנדסה '!N74</f>
        <v>150000</v>
      </c>
      <c r="O38" s="169">
        <f>'הנדסה '!O74</f>
        <v>150000</v>
      </c>
      <c r="P38" s="169">
        <f>'הנדסה '!P74</f>
        <v>398831.17</v>
      </c>
      <c r="Q38" s="169">
        <f>'הנדסה '!Q74</f>
        <v>0</v>
      </c>
      <c r="R38" s="169">
        <f>'הנדסה '!R74</f>
        <v>0</v>
      </c>
      <c r="S38" s="169">
        <f>'הנדסה '!S74</f>
        <v>0</v>
      </c>
      <c r="T38" s="169">
        <f>'הנדסה '!T74</f>
        <v>300000</v>
      </c>
      <c r="U38" s="169">
        <f>'הנדסה '!U74</f>
        <v>-150000</v>
      </c>
      <c r="V38" s="169">
        <f>'הנדסה '!V74</f>
        <v>-150000</v>
      </c>
      <c r="W38" s="169">
        <f>'הנדסה '!W74</f>
        <v>0</v>
      </c>
      <c r="X38" s="169">
        <f>'הנדסה '!X74</f>
        <v>0</v>
      </c>
      <c r="Y38" s="169">
        <f>'הנדסה '!Y74</f>
        <v>0</v>
      </c>
      <c r="Z38" s="169">
        <f>'הנדסה '!Z74</f>
        <v>0</v>
      </c>
      <c r="AA38" s="659">
        <f>'הנדסה '!AA74</f>
        <v>732000</v>
      </c>
      <c r="AB38" s="157"/>
      <c r="AC38" s="157"/>
      <c r="AD38" s="157"/>
      <c r="AE38" s="157"/>
      <c r="AF38" s="176"/>
      <c r="AG38" s="177"/>
      <c r="AH38" s="177"/>
      <c r="AI38" s="177"/>
      <c r="AJ38" s="177"/>
      <c r="AK38" s="177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  <c r="IE38" s="176"/>
      <c r="IF38" s="176"/>
      <c r="IG38" s="176"/>
      <c r="IH38" s="176"/>
      <c r="II38" s="176"/>
      <c r="IJ38" s="176"/>
      <c r="IK38" s="176"/>
      <c r="IL38" s="176"/>
      <c r="IM38" s="176"/>
      <c r="IN38" s="176"/>
      <c r="IO38" s="176"/>
      <c r="IP38" s="176"/>
      <c r="IQ38" s="176"/>
      <c r="IR38" s="176"/>
      <c r="IS38" s="176"/>
      <c r="IT38" s="176"/>
      <c r="IU38" s="176"/>
      <c r="IV38" s="176"/>
      <c r="IW38" s="176"/>
      <c r="IX38" s="176"/>
      <c r="IY38" s="176"/>
      <c r="IZ38" s="176"/>
      <c r="JA38" s="176"/>
      <c r="JB38" s="176"/>
      <c r="JC38" s="176"/>
      <c r="JD38" s="176"/>
      <c r="JE38" s="176"/>
      <c r="JF38" s="176"/>
      <c r="JG38" s="176"/>
      <c r="JH38" s="176"/>
      <c r="JI38" s="176"/>
      <c r="JJ38" s="176"/>
      <c r="JK38" s="176"/>
      <c r="JL38" s="176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76"/>
      <c r="LQ38" s="176"/>
      <c r="LR38" s="176"/>
      <c r="LS38" s="176"/>
      <c r="LT38" s="176"/>
      <c r="LU38" s="176"/>
      <c r="LV38" s="176"/>
      <c r="LW38" s="176"/>
      <c r="LX38" s="176"/>
      <c r="LY38" s="176"/>
      <c r="LZ38" s="176"/>
      <c r="MA38" s="176"/>
      <c r="MB38" s="176"/>
      <c r="MC38" s="176"/>
      <c r="MD38" s="176"/>
      <c r="ME38" s="176"/>
      <c r="MF38" s="176"/>
      <c r="MG38" s="176"/>
      <c r="MH38" s="176"/>
      <c r="MI38" s="176"/>
      <c r="MJ38" s="176"/>
      <c r="MK38" s="176"/>
      <c r="ML38" s="176"/>
      <c r="MM38" s="176"/>
      <c r="MN38" s="176"/>
      <c r="MO38" s="176"/>
      <c r="MP38" s="176"/>
      <c r="MQ38" s="176"/>
      <c r="MR38" s="176"/>
      <c r="MS38" s="176"/>
      <c r="MT38" s="176"/>
      <c r="MU38" s="176"/>
      <c r="MV38" s="176"/>
      <c r="MW38" s="176"/>
      <c r="MX38" s="176"/>
      <c r="MY38" s="176"/>
      <c r="MZ38" s="176"/>
      <c r="NA38" s="176"/>
      <c r="NB38" s="176"/>
      <c r="NC38" s="176"/>
      <c r="ND38" s="176"/>
      <c r="NE38" s="176"/>
      <c r="NF38" s="176"/>
      <c r="NG38" s="176"/>
      <c r="NH38" s="176"/>
      <c r="NI38" s="176"/>
      <c r="NJ38" s="176"/>
      <c r="NK38" s="176"/>
      <c r="NL38" s="176"/>
      <c r="NM38" s="176"/>
      <c r="NN38" s="176"/>
      <c r="NO38" s="176"/>
      <c r="NP38" s="176"/>
      <c r="NQ38" s="176"/>
      <c r="NR38" s="176"/>
      <c r="NS38" s="176"/>
      <c r="NT38" s="176"/>
      <c r="NU38" s="176"/>
      <c r="NV38" s="176"/>
      <c r="NW38" s="176"/>
      <c r="NX38" s="176"/>
      <c r="NY38" s="176"/>
      <c r="NZ38" s="176"/>
      <c r="OA38" s="176"/>
      <c r="OB38" s="176"/>
      <c r="OC38" s="176"/>
      <c r="OD38" s="176"/>
      <c r="OE38" s="176"/>
      <c r="OF38" s="176"/>
      <c r="OG38" s="176"/>
      <c r="OH38" s="176"/>
      <c r="OI38" s="176"/>
      <c r="OJ38" s="176"/>
      <c r="OK38" s="176"/>
      <c r="OL38" s="176"/>
      <c r="OM38" s="176"/>
      <c r="ON38" s="176"/>
      <c r="OO38" s="176"/>
      <c r="OP38" s="176"/>
      <c r="OQ38" s="176"/>
      <c r="OR38" s="176"/>
      <c r="OS38" s="176"/>
      <c r="OT38" s="176"/>
      <c r="OU38" s="176"/>
      <c r="OV38" s="176"/>
      <c r="OW38" s="176"/>
      <c r="OX38" s="176"/>
      <c r="OY38" s="176"/>
      <c r="OZ38" s="176"/>
      <c r="PA38" s="176"/>
      <c r="PB38" s="176"/>
      <c r="PC38" s="176"/>
      <c r="PD38" s="176"/>
      <c r="PE38" s="176"/>
      <c r="PF38" s="176"/>
      <c r="PG38" s="176"/>
      <c r="PH38" s="176"/>
      <c r="PI38" s="176"/>
      <c r="PJ38" s="176"/>
      <c r="PK38" s="176"/>
      <c r="PL38" s="176"/>
      <c r="PM38" s="176"/>
      <c r="PN38" s="176"/>
      <c r="PO38" s="176"/>
      <c r="PP38" s="176"/>
      <c r="PQ38" s="176"/>
      <c r="PR38" s="176"/>
      <c r="PS38" s="176"/>
      <c r="PT38" s="176"/>
      <c r="PU38" s="176"/>
      <c r="PV38" s="176"/>
      <c r="PW38" s="176"/>
      <c r="PX38" s="176"/>
      <c r="PY38" s="176"/>
      <c r="PZ38" s="176"/>
      <c r="QA38" s="176"/>
      <c r="QB38" s="176"/>
      <c r="QC38" s="176"/>
      <c r="QD38" s="176"/>
      <c r="QE38" s="176"/>
      <c r="QF38" s="176"/>
      <c r="QG38" s="176"/>
      <c r="QH38" s="176"/>
      <c r="QI38" s="176"/>
      <c r="QJ38" s="176"/>
      <c r="QK38" s="176"/>
      <c r="QL38" s="176"/>
      <c r="QM38" s="176"/>
      <c r="QN38" s="176"/>
      <c r="QO38" s="176"/>
      <c r="QP38" s="176"/>
      <c r="QQ38" s="176"/>
      <c r="QR38" s="176"/>
      <c r="QS38" s="176"/>
      <c r="QT38" s="176"/>
      <c r="QU38" s="176"/>
      <c r="QV38" s="176"/>
      <c r="QW38" s="176"/>
      <c r="QX38" s="176"/>
      <c r="QY38" s="176"/>
      <c r="QZ38" s="176"/>
      <c r="RA38" s="176"/>
      <c r="RB38" s="176"/>
      <c r="RC38" s="176"/>
      <c r="RD38" s="176"/>
      <c r="RE38" s="176"/>
      <c r="RF38" s="176"/>
      <c r="RG38" s="176"/>
      <c r="RH38" s="176"/>
      <c r="RI38" s="176"/>
      <c r="RJ38" s="176"/>
      <c r="RK38" s="176"/>
      <c r="RL38" s="176"/>
      <c r="RM38" s="176"/>
      <c r="RN38" s="176"/>
      <c r="RO38" s="176"/>
      <c r="RP38" s="176"/>
      <c r="RQ38" s="176"/>
      <c r="RR38" s="176"/>
      <c r="RS38" s="176"/>
      <c r="RT38" s="176"/>
      <c r="RU38" s="176"/>
      <c r="RV38" s="176"/>
      <c r="RW38" s="176"/>
      <c r="RX38" s="176"/>
      <c r="RY38" s="176"/>
      <c r="RZ38" s="176"/>
      <c r="SA38" s="176"/>
      <c r="SB38" s="176"/>
      <c r="SC38" s="176"/>
      <c r="SD38" s="176"/>
      <c r="SE38" s="176"/>
      <c r="SF38" s="176"/>
      <c r="SG38" s="176"/>
      <c r="SH38" s="176"/>
      <c r="SI38" s="176"/>
      <c r="SJ38" s="176"/>
      <c r="SK38" s="176"/>
      <c r="SL38" s="176"/>
      <c r="SM38" s="176"/>
      <c r="SN38" s="176"/>
      <c r="SO38" s="176"/>
      <c r="SP38" s="176"/>
      <c r="SQ38" s="176"/>
      <c r="SR38" s="176"/>
      <c r="SS38" s="176"/>
      <c r="ST38" s="176"/>
      <c r="SU38" s="176"/>
      <c r="SV38" s="176"/>
      <c r="SW38" s="176"/>
      <c r="SX38" s="176"/>
      <c r="SY38" s="176"/>
      <c r="SZ38" s="176"/>
      <c r="TA38" s="176"/>
      <c r="TB38" s="176"/>
      <c r="TC38" s="176"/>
      <c r="TD38" s="176"/>
      <c r="TE38" s="176"/>
      <c r="TF38" s="176"/>
      <c r="TG38" s="176"/>
      <c r="TH38" s="176"/>
      <c r="TI38" s="176"/>
      <c r="TJ38" s="176"/>
      <c r="TK38" s="176"/>
      <c r="TL38" s="176"/>
      <c r="TM38" s="176"/>
      <c r="TN38" s="176"/>
      <c r="TO38" s="176"/>
      <c r="TP38" s="176"/>
      <c r="TQ38" s="176"/>
      <c r="TR38" s="176"/>
      <c r="TS38" s="176"/>
      <c r="TT38" s="176"/>
      <c r="TU38" s="176"/>
      <c r="TV38" s="176"/>
      <c r="TW38" s="176"/>
      <c r="TX38" s="176"/>
      <c r="TY38" s="176"/>
      <c r="TZ38" s="176"/>
      <c r="UA38" s="176"/>
      <c r="UB38" s="176"/>
      <c r="UC38" s="176"/>
      <c r="UD38" s="176"/>
      <c r="UE38" s="176"/>
      <c r="UF38" s="176"/>
      <c r="UG38" s="176"/>
      <c r="UH38" s="176"/>
      <c r="UI38" s="176"/>
      <c r="UJ38" s="176"/>
      <c r="UK38" s="176"/>
      <c r="UL38" s="176"/>
      <c r="UM38" s="176"/>
      <c r="UN38" s="176"/>
      <c r="UO38" s="176"/>
      <c r="UP38" s="176"/>
      <c r="UQ38" s="176"/>
      <c r="UR38" s="176"/>
      <c r="US38" s="176"/>
      <c r="UT38" s="176"/>
      <c r="UU38" s="176"/>
      <c r="UV38" s="176"/>
      <c r="UW38" s="176"/>
      <c r="UX38" s="176"/>
      <c r="UY38" s="176"/>
      <c r="UZ38" s="176"/>
      <c r="VA38" s="176"/>
      <c r="VB38" s="176"/>
      <c r="VC38" s="176"/>
      <c r="VD38" s="176"/>
      <c r="VE38" s="176"/>
      <c r="VF38" s="176"/>
      <c r="VG38" s="176"/>
      <c r="VH38" s="176"/>
      <c r="VI38" s="176"/>
      <c r="VJ38" s="176"/>
      <c r="VK38" s="176"/>
      <c r="VL38" s="176"/>
      <c r="VM38" s="176"/>
      <c r="VN38" s="176"/>
      <c r="VO38" s="176"/>
      <c r="VP38" s="176"/>
      <c r="VQ38" s="176"/>
      <c r="VR38" s="176"/>
      <c r="VS38" s="176"/>
      <c r="VT38" s="176"/>
      <c r="VU38" s="176"/>
      <c r="VV38" s="176"/>
      <c r="VW38" s="176"/>
      <c r="VX38" s="176"/>
      <c r="VY38" s="176"/>
      <c r="VZ38" s="176"/>
      <c r="WA38" s="176"/>
      <c r="WB38" s="176"/>
      <c r="WC38" s="176"/>
      <c r="WD38" s="176"/>
      <c r="WE38" s="176"/>
      <c r="WF38" s="176"/>
      <c r="WG38" s="176"/>
      <c r="WH38" s="176"/>
      <c r="WI38" s="176"/>
      <c r="WJ38" s="176"/>
      <c r="WK38" s="176"/>
      <c r="WL38" s="176"/>
      <c r="WM38" s="176"/>
      <c r="WN38" s="176"/>
      <c r="WO38" s="176"/>
      <c r="WP38" s="176"/>
      <c r="WQ38" s="176"/>
      <c r="WR38" s="176"/>
      <c r="WS38" s="176"/>
      <c r="WT38" s="176"/>
      <c r="WU38" s="176"/>
      <c r="WV38" s="176"/>
      <c r="WW38" s="176"/>
      <c r="WX38" s="176"/>
      <c r="WY38" s="176"/>
      <c r="WZ38" s="176"/>
      <c r="XA38" s="176"/>
      <c r="XB38" s="176"/>
      <c r="XC38" s="176"/>
      <c r="XD38" s="176"/>
      <c r="XE38" s="176"/>
      <c r="XF38" s="176"/>
      <c r="XG38" s="176"/>
      <c r="XH38" s="176"/>
      <c r="XI38" s="176"/>
      <c r="XJ38" s="176"/>
      <c r="XK38" s="176"/>
      <c r="XL38" s="176"/>
      <c r="XM38" s="176"/>
      <c r="XN38" s="176"/>
      <c r="XO38" s="176"/>
      <c r="XP38" s="176"/>
      <c r="XQ38" s="176"/>
      <c r="XR38" s="176"/>
      <c r="XS38" s="176"/>
      <c r="XT38" s="176"/>
      <c r="XU38" s="176"/>
      <c r="XV38" s="176"/>
      <c r="XW38" s="176"/>
      <c r="XX38" s="176"/>
      <c r="XY38" s="176"/>
      <c r="XZ38" s="176"/>
      <c r="YA38" s="176"/>
      <c r="YB38" s="176"/>
      <c r="YC38" s="176"/>
      <c r="YD38" s="176"/>
      <c r="YE38" s="176"/>
      <c r="YF38" s="176"/>
      <c r="YG38" s="176"/>
      <c r="YH38" s="176"/>
      <c r="YI38" s="176"/>
      <c r="YJ38" s="176"/>
      <c r="YK38" s="176"/>
      <c r="YL38" s="176"/>
      <c r="YM38" s="176"/>
      <c r="YN38" s="176"/>
      <c r="YO38" s="176"/>
      <c r="YP38" s="176"/>
      <c r="YQ38" s="176"/>
      <c r="YR38" s="176"/>
      <c r="YS38" s="176"/>
      <c r="YT38" s="176"/>
      <c r="YU38" s="176"/>
      <c r="YV38" s="176"/>
      <c r="YW38" s="176"/>
      <c r="YX38" s="176"/>
      <c r="YY38" s="176"/>
      <c r="YZ38" s="176"/>
      <c r="ZA38" s="176"/>
      <c r="ZB38" s="176"/>
      <c r="ZC38" s="176"/>
      <c r="ZD38" s="176"/>
      <c r="ZE38" s="176"/>
      <c r="ZF38" s="176"/>
      <c r="ZG38" s="176"/>
      <c r="ZH38" s="176"/>
      <c r="ZI38" s="176"/>
      <c r="ZJ38" s="176"/>
      <c r="ZK38" s="176"/>
      <c r="ZL38" s="176"/>
      <c r="ZM38" s="176"/>
      <c r="ZN38" s="176"/>
      <c r="ZO38" s="176"/>
      <c r="ZP38" s="176"/>
      <c r="ZQ38" s="176"/>
      <c r="ZR38" s="176"/>
      <c r="ZS38" s="176"/>
      <c r="ZT38" s="176"/>
      <c r="ZU38" s="176"/>
      <c r="ZV38" s="176"/>
      <c r="ZW38" s="176"/>
      <c r="ZX38" s="176"/>
      <c r="ZY38" s="176"/>
      <c r="ZZ38" s="176"/>
      <c r="AAA38" s="176"/>
      <c r="AAB38" s="176"/>
      <c r="AAC38" s="176"/>
      <c r="AAD38" s="176"/>
      <c r="AAE38" s="176"/>
      <c r="AAF38" s="176"/>
      <c r="AAG38" s="176"/>
      <c r="AAH38" s="176"/>
      <c r="AAI38" s="176"/>
      <c r="AAJ38" s="176"/>
      <c r="AAK38" s="176"/>
      <c r="AAL38" s="176"/>
      <c r="AAM38" s="176"/>
      <c r="AAN38" s="176"/>
      <c r="AAO38" s="176"/>
      <c r="AAP38" s="176"/>
      <c r="AAQ38" s="176"/>
      <c r="AAR38" s="176"/>
      <c r="AAS38" s="176"/>
      <c r="AAT38" s="176"/>
      <c r="AAU38" s="176"/>
      <c r="AAV38" s="176"/>
      <c r="AAW38" s="176"/>
      <c r="AAX38" s="176"/>
      <c r="AAY38" s="176"/>
      <c r="AAZ38" s="176"/>
      <c r="ABA38" s="176"/>
      <c r="ABB38" s="176"/>
      <c r="ABC38" s="176"/>
      <c r="ABD38" s="176"/>
      <c r="ABE38" s="176"/>
      <c r="ABF38" s="176"/>
      <c r="ABG38" s="176"/>
      <c r="ABH38" s="176"/>
      <c r="ABI38" s="176"/>
      <c r="ABJ38" s="176"/>
      <c r="ABK38" s="176"/>
      <c r="ABL38" s="176"/>
      <c r="ABM38" s="176"/>
      <c r="ABN38" s="176"/>
      <c r="ABO38" s="176"/>
      <c r="ABP38" s="176"/>
      <c r="ABQ38" s="176"/>
      <c r="ABR38" s="176"/>
      <c r="ABS38" s="176"/>
      <c r="ABT38" s="176"/>
      <c r="ABU38" s="176"/>
      <c r="ABV38" s="176"/>
      <c r="ABW38" s="176"/>
      <c r="ABX38" s="176"/>
      <c r="ABY38" s="176"/>
      <c r="ABZ38" s="176"/>
      <c r="ACA38" s="176"/>
      <c r="ACB38" s="176"/>
      <c r="ACC38" s="176"/>
      <c r="ACD38" s="176"/>
      <c r="ACE38" s="176"/>
      <c r="ACF38" s="176"/>
      <c r="ACG38" s="176"/>
      <c r="ACH38" s="176"/>
      <c r="ACI38" s="176"/>
      <c r="ACJ38" s="176"/>
      <c r="ACK38" s="176"/>
      <c r="ACL38" s="176"/>
      <c r="ACM38" s="176"/>
      <c r="ACN38" s="176"/>
      <c r="ACO38" s="176"/>
      <c r="ACP38" s="176"/>
      <c r="ACQ38" s="176"/>
      <c r="ACR38" s="176"/>
      <c r="ACS38" s="176"/>
      <c r="ACT38" s="176"/>
      <c r="ACU38" s="176"/>
      <c r="ACV38" s="176"/>
      <c r="ACW38" s="176"/>
      <c r="ACX38" s="176"/>
      <c r="ACY38" s="176"/>
      <c r="ACZ38" s="176"/>
      <c r="ADA38" s="176"/>
      <c r="ADB38" s="176"/>
      <c r="ADC38" s="176"/>
      <c r="ADD38" s="176"/>
      <c r="ADE38" s="176"/>
      <c r="ADF38" s="176"/>
      <c r="ADG38" s="176"/>
      <c r="ADH38" s="176"/>
      <c r="ADI38" s="176"/>
      <c r="ADJ38" s="176"/>
      <c r="ADK38" s="176"/>
      <c r="ADL38" s="176"/>
      <c r="ADM38" s="176"/>
      <c r="ADN38" s="176"/>
      <c r="ADO38" s="176"/>
      <c r="ADP38" s="176"/>
      <c r="ADQ38" s="176"/>
      <c r="ADR38" s="176"/>
      <c r="ADS38" s="176"/>
      <c r="ADT38" s="176"/>
      <c r="ADU38" s="176"/>
      <c r="ADV38" s="176"/>
      <c r="ADW38" s="176"/>
      <c r="ADX38" s="176"/>
      <c r="ADY38" s="176"/>
      <c r="ADZ38" s="176"/>
      <c r="AEA38" s="176"/>
      <c r="AEB38" s="176"/>
      <c r="AEC38" s="176"/>
      <c r="AED38" s="176"/>
      <c r="AEE38" s="176"/>
      <c r="AEF38" s="176"/>
      <c r="AEG38" s="176"/>
      <c r="AEH38" s="176"/>
      <c r="AEI38" s="176"/>
      <c r="AEJ38" s="176"/>
      <c r="AEK38" s="176"/>
      <c r="AEL38" s="176"/>
      <c r="AEM38" s="176"/>
      <c r="AEN38" s="176"/>
      <c r="AEO38" s="176"/>
      <c r="AEP38" s="176"/>
      <c r="AEQ38" s="176"/>
      <c r="AER38" s="176"/>
      <c r="AES38" s="176"/>
      <c r="AET38" s="176"/>
      <c r="AEU38" s="176"/>
      <c r="AEV38" s="176"/>
      <c r="AEW38" s="176"/>
      <c r="AEX38" s="176"/>
      <c r="AEY38" s="176"/>
      <c r="AEZ38" s="176"/>
      <c r="AFA38" s="176"/>
      <c r="AFB38" s="176"/>
      <c r="AFC38" s="176"/>
      <c r="AFD38" s="176"/>
      <c r="AFE38" s="176"/>
      <c r="AFF38" s="176"/>
      <c r="AFG38" s="176"/>
      <c r="AFH38" s="176"/>
      <c r="AFI38" s="176"/>
      <c r="AFJ38" s="176"/>
      <c r="AFK38" s="176"/>
      <c r="AFL38" s="176"/>
      <c r="AFM38" s="176"/>
      <c r="AFN38" s="176"/>
      <c r="AFO38" s="176"/>
      <c r="AFP38" s="176"/>
      <c r="AFQ38" s="176"/>
      <c r="AFR38" s="176"/>
      <c r="AFS38" s="176"/>
      <c r="AFT38" s="176"/>
      <c r="AFU38" s="176"/>
      <c r="AFV38" s="176"/>
      <c r="AFW38" s="176"/>
      <c r="AFX38" s="176"/>
      <c r="AFY38" s="176"/>
      <c r="AFZ38" s="176"/>
      <c r="AGA38" s="176"/>
      <c r="AGB38" s="176"/>
      <c r="AGC38" s="176"/>
      <c r="AGD38" s="176"/>
      <c r="AGE38" s="176"/>
      <c r="AGF38" s="176"/>
      <c r="AGG38" s="176"/>
      <c r="AGH38" s="176"/>
      <c r="AGI38" s="176"/>
      <c r="AGJ38" s="176"/>
      <c r="AGK38" s="176"/>
      <c r="AGL38" s="176"/>
      <c r="AGM38" s="176"/>
      <c r="AGN38" s="176"/>
      <c r="AGO38" s="176"/>
      <c r="AGP38" s="176"/>
      <c r="AGQ38" s="176"/>
      <c r="AGR38" s="176"/>
      <c r="AGS38" s="176"/>
      <c r="AGT38" s="176"/>
      <c r="AGU38" s="176"/>
      <c r="AGV38" s="176"/>
      <c r="AGW38" s="176"/>
      <c r="AGX38" s="176"/>
      <c r="AGY38" s="176"/>
      <c r="AGZ38" s="176"/>
      <c r="AHA38" s="176"/>
      <c r="AHB38" s="176"/>
      <c r="AHC38" s="176"/>
      <c r="AHD38" s="176"/>
      <c r="AHE38" s="176"/>
      <c r="AHF38" s="176"/>
      <c r="AHG38" s="176"/>
      <c r="AHH38" s="176"/>
      <c r="AHI38" s="176"/>
      <c r="AHJ38" s="176"/>
      <c r="AHK38" s="176"/>
      <c r="AHL38" s="176"/>
      <c r="AHM38" s="176"/>
      <c r="AHN38" s="176"/>
      <c r="AHO38" s="176"/>
      <c r="AHP38" s="176"/>
      <c r="AHQ38" s="176"/>
      <c r="AHR38" s="176"/>
      <c r="AHS38" s="176"/>
      <c r="AHT38" s="176"/>
      <c r="AHU38" s="176"/>
      <c r="AHV38" s="176"/>
      <c r="AHW38" s="176"/>
      <c r="AHX38" s="176"/>
      <c r="AHY38" s="176"/>
      <c r="AHZ38" s="176"/>
      <c r="AIA38" s="176"/>
      <c r="AIB38" s="176"/>
      <c r="AIC38" s="176"/>
      <c r="AID38" s="176"/>
      <c r="AIE38" s="176"/>
      <c r="AIF38" s="176"/>
      <c r="AIG38" s="176"/>
      <c r="AIH38" s="176"/>
      <c r="AII38" s="176"/>
      <c r="AIJ38" s="176"/>
      <c r="AIK38" s="176"/>
      <c r="AIL38" s="176"/>
      <c r="AIM38" s="176"/>
      <c r="AIN38" s="176"/>
      <c r="AIO38" s="176"/>
      <c r="AIP38" s="176"/>
      <c r="AIQ38" s="176"/>
      <c r="AIR38" s="176"/>
      <c r="AIS38" s="176"/>
      <c r="AIT38" s="176"/>
      <c r="AIU38" s="176"/>
      <c r="AIV38" s="176"/>
      <c r="AIW38" s="176"/>
      <c r="AIX38" s="176"/>
      <c r="AIY38" s="176"/>
      <c r="AIZ38" s="176"/>
      <c r="AJA38" s="176"/>
      <c r="AJB38" s="176"/>
      <c r="AJC38" s="176"/>
      <c r="AJD38" s="176"/>
      <c r="AJE38" s="176"/>
      <c r="AJF38" s="176"/>
      <c r="AJG38" s="176"/>
      <c r="AJH38" s="176"/>
      <c r="AJI38" s="176"/>
      <c r="AJJ38" s="176"/>
      <c r="AJK38" s="176"/>
      <c r="AJL38" s="176"/>
      <c r="AJM38" s="176"/>
      <c r="AJN38" s="176"/>
      <c r="AJO38" s="176"/>
      <c r="AJP38" s="176"/>
      <c r="AJQ38" s="176"/>
      <c r="AJR38" s="176"/>
      <c r="AJS38" s="176"/>
      <c r="AJT38" s="176"/>
      <c r="AJU38" s="176"/>
      <c r="AJV38" s="176"/>
      <c r="AJW38" s="176"/>
      <c r="AJX38" s="176"/>
      <c r="AJY38" s="176"/>
      <c r="AJZ38" s="176"/>
      <c r="AKA38" s="176"/>
      <c r="AKB38" s="176"/>
      <c r="AKC38" s="176"/>
      <c r="AKD38" s="176"/>
      <c r="AKE38" s="176"/>
      <c r="AKF38" s="176"/>
      <c r="AKG38" s="176"/>
      <c r="AKH38" s="176"/>
      <c r="AKI38" s="176"/>
      <c r="AKJ38" s="176"/>
      <c r="AKK38" s="176"/>
      <c r="AKL38" s="176"/>
      <c r="AKM38" s="176"/>
      <c r="AKN38" s="176"/>
      <c r="AKO38" s="176"/>
      <c r="AKP38" s="176"/>
      <c r="AKQ38" s="176"/>
      <c r="AKR38" s="176"/>
      <c r="AKS38" s="176"/>
      <c r="AKT38" s="176"/>
      <c r="AKU38" s="176"/>
      <c r="AKV38" s="176"/>
      <c r="AKW38" s="176"/>
      <c r="AKX38" s="176"/>
      <c r="AKY38" s="176"/>
      <c r="AKZ38" s="176"/>
      <c r="ALA38" s="176"/>
      <c r="ALB38" s="176"/>
      <c r="ALC38" s="176"/>
      <c r="ALD38" s="176"/>
      <c r="ALE38" s="176"/>
      <c r="ALF38" s="176"/>
      <c r="ALG38" s="176"/>
      <c r="ALH38" s="176"/>
      <c r="ALI38" s="176"/>
      <c r="ALJ38" s="176"/>
      <c r="ALK38" s="176"/>
      <c r="ALL38" s="176"/>
      <c r="ALM38" s="176"/>
      <c r="ALN38" s="176"/>
      <c r="ALO38" s="176"/>
      <c r="ALP38" s="176"/>
      <c r="ALQ38" s="176"/>
      <c r="ALR38" s="176"/>
      <c r="ALS38" s="176"/>
      <c r="ALT38" s="176"/>
      <c r="ALU38" s="176"/>
      <c r="ALV38" s="176"/>
      <c r="ALW38" s="176"/>
      <c r="ALX38" s="176"/>
      <c r="ALY38" s="176"/>
      <c r="ALZ38" s="176"/>
      <c r="AMA38" s="176"/>
      <c r="AMB38" s="176"/>
      <c r="AMC38" s="176"/>
      <c r="AMD38" s="176"/>
      <c r="AME38" s="158"/>
    </row>
    <row r="39" spans="1:1019" s="172" customFormat="1" ht="15" customHeight="1">
      <c r="A39" s="168">
        <f t="shared" si="0"/>
        <v>34</v>
      </c>
      <c r="B39" s="175">
        <v>1839</v>
      </c>
      <c r="C39" s="168" t="s">
        <v>252</v>
      </c>
      <c r="D39" s="169">
        <f>'הנדסה '!D75</f>
        <v>150000</v>
      </c>
      <c r="E39" s="169">
        <f>'הנדסה '!E75</f>
        <v>150000</v>
      </c>
      <c r="F39" s="169">
        <f>'הנדסה '!F75</f>
        <v>0</v>
      </c>
      <c r="G39" s="169">
        <f>'הנדסה '!G75</f>
        <v>150000</v>
      </c>
      <c r="H39" s="169">
        <f>'הנדסה '!H75</f>
        <v>0</v>
      </c>
      <c r="I39" s="169">
        <f>'הנדסה '!I75</f>
        <v>0</v>
      </c>
      <c r="J39" s="169">
        <f>'הנדסה '!J75</f>
        <v>0</v>
      </c>
      <c r="K39" s="169">
        <f>'הנדסה '!K75</f>
        <v>0</v>
      </c>
      <c r="L39" s="169">
        <f>'הנדסה '!L75</f>
        <v>0</v>
      </c>
      <c r="M39" s="169">
        <f>'הנדסה '!M75</f>
        <v>0</v>
      </c>
      <c r="N39" s="169">
        <f>'הנדסה '!N75</f>
        <v>150000</v>
      </c>
      <c r="O39" s="169">
        <f>'הנדסה '!O75</f>
        <v>0</v>
      </c>
      <c r="P39" s="169">
        <f>'הנדסה '!P75</f>
        <v>150000</v>
      </c>
      <c r="Q39" s="169">
        <f>'הנדסה '!Q75</f>
        <v>0</v>
      </c>
      <c r="R39" s="169">
        <f>'הנדסה '!R75</f>
        <v>0</v>
      </c>
      <c r="S39" s="169">
        <f>'הנדסה '!S75</f>
        <v>0</v>
      </c>
      <c r="T39" s="169">
        <f>'הנדסה '!T75</f>
        <v>150000</v>
      </c>
      <c r="U39" s="169">
        <f>'הנדסה '!U75</f>
        <v>0</v>
      </c>
      <c r="V39" s="169">
        <f>'הנדסה '!V75</f>
        <v>0</v>
      </c>
      <c r="W39" s="169">
        <f>'הנדסה '!W75</f>
        <v>0</v>
      </c>
      <c r="X39" s="169">
        <f>'הנדסה '!X75</f>
        <v>0</v>
      </c>
      <c r="Y39" s="169">
        <f>'הנדסה '!Y75</f>
        <v>0</v>
      </c>
      <c r="Z39" s="169">
        <f>'הנדסה '!Z75</f>
        <v>0</v>
      </c>
      <c r="AA39" s="659">
        <f>'הנדסה '!AA75</f>
        <v>732000</v>
      </c>
      <c r="AB39" s="157"/>
      <c r="AC39" s="157"/>
      <c r="AD39" s="157"/>
      <c r="AE39" s="157"/>
      <c r="AF39" s="176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0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0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0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0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0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0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0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0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0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0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0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0"/>
      <c r="ADP39" s="160"/>
      <c r="ADQ39" s="160"/>
      <c r="ADR39" s="160"/>
      <c r="ADS39" s="160"/>
      <c r="ADT39" s="160"/>
      <c r="ADU39" s="160"/>
      <c r="ADV39" s="160"/>
      <c r="ADW39" s="160"/>
      <c r="ADX39" s="160"/>
      <c r="ADY39" s="160"/>
      <c r="ADZ39" s="160"/>
      <c r="AEA39" s="160"/>
      <c r="AEB39" s="160"/>
      <c r="AEC39" s="160"/>
      <c r="AED39" s="160"/>
      <c r="AEE39" s="160"/>
      <c r="AEF39" s="160"/>
      <c r="AEG39" s="160"/>
      <c r="AEH39" s="160"/>
      <c r="AEI39" s="160"/>
      <c r="AEJ39" s="160"/>
      <c r="AEK39" s="160"/>
      <c r="AEL39" s="160"/>
      <c r="AEM39" s="160"/>
      <c r="AEN39" s="160"/>
      <c r="AEO39" s="160"/>
      <c r="AEP39" s="160"/>
      <c r="AEQ39" s="160"/>
      <c r="AER39" s="160"/>
      <c r="AES39" s="160"/>
      <c r="AET39" s="160"/>
      <c r="AEU39" s="160"/>
      <c r="AEV39" s="160"/>
      <c r="AEW39" s="160"/>
      <c r="AEX39" s="160"/>
      <c r="AEY39" s="160"/>
      <c r="AEZ39" s="160"/>
      <c r="AFA39" s="160"/>
      <c r="AFB39" s="160"/>
      <c r="AFC39" s="160"/>
      <c r="AFD39" s="160"/>
      <c r="AFE39" s="160"/>
      <c r="AFF39" s="160"/>
      <c r="AFG39" s="160"/>
      <c r="AFH39" s="160"/>
      <c r="AFI39" s="160"/>
      <c r="AFJ39" s="160"/>
      <c r="AFK39" s="160"/>
      <c r="AFL39" s="160"/>
      <c r="AFM39" s="160"/>
      <c r="AFN39" s="160"/>
      <c r="AFO39" s="160"/>
      <c r="AFP39" s="160"/>
      <c r="AFQ39" s="160"/>
      <c r="AFR39" s="160"/>
      <c r="AFS39" s="160"/>
      <c r="AFT39" s="160"/>
      <c r="AFU39" s="160"/>
      <c r="AFV39" s="160"/>
      <c r="AFW39" s="160"/>
      <c r="AFX39" s="160"/>
      <c r="AFY39" s="160"/>
      <c r="AFZ39" s="160"/>
      <c r="AGA39" s="160"/>
      <c r="AGB39" s="160"/>
      <c r="AGC39" s="160"/>
      <c r="AGD39" s="160"/>
      <c r="AGE39" s="160"/>
      <c r="AGF39" s="160"/>
      <c r="AGG39" s="160"/>
      <c r="AGH39" s="160"/>
      <c r="AGI39" s="160"/>
      <c r="AGJ39" s="160"/>
      <c r="AGK39" s="160"/>
      <c r="AGL39" s="160"/>
      <c r="AGM39" s="160"/>
      <c r="AGN39" s="160"/>
      <c r="AGO39" s="160"/>
      <c r="AGP39" s="160"/>
      <c r="AGQ39" s="160"/>
      <c r="AGR39" s="160"/>
      <c r="AGS39" s="160"/>
      <c r="AGT39" s="160"/>
      <c r="AGU39" s="160"/>
      <c r="AGV39" s="160"/>
      <c r="AGW39" s="160"/>
      <c r="AGX39" s="160"/>
      <c r="AGY39" s="160"/>
      <c r="AGZ39" s="160"/>
      <c r="AHA39" s="160"/>
      <c r="AHB39" s="160"/>
      <c r="AHC39" s="160"/>
      <c r="AHD39" s="160"/>
      <c r="AHE39" s="160"/>
      <c r="AHF39" s="160"/>
      <c r="AHG39" s="160"/>
      <c r="AHH39" s="160"/>
      <c r="AHI39" s="160"/>
      <c r="AHJ39" s="160"/>
      <c r="AHK39" s="160"/>
      <c r="AHL39" s="160"/>
      <c r="AHM39" s="160"/>
      <c r="AHN39" s="160"/>
      <c r="AHO39" s="160"/>
      <c r="AHP39" s="160"/>
      <c r="AHQ39" s="160"/>
      <c r="AHR39" s="160"/>
      <c r="AHS39" s="160"/>
      <c r="AHT39" s="160"/>
      <c r="AHU39" s="160"/>
      <c r="AHV39" s="160"/>
      <c r="AHW39" s="160"/>
      <c r="AHX39" s="160"/>
      <c r="AHY39" s="160"/>
      <c r="AHZ39" s="160"/>
      <c r="AIA39" s="160"/>
      <c r="AIB39" s="160"/>
      <c r="AIC39" s="160"/>
      <c r="AID39" s="160"/>
      <c r="AIE39" s="160"/>
      <c r="AIF39" s="160"/>
      <c r="AIG39" s="160"/>
      <c r="AIH39" s="160"/>
      <c r="AII39" s="160"/>
      <c r="AIJ39" s="160"/>
      <c r="AIK39" s="160"/>
      <c r="AIL39" s="160"/>
      <c r="AIM39" s="160"/>
      <c r="AIN39" s="160"/>
      <c r="AIO39" s="160"/>
      <c r="AIP39" s="160"/>
      <c r="AIQ39" s="160"/>
      <c r="AIR39" s="160"/>
      <c r="AIS39" s="160"/>
      <c r="AIT39" s="160"/>
      <c r="AIU39" s="160"/>
      <c r="AIV39" s="160"/>
      <c r="AIW39" s="160"/>
      <c r="AIX39" s="160"/>
      <c r="AIY39" s="160"/>
      <c r="AIZ39" s="160"/>
      <c r="AJA39" s="160"/>
      <c r="AJB39" s="160"/>
      <c r="AJC39" s="160"/>
      <c r="AJD39" s="160"/>
      <c r="AJE39" s="160"/>
      <c r="AJF39" s="160"/>
      <c r="AJG39" s="160"/>
      <c r="AJH39" s="160"/>
      <c r="AJI39" s="160"/>
      <c r="AJJ39" s="160"/>
      <c r="AJK39" s="160"/>
      <c r="AJL39" s="160"/>
      <c r="AJM39" s="160"/>
      <c r="AJN39" s="160"/>
      <c r="AJO39" s="160"/>
      <c r="AJP39" s="160"/>
      <c r="AJQ39" s="160"/>
      <c r="AJR39" s="160"/>
      <c r="AJS39" s="160"/>
      <c r="AJT39" s="160"/>
      <c r="AJU39" s="160"/>
      <c r="AJV39" s="160"/>
      <c r="AJW39" s="160"/>
      <c r="AJX39" s="160"/>
      <c r="AJY39" s="160"/>
      <c r="AJZ39" s="160"/>
      <c r="AKA39" s="160"/>
      <c r="AKB39" s="160"/>
      <c r="AKC39" s="160"/>
      <c r="AKD39" s="160"/>
      <c r="AKE39" s="160"/>
      <c r="AKF39" s="160"/>
      <c r="AKG39" s="160"/>
      <c r="AKH39" s="160"/>
      <c r="AKI39" s="160"/>
      <c r="AKJ39" s="160"/>
      <c r="AKK39" s="160"/>
      <c r="AKL39" s="160"/>
      <c r="AKM39" s="160"/>
      <c r="AKN39" s="160"/>
      <c r="AKO39" s="160"/>
      <c r="AKP39" s="160"/>
      <c r="AKQ39" s="160"/>
      <c r="AKR39" s="160"/>
      <c r="AKS39" s="160"/>
      <c r="AKT39" s="160"/>
      <c r="AKU39" s="160"/>
      <c r="AKV39" s="160"/>
      <c r="AKW39" s="160"/>
      <c r="AKX39" s="160"/>
      <c r="AKY39" s="160"/>
      <c r="AKZ39" s="160"/>
      <c r="ALA39" s="160"/>
      <c r="ALB39" s="160"/>
      <c r="ALC39" s="160"/>
      <c r="ALD39" s="160"/>
      <c r="ALE39" s="160"/>
      <c r="ALF39" s="160"/>
      <c r="ALG39" s="160"/>
      <c r="ALH39" s="160"/>
      <c r="ALI39" s="160"/>
      <c r="ALJ39" s="160"/>
      <c r="ALK39" s="160"/>
      <c r="ALL39" s="160"/>
      <c r="ALM39" s="160"/>
      <c r="ALN39" s="160"/>
      <c r="ALO39" s="160"/>
      <c r="ALP39" s="160"/>
      <c r="ALQ39" s="160"/>
      <c r="ALR39" s="160"/>
      <c r="ALS39" s="160"/>
      <c r="ALT39" s="160"/>
      <c r="ALU39" s="160"/>
      <c r="ALV39" s="160"/>
      <c r="ALW39" s="160"/>
      <c r="ALX39" s="160"/>
      <c r="ALY39" s="160"/>
      <c r="ALZ39" s="160"/>
      <c r="AMA39" s="160"/>
      <c r="AMB39" s="160"/>
      <c r="AMC39" s="160"/>
      <c r="AMD39" s="160"/>
      <c r="AME39" s="158"/>
    </row>
    <row r="40" spans="1:1019" ht="15" customHeight="1">
      <c r="A40" s="168">
        <f t="shared" si="0"/>
        <v>35</v>
      </c>
      <c r="B40" s="175">
        <v>1842</v>
      </c>
      <c r="C40" s="168" t="s">
        <v>466</v>
      </c>
      <c r="D40" s="169">
        <f>'הנדסה '!D76</f>
        <v>800000</v>
      </c>
      <c r="E40" s="169">
        <f>'הנדסה '!E76</f>
        <v>800000</v>
      </c>
      <c r="F40" s="169">
        <f>'הנדסה '!F76</f>
        <v>0</v>
      </c>
      <c r="G40" s="169">
        <f>'הנדסה '!G76</f>
        <v>300000</v>
      </c>
      <c r="H40" s="169">
        <f>'הנדסה '!H76</f>
        <v>0</v>
      </c>
      <c r="I40" s="169">
        <f>'הנדסה '!I76</f>
        <v>0</v>
      </c>
      <c r="J40" s="169">
        <f>'הנדסה '!J76</f>
        <v>0</v>
      </c>
      <c r="K40" s="169">
        <f>'הנדסה '!K76</f>
        <v>0</v>
      </c>
      <c r="L40" s="169">
        <f>'הנדסה '!L76</f>
        <v>0</v>
      </c>
      <c r="M40" s="169">
        <f>'הנדסה '!M76</f>
        <v>100000</v>
      </c>
      <c r="N40" s="169">
        <f>'הנדסה '!N76</f>
        <v>100000</v>
      </c>
      <c r="O40" s="169">
        <f>'הנדסה '!O76</f>
        <v>600000</v>
      </c>
      <c r="P40" s="169">
        <f>'הנדסה '!P76</f>
        <v>300000</v>
      </c>
      <c r="Q40" s="169">
        <f>'הנדסה '!Q76</f>
        <v>0</v>
      </c>
      <c r="R40" s="169">
        <f>'הנדסה '!R76</f>
        <v>0</v>
      </c>
      <c r="S40" s="169">
        <f>'הנדסה '!S76</f>
        <v>0</v>
      </c>
      <c r="T40" s="169">
        <f>'הנדסה '!T76</f>
        <v>200000</v>
      </c>
      <c r="U40" s="169">
        <f>'הנדסה '!U76</f>
        <v>-100000</v>
      </c>
      <c r="V40" s="169">
        <f>'הנדסה '!V76</f>
        <v>-100000</v>
      </c>
      <c r="W40" s="169">
        <f>'הנדסה '!W76</f>
        <v>0</v>
      </c>
      <c r="X40" s="169">
        <f>'הנדסה '!X76</f>
        <v>0</v>
      </c>
      <c r="Y40" s="169">
        <f>'הנדסה '!Y76</f>
        <v>0</v>
      </c>
      <c r="Z40" s="169">
        <f>'הנדסה '!Z76</f>
        <v>0</v>
      </c>
      <c r="AA40" s="659">
        <f>'הנדסה '!AA76</f>
        <v>732000</v>
      </c>
      <c r="AB40" s="157"/>
      <c r="AF40" s="176"/>
      <c r="AG40" s="176"/>
      <c r="AH40" s="176"/>
      <c r="AI40" s="176"/>
      <c r="AJ40" s="176"/>
      <c r="AK40" s="176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7"/>
      <c r="DO40" s="177"/>
      <c r="DP40" s="177"/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  <c r="EP40" s="177"/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7"/>
      <c r="FB40" s="177"/>
      <c r="FC40" s="177"/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7"/>
      <c r="FO40" s="177"/>
      <c r="FP40" s="177"/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7"/>
      <c r="GB40" s="177"/>
      <c r="GC40" s="177"/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7"/>
      <c r="GO40" s="177"/>
      <c r="GP40" s="177"/>
      <c r="GQ40" s="177"/>
      <c r="GR40" s="177"/>
      <c r="GS40" s="177"/>
      <c r="GT40" s="177"/>
      <c r="GU40" s="177"/>
      <c r="GV40" s="177"/>
      <c r="GW40" s="177"/>
      <c r="GX40" s="177"/>
      <c r="GY40" s="177"/>
      <c r="GZ40" s="177"/>
      <c r="HA40" s="177"/>
      <c r="HB40" s="177"/>
      <c r="HC40" s="177"/>
      <c r="HD40" s="177"/>
      <c r="HE40" s="177"/>
      <c r="HF40" s="177"/>
      <c r="HG40" s="177"/>
      <c r="HH40" s="177"/>
      <c r="HI40" s="177"/>
      <c r="HJ40" s="177"/>
      <c r="HK40" s="177"/>
      <c r="HL40" s="177"/>
      <c r="HM40" s="177"/>
      <c r="HN40" s="177"/>
      <c r="HO40" s="177"/>
      <c r="HP40" s="177"/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7"/>
      <c r="IB40" s="177"/>
      <c r="IC40" s="177"/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7"/>
      <c r="IO40" s="177"/>
      <c r="IP40" s="177"/>
      <c r="IQ40" s="177"/>
      <c r="IR40" s="177"/>
      <c r="IS40" s="177"/>
      <c r="IT40" s="177"/>
      <c r="IU40" s="177"/>
      <c r="IV40" s="177"/>
      <c r="IW40" s="177"/>
      <c r="IX40" s="177"/>
      <c r="IY40" s="177"/>
      <c r="IZ40" s="177"/>
      <c r="JA40" s="177"/>
      <c r="JB40" s="177"/>
      <c r="JC40" s="177"/>
      <c r="JD40" s="177"/>
      <c r="JE40" s="177"/>
      <c r="JF40" s="177"/>
      <c r="JG40" s="177"/>
      <c r="JH40" s="177"/>
      <c r="JI40" s="177"/>
      <c r="JJ40" s="177"/>
      <c r="JK40" s="177"/>
      <c r="JL40" s="177"/>
      <c r="JM40" s="177"/>
      <c r="JN40" s="177"/>
      <c r="JO40" s="177"/>
      <c r="JP40" s="177"/>
      <c r="JQ40" s="177"/>
      <c r="JR40" s="177"/>
      <c r="JS40" s="177"/>
      <c r="JT40" s="177"/>
      <c r="JU40" s="177"/>
      <c r="JV40" s="177"/>
      <c r="JW40" s="177"/>
      <c r="JX40" s="177"/>
      <c r="JY40" s="177"/>
      <c r="JZ40" s="177"/>
      <c r="KA40" s="177"/>
      <c r="KB40" s="177"/>
      <c r="KC40" s="177"/>
      <c r="KD40" s="177"/>
      <c r="KE40" s="177"/>
      <c r="KF40" s="177"/>
      <c r="KG40" s="177"/>
      <c r="KH40" s="177"/>
      <c r="KI40" s="177"/>
      <c r="KJ40" s="177"/>
      <c r="KK40" s="177"/>
      <c r="KL40" s="177"/>
      <c r="KM40" s="177"/>
      <c r="KN40" s="177"/>
      <c r="KO40" s="177"/>
      <c r="KP40" s="177"/>
      <c r="KQ40" s="177"/>
      <c r="KR40" s="177"/>
      <c r="KS40" s="177"/>
      <c r="KT40" s="177"/>
      <c r="KU40" s="177"/>
      <c r="KV40" s="177"/>
      <c r="KW40" s="177"/>
      <c r="KX40" s="177"/>
      <c r="KY40" s="177"/>
      <c r="KZ40" s="177"/>
      <c r="LA40" s="177"/>
      <c r="LB40" s="177"/>
      <c r="LC40" s="177"/>
      <c r="LD40" s="177"/>
      <c r="LE40" s="177"/>
      <c r="LF40" s="177"/>
      <c r="LG40" s="177"/>
      <c r="LH40" s="177"/>
      <c r="LI40" s="177"/>
      <c r="LJ40" s="177"/>
      <c r="LK40" s="177"/>
      <c r="LL40" s="177"/>
      <c r="LM40" s="177"/>
      <c r="LN40" s="177"/>
      <c r="LO40" s="177"/>
      <c r="LP40" s="177"/>
      <c r="LQ40" s="177"/>
      <c r="LR40" s="177"/>
      <c r="LS40" s="177"/>
      <c r="LT40" s="177"/>
      <c r="LU40" s="177"/>
      <c r="LV40" s="177"/>
      <c r="LW40" s="177"/>
      <c r="LX40" s="177"/>
      <c r="LY40" s="177"/>
      <c r="LZ40" s="177"/>
      <c r="MA40" s="177"/>
      <c r="MB40" s="177"/>
      <c r="MC40" s="177"/>
      <c r="MD40" s="177"/>
      <c r="ME40" s="177"/>
      <c r="MF40" s="177"/>
      <c r="MG40" s="177"/>
      <c r="MH40" s="177"/>
      <c r="MI40" s="177"/>
      <c r="MJ40" s="177"/>
      <c r="MK40" s="177"/>
      <c r="ML40" s="177"/>
      <c r="MM40" s="177"/>
      <c r="MN40" s="177"/>
      <c r="MO40" s="177"/>
      <c r="MP40" s="177"/>
      <c r="MQ40" s="177"/>
      <c r="MR40" s="177"/>
      <c r="MS40" s="177"/>
      <c r="MT40" s="177"/>
      <c r="MU40" s="177"/>
      <c r="MV40" s="177"/>
      <c r="MW40" s="177"/>
      <c r="MX40" s="177"/>
      <c r="MY40" s="177"/>
      <c r="MZ40" s="177"/>
      <c r="NA40" s="177"/>
      <c r="NB40" s="177"/>
      <c r="NC40" s="177"/>
      <c r="ND40" s="177"/>
      <c r="NE40" s="177"/>
      <c r="NF40" s="177"/>
      <c r="NG40" s="177"/>
      <c r="NH40" s="177"/>
      <c r="NI40" s="177"/>
      <c r="NJ40" s="177"/>
      <c r="NK40" s="177"/>
      <c r="NL40" s="177"/>
      <c r="NM40" s="177"/>
      <c r="NN40" s="177"/>
      <c r="NO40" s="177"/>
      <c r="NP40" s="177"/>
      <c r="NQ40" s="177"/>
      <c r="NR40" s="177"/>
      <c r="NS40" s="177"/>
      <c r="NT40" s="177"/>
      <c r="NU40" s="177"/>
      <c r="NV40" s="177"/>
      <c r="NW40" s="177"/>
      <c r="NX40" s="177"/>
      <c r="NY40" s="177"/>
      <c r="NZ40" s="177"/>
      <c r="OA40" s="177"/>
      <c r="OB40" s="177"/>
      <c r="OC40" s="177"/>
      <c r="OD40" s="177"/>
      <c r="OE40" s="177"/>
      <c r="OF40" s="177"/>
      <c r="OG40" s="177"/>
      <c r="OH40" s="177"/>
      <c r="OI40" s="177"/>
      <c r="OJ40" s="177"/>
      <c r="OK40" s="177"/>
      <c r="OL40" s="177"/>
      <c r="OM40" s="177"/>
      <c r="ON40" s="177"/>
      <c r="OO40" s="177"/>
      <c r="OP40" s="177"/>
      <c r="OQ40" s="177"/>
      <c r="OR40" s="177"/>
      <c r="OS40" s="177"/>
      <c r="OT40" s="177"/>
      <c r="OU40" s="177"/>
      <c r="OV40" s="177"/>
      <c r="OW40" s="177"/>
      <c r="OX40" s="177"/>
      <c r="OY40" s="177"/>
      <c r="OZ40" s="177"/>
      <c r="PA40" s="177"/>
      <c r="PB40" s="177"/>
      <c r="PC40" s="177"/>
      <c r="PD40" s="177"/>
      <c r="PE40" s="177"/>
      <c r="PF40" s="177"/>
      <c r="PG40" s="177"/>
      <c r="PH40" s="177"/>
      <c r="PI40" s="177"/>
      <c r="PJ40" s="177"/>
      <c r="PK40" s="177"/>
      <c r="PL40" s="177"/>
      <c r="PM40" s="177"/>
      <c r="PN40" s="177"/>
      <c r="PO40" s="177"/>
      <c r="PP40" s="177"/>
      <c r="PQ40" s="177"/>
      <c r="PR40" s="177"/>
      <c r="PS40" s="177"/>
      <c r="PT40" s="177"/>
      <c r="PU40" s="177"/>
      <c r="PV40" s="177"/>
      <c r="PW40" s="177"/>
      <c r="PX40" s="177"/>
      <c r="PY40" s="177"/>
      <c r="PZ40" s="177"/>
      <c r="QA40" s="177"/>
      <c r="QB40" s="177"/>
      <c r="QC40" s="177"/>
      <c r="QD40" s="177"/>
      <c r="QE40" s="177"/>
      <c r="QF40" s="177"/>
      <c r="QG40" s="177"/>
      <c r="QH40" s="177"/>
      <c r="QI40" s="177"/>
      <c r="QJ40" s="177"/>
      <c r="QK40" s="177"/>
      <c r="QL40" s="177"/>
      <c r="QM40" s="177"/>
      <c r="QN40" s="177"/>
      <c r="QO40" s="177"/>
      <c r="QP40" s="177"/>
      <c r="QQ40" s="177"/>
      <c r="QR40" s="177"/>
      <c r="QS40" s="177"/>
      <c r="QT40" s="177"/>
      <c r="QU40" s="177"/>
      <c r="QV40" s="177"/>
      <c r="QW40" s="177"/>
      <c r="QX40" s="177"/>
      <c r="QY40" s="177"/>
      <c r="QZ40" s="177"/>
      <c r="RA40" s="177"/>
      <c r="RB40" s="177"/>
      <c r="RC40" s="177"/>
      <c r="RD40" s="177"/>
      <c r="RE40" s="177"/>
      <c r="RF40" s="177"/>
      <c r="RG40" s="177"/>
      <c r="RH40" s="177"/>
      <c r="RI40" s="177"/>
      <c r="RJ40" s="177"/>
      <c r="RK40" s="177"/>
      <c r="RL40" s="177"/>
      <c r="RM40" s="177"/>
      <c r="RN40" s="177"/>
      <c r="RO40" s="177"/>
      <c r="RP40" s="177"/>
      <c r="RQ40" s="177"/>
      <c r="RR40" s="177"/>
      <c r="RS40" s="177"/>
      <c r="RT40" s="177"/>
      <c r="RU40" s="177"/>
      <c r="RV40" s="177"/>
      <c r="RW40" s="177"/>
      <c r="RX40" s="177"/>
      <c r="RY40" s="177"/>
      <c r="RZ40" s="177"/>
      <c r="SA40" s="177"/>
      <c r="SB40" s="177"/>
      <c r="SC40" s="177"/>
      <c r="SD40" s="177"/>
      <c r="SE40" s="177"/>
      <c r="SF40" s="177"/>
      <c r="SG40" s="177"/>
      <c r="SH40" s="177"/>
      <c r="SI40" s="177"/>
      <c r="SJ40" s="177"/>
      <c r="SK40" s="177"/>
      <c r="SL40" s="177"/>
      <c r="SM40" s="177"/>
      <c r="SN40" s="177"/>
      <c r="SO40" s="177"/>
      <c r="SP40" s="177"/>
      <c r="SQ40" s="177"/>
      <c r="SR40" s="177"/>
      <c r="SS40" s="177"/>
      <c r="ST40" s="177"/>
      <c r="SU40" s="177"/>
      <c r="SV40" s="177"/>
      <c r="SW40" s="177"/>
      <c r="SX40" s="177"/>
      <c r="SY40" s="177"/>
      <c r="SZ40" s="177"/>
      <c r="TA40" s="177"/>
      <c r="TB40" s="177"/>
      <c r="TC40" s="177"/>
      <c r="TD40" s="177"/>
      <c r="TE40" s="177"/>
      <c r="TF40" s="177"/>
      <c r="TG40" s="177"/>
      <c r="TH40" s="177"/>
      <c r="TI40" s="177"/>
      <c r="TJ40" s="177"/>
      <c r="TK40" s="177"/>
      <c r="TL40" s="177"/>
      <c r="TM40" s="177"/>
      <c r="TN40" s="177"/>
      <c r="TO40" s="177"/>
      <c r="TP40" s="177"/>
      <c r="TQ40" s="177"/>
      <c r="TR40" s="177"/>
      <c r="TS40" s="177"/>
      <c r="TT40" s="177"/>
      <c r="TU40" s="177"/>
      <c r="TV40" s="177"/>
      <c r="TW40" s="177"/>
      <c r="TX40" s="177"/>
      <c r="TY40" s="177"/>
      <c r="TZ40" s="177"/>
      <c r="UA40" s="177"/>
      <c r="UB40" s="177"/>
      <c r="UC40" s="177"/>
      <c r="UD40" s="177"/>
      <c r="UE40" s="177"/>
      <c r="UF40" s="177"/>
      <c r="UG40" s="177"/>
      <c r="UH40" s="177"/>
      <c r="UI40" s="177"/>
      <c r="UJ40" s="177"/>
      <c r="UK40" s="177"/>
      <c r="UL40" s="177"/>
      <c r="UM40" s="177"/>
      <c r="UN40" s="177"/>
      <c r="UO40" s="177"/>
      <c r="UP40" s="177"/>
      <c r="UQ40" s="177"/>
      <c r="UR40" s="177"/>
      <c r="US40" s="177"/>
      <c r="UT40" s="177"/>
      <c r="UU40" s="177"/>
      <c r="UV40" s="177"/>
      <c r="UW40" s="177"/>
      <c r="UX40" s="177"/>
      <c r="UY40" s="177"/>
      <c r="UZ40" s="177"/>
      <c r="VA40" s="177"/>
      <c r="VB40" s="177"/>
      <c r="VC40" s="177"/>
      <c r="VD40" s="177"/>
      <c r="VE40" s="177"/>
      <c r="VF40" s="177"/>
      <c r="VG40" s="177"/>
      <c r="VH40" s="177"/>
      <c r="VI40" s="177"/>
      <c r="VJ40" s="177"/>
      <c r="VK40" s="177"/>
      <c r="VL40" s="177"/>
      <c r="VM40" s="177"/>
      <c r="VN40" s="177"/>
      <c r="VO40" s="177"/>
      <c r="VP40" s="177"/>
      <c r="VQ40" s="177"/>
      <c r="VR40" s="177"/>
      <c r="VS40" s="177"/>
      <c r="VT40" s="177"/>
      <c r="VU40" s="177"/>
      <c r="VV40" s="177"/>
      <c r="VW40" s="177"/>
      <c r="VX40" s="177"/>
      <c r="VY40" s="177"/>
      <c r="VZ40" s="177"/>
      <c r="WA40" s="177"/>
      <c r="WB40" s="177"/>
      <c r="WC40" s="177"/>
      <c r="WD40" s="177"/>
      <c r="WE40" s="177"/>
      <c r="WF40" s="177"/>
      <c r="WG40" s="177"/>
      <c r="WH40" s="177"/>
      <c r="WI40" s="177"/>
      <c r="WJ40" s="177"/>
      <c r="WK40" s="177"/>
      <c r="WL40" s="177"/>
      <c r="WM40" s="177"/>
      <c r="WN40" s="177"/>
      <c r="WO40" s="177"/>
      <c r="WP40" s="177"/>
      <c r="WQ40" s="177"/>
      <c r="WR40" s="177"/>
      <c r="WS40" s="177"/>
      <c r="WT40" s="177"/>
      <c r="WU40" s="177"/>
      <c r="WV40" s="177"/>
      <c r="WW40" s="177"/>
      <c r="WX40" s="177"/>
      <c r="WY40" s="177"/>
      <c r="WZ40" s="177"/>
      <c r="XA40" s="177"/>
      <c r="XB40" s="177"/>
      <c r="XC40" s="177"/>
      <c r="XD40" s="177"/>
      <c r="XE40" s="177"/>
      <c r="XF40" s="177"/>
      <c r="XG40" s="177"/>
      <c r="XH40" s="177"/>
      <c r="XI40" s="177"/>
      <c r="XJ40" s="177"/>
      <c r="XK40" s="177"/>
      <c r="XL40" s="177"/>
      <c r="XM40" s="177"/>
      <c r="XN40" s="177"/>
      <c r="XO40" s="177"/>
      <c r="XP40" s="177"/>
      <c r="XQ40" s="177"/>
      <c r="XR40" s="177"/>
      <c r="XS40" s="177"/>
      <c r="XT40" s="177"/>
      <c r="XU40" s="177"/>
      <c r="XV40" s="177"/>
      <c r="XW40" s="177"/>
      <c r="XX40" s="177"/>
      <c r="XY40" s="177"/>
      <c r="XZ40" s="177"/>
      <c r="YA40" s="177"/>
      <c r="YB40" s="177"/>
      <c r="YC40" s="177"/>
      <c r="YD40" s="177"/>
      <c r="YE40" s="177"/>
      <c r="YF40" s="177"/>
      <c r="YG40" s="177"/>
      <c r="YH40" s="177"/>
      <c r="YI40" s="177"/>
      <c r="YJ40" s="177"/>
      <c r="YK40" s="177"/>
      <c r="YL40" s="177"/>
      <c r="YM40" s="177"/>
      <c r="YN40" s="177"/>
      <c r="YO40" s="177"/>
      <c r="YP40" s="177"/>
      <c r="YQ40" s="177"/>
      <c r="YR40" s="177"/>
      <c r="YS40" s="177"/>
      <c r="YT40" s="177"/>
      <c r="YU40" s="177"/>
      <c r="YV40" s="177"/>
      <c r="YW40" s="177"/>
      <c r="YX40" s="177"/>
      <c r="YY40" s="177"/>
      <c r="YZ40" s="177"/>
      <c r="ZA40" s="177"/>
      <c r="ZB40" s="177"/>
      <c r="ZC40" s="177"/>
      <c r="ZD40" s="177"/>
      <c r="ZE40" s="177"/>
      <c r="ZF40" s="177"/>
      <c r="ZG40" s="177"/>
      <c r="ZH40" s="177"/>
      <c r="ZI40" s="177"/>
      <c r="ZJ40" s="177"/>
      <c r="ZK40" s="177"/>
      <c r="ZL40" s="177"/>
      <c r="ZM40" s="177"/>
      <c r="ZN40" s="177"/>
      <c r="ZO40" s="177"/>
      <c r="ZP40" s="177"/>
      <c r="ZQ40" s="177"/>
      <c r="ZR40" s="177"/>
      <c r="ZS40" s="177"/>
      <c r="ZT40" s="177"/>
      <c r="ZU40" s="177"/>
      <c r="ZV40" s="177"/>
      <c r="ZW40" s="177"/>
      <c r="ZX40" s="177"/>
      <c r="ZY40" s="177"/>
      <c r="ZZ40" s="177"/>
      <c r="AAA40" s="177"/>
      <c r="AAB40" s="177"/>
      <c r="AAC40" s="177"/>
      <c r="AAD40" s="177"/>
      <c r="AAE40" s="177"/>
      <c r="AAF40" s="177"/>
      <c r="AAG40" s="177"/>
      <c r="AAH40" s="177"/>
      <c r="AAI40" s="177"/>
      <c r="AAJ40" s="177"/>
      <c r="AAK40" s="177"/>
      <c r="AAL40" s="177"/>
      <c r="AAM40" s="177"/>
      <c r="AAN40" s="177"/>
      <c r="AAO40" s="177"/>
      <c r="AAP40" s="177"/>
      <c r="AAQ40" s="177"/>
      <c r="AAR40" s="177"/>
      <c r="AAS40" s="177"/>
      <c r="AAT40" s="177"/>
      <c r="AAU40" s="177"/>
      <c r="AAV40" s="177"/>
      <c r="AAW40" s="177"/>
      <c r="AAX40" s="177"/>
      <c r="AAY40" s="177"/>
      <c r="AAZ40" s="177"/>
      <c r="ABA40" s="177"/>
      <c r="ABB40" s="177"/>
      <c r="ABC40" s="177"/>
      <c r="ABD40" s="177"/>
      <c r="ABE40" s="177"/>
      <c r="ABF40" s="177"/>
      <c r="ABG40" s="177"/>
      <c r="ABH40" s="177"/>
      <c r="ABI40" s="177"/>
      <c r="ABJ40" s="177"/>
      <c r="ABK40" s="177"/>
      <c r="ABL40" s="177"/>
      <c r="ABM40" s="177"/>
      <c r="ABN40" s="177"/>
      <c r="ABO40" s="177"/>
      <c r="ABP40" s="177"/>
      <c r="ABQ40" s="177"/>
      <c r="ABR40" s="177"/>
      <c r="ABS40" s="177"/>
      <c r="ABT40" s="177"/>
      <c r="ABU40" s="177"/>
      <c r="ABV40" s="177"/>
      <c r="ABW40" s="177"/>
      <c r="ABX40" s="177"/>
      <c r="ABY40" s="177"/>
      <c r="ABZ40" s="177"/>
      <c r="ACA40" s="177"/>
      <c r="ACB40" s="177"/>
      <c r="ACC40" s="177"/>
      <c r="ACD40" s="177"/>
      <c r="ACE40" s="177"/>
      <c r="ACF40" s="177"/>
      <c r="ACG40" s="177"/>
      <c r="ACH40" s="177"/>
      <c r="ACI40" s="177"/>
      <c r="ACJ40" s="177"/>
      <c r="ACK40" s="177"/>
      <c r="ACL40" s="177"/>
      <c r="ACM40" s="177"/>
      <c r="ACN40" s="177"/>
      <c r="ACO40" s="177"/>
      <c r="ACP40" s="177"/>
      <c r="ACQ40" s="177"/>
      <c r="ACR40" s="177"/>
      <c r="ACS40" s="177"/>
      <c r="ACT40" s="177"/>
      <c r="ACU40" s="177"/>
      <c r="ACV40" s="177"/>
      <c r="ACW40" s="177"/>
      <c r="ACX40" s="177"/>
      <c r="ACY40" s="177"/>
      <c r="ACZ40" s="177"/>
      <c r="ADA40" s="177"/>
      <c r="ADB40" s="177"/>
      <c r="ADC40" s="177"/>
      <c r="ADD40" s="177"/>
      <c r="ADE40" s="177"/>
      <c r="ADF40" s="177"/>
      <c r="ADG40" s="177"/>
      <c r="ADH40" s="177"/>
      <c r="ADI40" s="177"/>
      <c r="ADJ40" s="177"/>
      <c r="ADK40" s="177"/>
      <c r="ADL40" s="177"/>
      <c r="ADM40" s="177"/>
      <c r="ADN40" s="177"/>
      <c r="ADO40" s="177"/>
      <c r="ADP40" s="177"/>
      <c r="ADQ40" s="177"/>
      <c r="ADR40" s="177"/>
      <c r="ADS40" s="177"/>
      <c r="ADT40" s="177"/>
      <c r="ADU40" s="177"/>
      <c r="ADV40" s="177"/>
      <c r="ADW40" s="177"/>
      <c r="ADX40" s="177"/>
      <c r="ADY40" s="177"/>
      <c r="ADZ40" s="177"/>
      <c r="AEA40" s="177"/>
      <c r="AEB40" s="177"/>
      <c r="AEC40" s="177"/>
      <c r="AED40" s="177"/>
      <c r="AEE40" s="177"/>
      <c r="AEF40" s="177"/>
      <c r="AEG40" s="177"/>
      <c r="AEH40" s="177"/>
      <c r="AEI40" s="177"/>
      <c r="AEJ40" s="177"/>
      <c r="AEK40" s="177"/>
      <c r="AEL40" s="177"/>
      <c r="AEM40" s="177"/>
      <c r="AEN40" s="177"/>
      <c r="AEO40" s="177"/>
      <c r="AEP40" s="177"/>
      <c r="AEQ40" s="177"/>
      <c r="AER40" s="177"/>
      <c r="AES40" s="177"/>
      <c r="AET40" s="177"/>
      <c r="AEU40" s="177"/>
      <c r="AEV40" s="177"/>
      <c r="AEW40" s="177"/>
      <c r="AEX40" s="177"/>
      <c r="AEY40" s="177"/>
      <c r="AEZ40" s="177"/>
      <c r="AFA40" s="177"/>
      <c r="AFB40" s="177"/>
      <c r="AFC40" s="177"/>
      <c r="AFD40" s="177"/>
      <c r="AFE40" s="177"/>
      <c r="AFF40" s="177"/>
      <c r="AFG40" s="177"/>
      <c r="AFH40" s="177"/>
      <c r="AFI40" s="177"/>
      <c r="AFJ40" s="177"/>
      <c r="AFK40" s="177"/>
      <c r="AFL40" s="177"/>
      <c r="AFM40" s="177"/>
      <c r="AFN40" s="177"/>
      <c r="AFO40" s="177"/>
      <c r="AFP40" s="177"/>
      <c r="AFQ40" s="177"/>
      <c r="AFR40" s="177"/>
      <c r="AFS40" s="177"/>
      <c r="AFT40" s="177"/>
      <c r="AFU40" s="177"/>
      <c r="AFV40" s="177"/>
      <c r="AFW40" s="177"/>
      <c r="AFX40" s="177"/>
      <c r="AFY40" s="177"/>
      <c r="AFZ40" s="177"/>
      <c r="AGA40" s="177"/>
      <c r="AGB40" s="177"/>
      <c r="AGC40" s="177"/>
      <c r="AGD40" s="177"/>
      <c r="AGE40" s="177"/>
      <c r="AGF40" s="177"/>
      <c r="AGG40" s="177"/>
      <c r="AGH40" s="177"/>
      <c r="AGI40" s="177"/>
      <c r="AGJ40" s="177"/>
      <c r="AGK40" s="177"/>
      <c r="AGL40" s="177"/>
      <c r="AGM40" s="177"/>
      <c r="AGN40" s="177"/>
      <c r="AGO40" s="177"/>
      <c r="AGP40" s="177"/>
      <c r="AGQ40" s="177"/>
      <c r="AGR40" s="177"/>
      <c r="AGS40" s="177"/>
      <c r="AGT40" s="177"/>
      <c r="AGU40" s="177"/>
      <c r="AGV40" s="177"/>
      <c r="AGW40" s="177"/>
      <c r="AGX40" s="177"/>
      <c r="AGY40" s="177"/>
      <c r="AGZ40" s="177"/>
      <c r="AHA40" s="177"/>
      <c r="AHB40" s="177"/>
      <c r="AHC40" s="177"/>
      <c r="AHD40" s="177"/>
      <c r="AHE40" s="177"/>
      <c r="AHF40" s="177"/>
      <c r="AHG40" s="177"/>
      <c r="AHH40" s="177"/>
      <c r="AHI40" s="177"/>
      <c r="AHJ40" s="177"/>
      <c r="AHK40" s="177"/>
      <c r="AHL40" s="177"/>
      <c r="AHM40" s="177"/>
      <c r="AHN40" s="177"/>
      <c r="AHO40" s="177"/>
      <c r="AHP40" s="177"/>
      <c r="AHQ40" s="177"/>
      <c r="AHR40" s="177"/>
      <c r="AHS40" s="177"/>
      <c r="AHT40" s="177"/>
      <c r="AHU40" s="177"/>
      <c r="AHV40" s="177"/>
      <c r="AHW40" s="177"/>
      <c r="AHX40" s="177"/>
      <c r="AHY40" s="177"/>
      <c r="AHZ40" s="177"/>
      <c r="AIA40" s="177"/>
      <c r="AIB40" s="177"/>
      <c r="AIC40" s="177"/>
      <c r="AID40" s="177"/>
      <c r="AIE40" s="177"/>
      <c r="AIF40" s="177"/>
      <c r="AIG40" s="177"/>
      <c r="AIH40" s="177"/>
      <c r="AII40" s="177"/>
      <c r="AIJ40" s="177"/>
      <c r="AIK40" s="177"/>
      <c r="AIL40" s="177"/>
      <c r="AIM40" s="177"/>
      <c r="AIN40" s="177"/>
      <c r="AIO40" s="177"/>
      <c r="AIP40" s="177"/>
      <c r="AIQ40" s="177"/>
      <c r="AIR40" s="177"/>
      <c r="AIS40" s="177"/>
      <c r="AIT40" s="177"/>
      <c r="AIU40" s="177"/>
      <c r="AIV40" s="177"/>
      <c r="AIW40" s="177"/>
      <c r="AIX40" s="177"/>
      <c r="AIY40" s="177"/>
      <c r="AIZ40" s="177"/>
      <c r="AJA40" s="177"/>
      <c r="AJB40" s="177"/>
      <c r="AJC40" s="177"/>
      <c r="AJD40" s="177"/>
      <c r="AJE40" s="177"/>
      <c r="AJF40" s="177"/>
      <c r="AJG40" s="177"/>
      <c r="AJH40" s="177"/>
      <c r="AJI40" s="177"/>
      <c r="AJJ40" s="177"/>
      <c r="AJK40" s="177"/>
      <c r="AJL40" s="177"/>
      <c r="AJM40" s="177"/>
      <c r="AJN40" s="177"/>
      <c r="AJO40" s="177"/>
      <c r="AJP40" s="177"/>
      <c r="AJQ40" s="177"/>
      <c r="AJR40" s="177"/>
      <c r="AJS40" s="177"/>
      <c r="AJT40" s="177"/>
      <c r="AJU40" s="177"/>
      <c r="AJV40" s="177"/>
      <c r="AJW40" s="177"/>
      <c r="AJX40" s="177"/>
      <c r="AJY40" s="177"/>
      <c r="AJZ40" s="177"/>
      <c r="AKA40" s="177"/>
      <c r="AKB40" s="177"/>
      <c r="AKC40" s="177"/>
      <c r="AKD40" s="177"/>
      <c r="AKE40" s="177"/>
      <c r="AKF40" s="177"/>
      <c r="AKG40" s="177"/>
      <c r="AKH40" s="177"/>
      <c r="AKI40" s="177"/>
      <c r="AKJ40" s="177"/>
      <c r="AKK40" s="177"/>
      <c r="AKL40" s="177"/>
      <c r="AKM40" s="177"/>
      <c r="AKN40" s="177"/>
      <c r="AKO40" s="177"/>
      <c r="AKP40" s="177"/>
      <c r="AKQ40" s="177"/>
      <c r="AKR40" s="177"/>
      <c r="AKS40" s="177"/>
      <c r="AKT40" s="177"/>
      <c r="AKU40" s="177"/>
      <c r="AKV40" s="177"/>
      <c r="AKW40" s="177"/>
      <c r="AKX40" s="177"/>
      <c r="AKY40" s="177"/>
      <c r="AKZ40" s="177"/>
      <c r="ALA40" s="177"/>
      <c r="ALB40" s="177"/>
      <c r="ALC40" s="177"/>
      <c r="ALD40" s="177"/>
      <c r="ALE40" s="177"/>
      <c r="ALF40" s="177"/>
      <c r="ALG40" s="177"/>
      <c r="ALH40" s="177"/>
      <c r="ALI40" s="177"/>
      <c r="ALJ40" s="177"/>
      <c r="ALK40" s="177"/>
      <c r="ALL40" s="177"/>
      <c r="ALM40" s="177"/>
      <c r="ALN40" s="177"/>
      <c r="ALO40" s="177"/>
      <c r="ALP40" s="177"/>
      <c r="ALQ40" s="177"/>
      <c r="ALR40" s="177"/>
      <c r="ALS40" s="177"/>
      <c r="ALT40" s="177"/>
      <c r="ALU40" s="177"/>
      <c r="ALV40" s="177"/>
      <c r="ALW40" s="177"/>
      <c r="ALX40" s="177"/>
      <c r="ALY40" s="177"/>
      <c r="ALZ40" s="177"/>
      <c r="AMA40" s="177"/>
      <c r="AMB40" s="177"/>
      <c r="AMC40" s="177"/>
      <c r="AMD40" s="177"/>
    </row>
    <row r="41" spans="1:1019">
      <c r="A41" s="168">
        <f t="shared" si="0"/>
        <v>36</v>
      </c>
      <c r="B41" s="175">
        <v>1843</v>
      </c>
      <c r="C41" s="175" t="s">
        <v>254</v>
      </c>
      <c r="D41" s="169">
        <f>'הנדסה '!D99</f>
        <v>380000</v>
      </c>
      <c r="E41" s="169">
        <f>'הנדסה '!E99</f>
        <v>70000</v>
      </c>
      <c r="F41" s="169">
        <f>'הנדסה '!F99</f>
        <v>310000</v>
      </c>
      <c r="G41" s="169">
        <f>'הנדסה '!G99</f>
        <v>70000</v>
      </c>
      <c r="H41" s="169">
        <f>'הנדסה '!H99</f>
        <v>0</v>
      </c>
      <c r="I41" s="169">
        <f>'הנדסה '!I99</f>
        <v>1.17</v>
      </c>
      <c r="J41" s="169">
        <f>'הנדסה '!J99</f>
        <v>0</v>
      </c>
      <c r="K41" s="169">
        <f>'הנדסה '!K99</f>
        <v>1.17</v>
      </c>
      <c r="L41" s="169">
        <f>'הנדסה '!L99</f>
        <v>1.17</v>
      </c>
      <c r="M41" s="169">
        <f>'הנדסה '!M99</f>
        <v>69998.83</v>
      </c>
      <c r="N41" s="169">
        <f>'הנדסה '!N99</f>
        <v>100000</v>
      </c>
      <c r="O41" s="169">
        <f>'הנדסה '!O99</f>
        <v>210000</v>
      </c>
      <c r="P41" s="169">
        <f>'הנדסה '!P99</f>
        <v>69998.83</v>
      </c>
      <c r="Q41" s="169">
        <f>'הנדסה '!Q99</f>
        <v>0</v>
      </c>
      <c r="R41" s="169">
        <f>'הנדסה '!R99</f>
        <v>0</v>
      </c>
      <c r="S41" s="169">
        <f>'הנדסה '!S99</f>
        <v>0</v>
      </c>
      <c r="T41" s="169">
        <f>'הנדסה '!T99</f>
        <v>0</v>
      </c>
      <c r="U41" s="169">
        <f>'הנדסה '!U99</f>
        <v>100000</v>
      </c>
      <c r="V41" s="169">
        <f>'הנדסה '!V99</f>
        <v>100000</v>
      </c>
      <c r="W41" s="169">
        <f>'הנדסה '!W99</f>
        <v>0</v>
      </c>
      <c r="X41" s="169">
        <f>'הנדסה '!X99</f>
        <v>0</v>
      </c>
      <c r="Y41" s="169">
        <f>'הנדסה '!Y99</f>
        <v>0</v>
      </c>
      <c r="Z41" s="169">
        <f>'הנדסה '!Z99</f>
        <v>0</v>
      </c>
      <c r="AA41" s="659">
        <f>'הנדסה '!AA99</f>
        <v>732000</v>
      </c>
      <c r="AB41" s="157"/>
    </row>
    <row r="42" spans="1:1019">
      <c r="A42" s="168">
        <f t="shared" si="0"/>
        <v>37</v>
      </c>
      <c r="B42" s="175">
        <v>1844</v>
      </c>
      <c r="C42" s="175" t="s">
        <v>255</v>
      </c>
      <c r="D42" s="169">
        <f>'הנדסה '!D100</f>
        <v>732000</v>
      </c>
      <c r="E42" s="169">
        <f>'הנדסה '!E100</f>
        <v>732000</v>
      </c>
      <c r="F42" s="169">
        <f>'הנדסה '!F100</f>
        <v>0</v>
      </c>
      <c r="G42" s="169">
        <f>'הנדסה '!G100</f>
        <v>70000</v>
      </c>
      <c r="H42" s="169">
        <f>'הנדסה '!H100</f>
        <v>0</v>
      </c>
      <c r="I42" s="169">
        <f>'הנדסה '!I100</f>
        <v>0</v>
      </c>
      <c r="J42" s="169">
        <f>'הנדסה '!J100</f>
        <v>19171.62</v>
      </c>
      <c r="K42" s="169">
        <f>'הנדסה '!K100</f>
        <v>19171.62</v>
      </c>
      <c r="L42" s="169">
        <f>'הנדסה '!L100</f>
        <v>19171.62</v>
      </c>
      <c r="M42" s="169">
        <f>'הנדסה '!M100</f>
        <v>50828.380000000005</v>
      </c>
      <c r="N42" s="169">
        <f>'הנדסה '!N100</f>
        <v>100000</v>
      </c>
      <c r="O42" s="169">
        <f>'הנדסה '!O100</f>
        <v>562000</v>
      </c>
      <c r="P42" s="169">
        <f>'הנדסה '!P100</f>
        <v>50828.380000000005</v>
      </c>
      <c r="Q42" s="169">
        <f>'הנדסה '!Q100</f>
        <v>0</v>
      </c>
      <c r="R42" s="169">
        <f>'הנדסה '!R100</f>
        <v>0</v>
      </c>
      <c r="S42" s="169">
        <f>'הנדסה '!S100</f>
        <v>0</v>
      </c>
      <c r="T42" s="169">
        <f>'הנדסה '!T100</f>
        <v>0</v>
      </c>
      <c r="U42" s="169">
        <f>'הנדסה '!U100</f>
        <v>100000</v>
      </c>
      <c r="V42" s="169">
        <f>'הנדסה '!V100</f>
        <v>100000</v>
      </c>
      <c r="W42" s="169">
        <f>'הנדסה '!W100</f>
        <v>0</v>
      </c>
      <c r="X42" s="169">
        <f>'הנדסה '!X100</f>
        <v>0</v>
      </c>
      <c r="Y42" s="169">
        <f>'הנדסה '!Y100</f>
        <v>0</v>
      </c>
      <c r="Z42" s="169">
        <f>'הנדסה '!Z100</f>
        <v>0</v>
      </c>
      <c r="AA42" s="659">
        <f>'הנדסה '!AA100</f>
        <v>732000</v>
      </c>
      <c r="AB42" s="157"/>
    </row>
    <row r="43" spans="1:1019" ht="15" customHeight="1">
      <c r="A43" s="168">
        <f t="shared" si="0"/>
        <v>38</v>
      </c>
      <c r="B43" s="175">
        <v>1937</v>
      </c>
      <c r="C43" s="168" t="s">
        <v>342</v>
      </c>
      <c r="D43" s="169">
        <f>'הנדסה '!D77</f>
        <v>700000</v>
      </c>
      <c r="E43" s="169">
        <f>'הנדסה '!E77</f>
        <v>450000</v>
      </c>
      <c r="F43" s="169">
        <f>'הנדסה '!F77</f>
        <v>250000</v>
      </c>
      <c r="G43" s="169">
        <f>'הנדסה '!G77</f>
        <v>450000</v>
      </c>
      <c r="H43" s="169">
        <f>'הנדסה '!H77</f>
        <v>0</v>
      </c>
      <c r="I43" s="169">
        <f>'הנדסה '!I77</f>
        <v>0</v>
      </c>
      <c r="J43" s="169">
        <f>'הנדסה '!J77</f>
        <v>87002.37</v>
      </c>
      <c r="K43" s="169">
        <f>'הנדסה '!K77</f>
        <v>87002.37</v>
      </c>
      <c r="L43" s="169">
        <f>'הנדסה '!L77</f>
        <v>87002.37</v>
      </c>
      <c r="M43" s="169">
        <f>'הנדסה '!M77</f>
        <v>112997.63</v>
      </c>
      <c r="N43" s="169">
        <f>'הנדסה '!N77</f>
        <v>250000</v>
      </c>
      <c r="O43" s="169">
        <f>'הנדסה '!O77</f>
        <v>250000</v>
      </c>
      <c r="P43" s="169">
        <f>'הנדסה '!P77</f>
        <v>362997.63</v>
      </c>
      <c r="Q43" s="169">
        <f>'הנדסה '!Q77</f>
        <v>0</v>
      </c>
      <c r="R43" s="169">
        <f>'הנדסה '!R77</f>
        <v>0</v>
      </c>
      <c r="S43" s="169">
        <f>'הנדסה '!S77</f>
        <v>0</v>
      </c>
      <c r="T43" s="169">
        <f>'הנדסה '!T77</f>
        <v>250000</v>
      </c>
      <c r="U43" s="169">
        <f>'הנדסה '!U77</f>
        <v>0</v>
      </c>
      <c r="V43" s="169">
        <f>'הנדסה '!V77</f>
        <v>0</v>
      </c>
      <c r="W43" s="169">
        <f>'הנדסה '!W77</f>
        <v>0</v>
      </c>
      <c r="X43" s="169">
        <f>'הנדסה '!X77</f>
        <v>0</v>
      </c>
      <c r="Y43" s="169">
        <f>'הנדסה '!Y77</f>
        <v>0</v>
      </c>
      <c r="Z43" s="169">
        <f>'הנדסה '!Z77</f>
        <v>0</v>
      </c>
      <c r="AA43" s="659">
        <f>'הנדסה '!AA77</f>
        <v>732000</v>
      </c>
      <c r="AB43" s="157"/>
      <c r="AF43" s="172"/>
      <c r="AG43" s="172"/>
      <c r="AH43" s="172"/>
      <c r="AI43" s="157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  <c r="DZ43" s="172"/>
      <c r="EA43" s="172"/>
      <c r="EB43" s="172"/>
      <c r="EC43" s="172"/>
      <c r="ED43" s="172"/>
      <c r="EE43" s="172"/>
      <c r="EF43" s="172"/>
      <c r="EG43" s="172"/>
      <c r="EH43" s="172"/>
      <c r="EI43" s="172"/>
      <c r="EJ43" s="172"/>
      <c r="EK43" s="172"/>
      <c r="EL43" s="172"/>
      <c r="EM43" s="172"/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  <c r="HG43" s="172"/>
      <c r="HH43" s="172"/>
      <c r="HI43" s="172"/>
      <c r="HJ43" s="172"/>
      <c r="HK43" s="172"/>
      <c r="HL43" s="172"/>
      <c r="HM43" s="172"/>
      <c r="HN43" s="172"/>
      <c r="HO43" s="172"/>
      <c r="HP43" s="172"/>
      <c r="HQ43" s="172"/>
      <c r="HR43" s="172"/>
      <c r="HS43" s="172"/>
      <c r="HT43" s="172"/>
      <c r="HU43" s="172"/>
      <c r="HV43" s="172"/>
      <c r="HW43" s="172"/>
      <c r="HX43" s="172"/>
      <c r="HY43" s="172"/>
      <c r="HZ43" s="172"/>
      <c r="IA43" s="172"/>
      <c r="IB43" s="172"/>
      <c r="IC43" s="172"/>
      <c r="ID43" s="172"/>
      <c r="IE43" s="172"/>
      <c r="IF43" s="172"/>
      <c r="IG43" s="172"/>
      <c r="IH43" s="172"/>
      <c r="II43" s="172"/>
      <c r="IJ43" s="172"/>
      <c r="IK43" s="172"/>
      <c r="IL43" s="172"/>
      <c r="IM43" s="172"/>
      <c r="IN43" s="172"/>
      <c r="IO43" s="172"/>
      <c r="IP43" s="172"/>
      <c r="IQ43" s="172"/>
      <c r="IR43" s="172"/>
      <c r="IS43" s="172"/>
      <c r="IT43" s="172"/>
      <c r="IU43" s="172"/>
      <c r="IV43" s="172"/>
      <c r="IW43" s="172"/>
      <c r="IX43" s="172"/>
      <c r="IY43" s="172"/>
      <c r="IZ43" s="172"/>
      <c r="JA43" s="172"/>
      <c r="JB43" s="172"/>
      <c r="JC43" s="172"/>
      <c r="JD43" s="172"/>
      <c r="JE43" s="172"/>
      <c r="JF43" s="172"/>
      <c r="JG43" s="172"/>
      <c r="JH43" s="172"/>
      <c r="JI43" s="172"/>
      <c r="JJ43" s="172"/>
      <c r="JK43" s="172"/>
      <c r="JL43" s="172"/>
      <c r="JM43" s="172"/>
      <c r="JN43" s="172"/>
      <c r="JO43" s="172"/>
      <c r="JP43" s="172"/>
      <c r="JQ43" s="172"/>
      <c r="JR43" s="172"/>
      <c r="JS43" s="172"/>
      <c r="JT43" s="172"/>
      <c r="JU43" s="172"/>
      <c r="JV43" s="172"/>
      <c r="JW43" s="172"/>
      <c r="JX43" s="172"/>
      <c r="JY43" s="172"/>
      <c r="JZ43" s="172"/>
      <c r="KA43" s="172"/>
      <c r="KB43" s="172"/>
      <c r="KC43" s="172"/>
      <c r="KD43" s="172"/>
      <c r="KE43" s="172"/>
      <c r="KF43" s="172"/>
      <c r="KG43" s="172"/>
      <c r="KH43" s="172"/>
      <c r="KI43" s="172"/>
      <c r="KJ43" s="172"/>
      <c r="KK43" s="172"/>
      <c r="KL43" s="172"/>
      <c r="KM43" s="172"/>
      <c r="KN43" s="172"/>
      <c r="KO43" s="172"/>
      <c r="KP43" s="172"/>
      <c r="KQ43" s="172"/>
      <c r="KR43" s="172"/>
      <c r="KS43" s="172"/>
      <c r="KT43" s="172"/>
      <c r="KU43" s="172"/>
      <c r="KV43" s="172"/>
      <c r="KW43" s="172"/>
      <c r="KX43" s="172"/>
      <c r="KY43" s="172"/>
      <c r="KZ43" s="172"/>
      <c r="LA43" s="172"/>
      <c r="LB43" s="172"/>
      <c r="LC43" s="172"/>
      <c r="LD43" s="172"/>
      <c r="LE43" s="172"/>
      <c r="LF43" s="172"/>
      <c r="LG43" s="172"/>
      <c r="LH43" s="172"/>
      <c r="LI43" s="172"/>
      <c r="LJ43" s="172"/>
      <c r="LK43" s="172"/>
      <c r="LL43" s="172"/>
      <c r="LM43" s="172"/>
      <c r="LN43" s="172"/>
      <c r="LO43" s="172"/>
      <c r="LP43" s="172"/>
      <c r="LQ43" s="172"/>
      <c r="LR43" s="172"/>
      <c r="LS43" s="172"/>
      <c r="LT43" s="172"/>
      <c r="LU43" s="172"/>
      <c r="LV43" s="172"/>
      <c r="LW43" s="172"/>
      <c r="LX43" s="172"/>
      <c r="LY43" s="172"/>
      <c r="LZ43" s="172"/>
      <c r="MA43" s="172"/>
      <c r="MB43" s="172"/>
      <c r="MC43" s="172"/>
      <c r="MD43" s="172"/>
      <c r="ME43" s="172"/>
      <c r="MF43" s="172"/>
      <c r="MG43" s="172"/>
      <c r="MH43" s="172"/>
      <c r="MI43" s="172"/>
      <c r="MJ43" s="172"/>
      <c r="MK43" s="172"/>
      <c r="ML43" s="172"/>
      <c r="MM43" s="172"/>
      <c r="MN43" s="172"/>
      <c r="MO43" s="172"/>
      <c r="MP43" s="172"/>
      <c r="MQ43" s="172"/>
      <c r="MR43" s="172"/>
      <c r="MS43" s="172"/>
      <c r="MT43" s="172"/>
      <c r="MU43" s="172"/>
      <c r="MV43" s="172"/>
      <c r="MW43" s="172"/>
      <c r="MX43" s="172"/>
      <c r="MY43" s="172"/>
      <c r="MZ43" s="172"/>
      <c r="NA43" s="172"/>
      <c r="NB43" s="172"/>
      <c r="NC43" s="172"/>
      <c r="ND43" s="172"/>
      <c r="NE43" s="172"/>
      <c r="NF43" s="172"/>
      <c r="NG43" s="172"/>
      <c r="NH43" s="172"/>
      <c r="NI43" s="172"/>
      <c r="NJ43" s="172"/>
      <c r="NK43" s="172"/>
      <c r="NL43" s="172"/>
      <c r="NM43" s="172"/>
      <c r="NN43" s="172"/>
      <c r="NO43" s="172"/>
      <c r="NP43" s="172"/>
      <c r="NQ43" s="172"/>
      <c r="NR43" s="172"/>
      <c r="NS43" s="172"/>
      <c r="NT43" s="172"/>
      <c r="NU43" s="172"/>
      <c r="NV43" s="172"/>
      <c r="NW43" s="172"/>
      <c r="NX43" s="172"/>
      <c r="NY43" s="172"/>
      <c r="NZ43" s="172"/>
      <c r="OA43" s="172"/>
      <c r="OB43" s="172"/>
      <c r="OC43" s="172"/>
      <c r="OD43" s="172"/>
      <c r="OE43" s="172"/>
      <c r="OF43" s="172"/>
      <c r="OG43" s="172"/>
      <c r="OH43" s="172"/>
      <c r="OI43" s="172"/>
      <c r="OJ43" s="172"/>
      <c r="OK43" s="172"/>
      <c r="OL43" s="172"/>
      <c r="OM43" s="172"/>
      <c r="ON43" s="172"/>
      <c r="OO43" s="172"/>
      <c r="OP43" s="172"/>
      <c r="OQ43" s="172"/>
      <c r="OR43" s="172"/>
      <c r="OS43" s="172"/>
      <c r="OT43" s="172"/>
      <c r="OU43" s="172"/>
      <c r="OV43" s="172"/>
      <c r="OW43" s="172"/>
      <c r="OX43" s="172"/>
      <c r="OY43" s="172"/>
      <c r="OZ43" s="172"/>
      <c r="PA43" s="172"/>
      <c r="PB43" s="172"/>
      <c r="PC43" s="172"/>
      <c r="PD43" s="172"/>
      <c r="PE43" s="172"/>
      <c r="PF43" s="172"/>
      <c r="PG43" s="172"/>
      <c r="PH43" s="172"/>
      <c r="PI43" s="172"/>
      <c r="PJ43" s="172"/>
      <c r="PK43" s="172"/>
      <c r="PL43" s="172"/>
      <c r="PM43" s="172"/>
      <c r="PN43" s="172"/>
      <c r="PO43" s="172"/>
      <c r="PP43" s="172"/>
      <c r="PQ43" s="172"/>
      <c r="PR43" s="172"/>
      <c r="PS43" s="172"/>
      <c r="PT43" s="172"/>
      <c r="PU43" s="172"/>
      <c r="PV43" s="172"/>
      <c r="PW43" s="172"/>
      <c r="PX43" s="172"/>
      <c r="PY43" s="172"/>
      <c r="PZ43" s="172"/>
      <c r="QA43" s="172"/>
      <c r="QB43" s="172"/>
      <c r="QC43" s="172"/>
      <c r="QD43" s="172"/>
      <c r="QE43" s="172"/>
      <c r="QF43" s="172"/>
      <c r="QG43" s="172"/>
      <c r="QH43" s="172"/>
      <c r="QI43" s="172"/>
      <c r="QJ43" s="172"/>
      <c r="QK43" s="172"/>
      <c r="QL43" s="172"/>
      <c r="QM43" s="172"/>
      <c r="QN43" s="172"/>
      <c r="QO43" s="172"/>
      <c r="QP43" s="172"/>
      <c r="QQ43" s="172"/>
      <c r="QR43" s="172"/>
      <c r="QS43" s="172"/>
      <c r="QT43" s="172"/>
      <c r="QU43" s="172"/>
      <c r="QV43" s="172"/>
      <c r="QW43" s="172"/>
      <c r="QX43" s="172"/>
      <c r="QY43" s="172"/>
      <c r="QZ43" s="172"/>
      <c r="RA43" s="172"/>
      <c r="RB43" s="172"/>
      <c r="RC43" s="172"/>
      <c r="RD43" s="172"/>
      <c r="RE43" s="172"/>
      <c r="RF43" s="172"/>
      <c r="RG43" s="172"/>
      <c r="RH43" s="172"/>
      <c r="RI43" s="172"/>
      <c r="RJ43" s="172"/>
      <c r="RK43" s="172"/>
      <c r="RL43" s="172"/>
      <c r="RM43" s="172"/>
      <c r="RN43" s="172"/>
      <c r="RO43" s="172"/>
      <c r="RP43" s="172"/>
      <c r="RQ43" s="172"/>
      <c r="RR43" s="172"/>
      <c r="RS43" s="172"/>
      <c r="RT43" s="172"/>
      <c r="RU43" s="172"/>
      <c r="RV43" s="172"/>
      <c r="RW43" s="172"/>
      <c r="RX43" s="172"/>
      <c r="RY43" s="172"/>
      <c r="RZ43" s="172"/>
      <c r="SA43" s="172"/>
      <c r="SB43" s="172"/>
      <c r="SC43" s="172"/>
      <c r="SD43" s="172"/>
      <c r="SE43" s="172"/>
      <c r="SF43" s="172"/>
      <c r="SG43" s="172"/>
      <c r="SH43" s="172"/>
      <c r="SI43" s="172"/>
      <c r="SJ43" s="172"/>
      <c r="SK43" s="172"/>
      <c r="SL43" s="172"/>
      <c r="SM43" s="172"/>
      <c r="SN43" s="172"/>
      <c r="SO43" s="172"/>
      <c r="SP43" s="172"/>
      <c r="SQ43" s="172"/>
      <c r="SR43" s="172"/>
      <c r="SS43" s="172"/>
      <c r="ST43" s="172"/>
      <c r="SU43" s="172"/>
      <c r="SV43" s="172"/>
      <c r="SW43" s="172"/>
      <c r="SX43" s="172"/>
      <c r="SY43" s="172"/>
      <c r="SZ43" s="172"/>
      <c r="TA43" s="172"/>
      <c r="TB43" s="172"/>
      <c r="TC43" s="172"/>
      <c r="TD43" s="172"/>
      <c r="TE43" s="172"/>
      <c r="TF43" s="172"/>
      <c r="TG43" s="172"/>
      <c r="TH43" s="172"/>
      <c r="TI43" s="172"/>
      <c r="TJ43" s="172"/>
      <c r="TK43" s="172"/>
      <c r="TL43" s="172"/>
      <c r="TM43" s="172"/>
      <c r="TN43" s="172"/>
      <c r="TO43" s="172"/>
      <c r="TP43" s="172"/>
      <c r="TQ43" s="172"/>
      <c r="TR43" s="172"/>
      <c r="TS43" s="172"/>
      <c r="TT43" s="172"/>
      <c r="TU43" s="172"/>
      <c r="TV43" s="172"/>
      <c r="TW43" s="172"/>
      <c r="TX43" s="172"/>
      <c r="TY43" s="172"/>
      <c r="TZ43" s="172"/>
      <c r="UA43" s="172"/>
      <c r="UB43" s="172"/>
      <c r="UC43" s="172"/>
      <c r="UD43" s="172"/>
      <c r="UE43" s="172"/>
      <c r="UF43" s="172"/>
      <c r="UG43" s="172"/>
      <c r="UH43" s="172"/>
      <c r="UI43" s="172"/>
      <c r="UJ43" s="172"/>
      <c r="UK43" s="172"/>
      <c r="UL43" s="172"/>
      <c r="UM43" s="172"/>
      <c r="UN43" s="172"/>
      <c r="UO43" s="172"/>
      <c r="UP43" s="172"/>
      <c r="UQ43" s="172"/>
      <c r="UR43" s="172"/>
      <c r="US43" s="172"/>
      <c r="UT43" s="172"/>
      <c r="UU43" s="172"/>
      <c r="UV43" s="172"/>
      <c r="UW43" s="172"/>
      <c r="UX43" s="172"/>
      <c r="UY43" s="172"/>
      <c r="UZ43" s="172"/>
      <c r="VA43" s="172"/>
      <c r="VB43" s="172"/>
      <c r="VC43" s="172"/>
      <c r="VD43" s="172"/>
      <c r="VE43" s="172"/>
      <c r="VF43" s="172"/>
      <c r="VG43" s="172"/>
      <c r="VH43" s="172"/>
      <c r="VI43" s="172"/>
      <c r="VJ43" s="172"/>
      <c r="VK43" s="172"/>
      <c r="VL43" s="172"/>
      <c r="VM43" s="172"/>
      <c r="VN43" s="172"/>
      <c r="VO43" s="172"/>
      <c r="VP43" s="172"/>
      <c r="VQ43" s="172"/>
      <c r="VR43" s="172"/>
      <c r="VS43" s="172"/>
      <c r="VT43" s="172"/>
      <c r="VU43" s="172"/>
      <c r="VV43" s="172"/>
      <c r="VW43" s="172"/>
      <c r="VX43" s="172"/>
      <c r="VY43" s="172"/>
      <c r="VZ43" s="172"/>
      <c r="WA43" s="172"/>
      <c r="WB43" s="172"/>
      <c r="WC43" s="172"/>
      <c r="WD43" s="172"/>
      <c r="WE43" s="172"/>
      <c r="WF43" s="172"/>
      <c r="WG43" s="172"/>
      <c r="WH43" s="172"/>
      <c r="WI43" s="172"/>
      <c r="WJ43" s="172"/>
      <c r="WK43" s="172"/>
      <c r="WL43" s="172"/>
      <c r="WM43" s="172"/>
      <c r="WN43" s="172"/>
      <c r="WO43" s="172"/>
      <c r="WP43" s="172"/>
      <c r="WQ43" s="172"/>
      <c r="WR43" s="172"/>
      <c r="WS43" s="172"/>
      <c r="WT43" s="172"/>
      <c r="WU43" s="172"/>
      <c r="WV43" s="172"/>
      <c r="WW43" s="172"/>
      <c r="WX43" s="172"/>
      <c r="WY43" s="172"/>
      <c r="WZ43" s="172"/>
      <c r="XA43" s="172"/>
      <c r="XB43" s="172"/>
      <c r="XC43" s="172"/>
      <c r="XD43" s="172"/>
      <c r="XE43" s="172"/>
      <c r="XF43" s="172"/>
      <c r="XG43" s="172"/>
      <c r="XH43" s="172"/>
      <c r="XI43" s="172"/>
      <c r="XJ43" s="172"/>
      <c r="XK43" s="172"/>
      <c r="XL43" s="172"/>
      <c r="XM43" s="172"/>
      <c r="XN43" s="172"/>
      <c r="XO43" s="172"/>
      <c r="XP43" s="172"/>
      <c r="XQ43" s="172"/>
      <c r="XR43" s="172"/>
      <c r="XS43" s="172"/>
      <c r="XT43" s="172"/>
      <c r="XU43" s="172"/>
      <c r="XV43" s="172"/>
      <c r="XW43" s="172"/>
      <c r="XX43" s="172"/>
      <c r="XY43" s="172"/>
      <c r="XZ43" s="172"/>
      <c r="YA43" s="172"/>
      <c r="YB43" s="172"/>
      <c r="YC43" s="172"/>
      <c r="YD43" s="172"/>
      <c r="YE43" s="172"/>
      <c r="YF43" s="172"/>
      <c r="YG43" s="172"/>
      <c r="YH43" s="172"/>
      <c r="YI43" s="172"/>
      <c r="YJ43" s="172"/>
      <c r="YK43" s="172"/>
      <c r="YL43" s="172"/>
      <c r="YM43" s="172"/>
      <c r="YN43" s="172"/>
      <c r="YO43" s="172"/>
      <c r="YP43" s="172"/>
      <c r="YQ43" s="172"/>
      <c r="YR43" s="172"/>
      <c r="YS43" s="172"/>
      <c r="YT43" s="172"/>
      <c r="YU43" s="172"/>
      <c r="YV43" s="172"/>
      <c r="YW43" s="172"/>
      <c r="YX43" s="172"/>
      <c r="YY43" s="172"/>
      <c r="YZ43" s="172"/>
      <c r="ZA43" s="172"/>
      <c r="ZB43" s="172"/>
      <c r="ZC43" s="172"/>
      <c r="ZD43" s="172"/>
      <c r="ZE43" s="172"/>
      <c r="ZF43" s="172"/>
      <c r="ZG43" s="172"/>
      <c r="ZH43" s="172"/>
      <c r="ZI43" s="172"/>
      <c r="ZJ43" s="172"/>
      <c r="ZK43" s="172"/>
      <c r="ZL43" s="172"/>
      <c r="ZM43" s="172"/>
      <c r="ZN43" s="172"/>
      <c r="ZO43" s="172"/>
      <c r="ZP43" s="172"/>
      <c r="ZQ43" s="172"/>
      <c r="ZR43" s="172"/>
      <c r="ZS43" s="172"/>
      <c r="ZT43" s="172"/>
      <c r="ZU43" s="172"/>
      <c r="ZV43" s="172"/>
      <c r="ZW43" s="172"/>
      <c r="ZX43" s="172"/>
      <c r="ZY43" s="172"/>
      <c r="ZZ43" s="172"/>
      <c r="AAA43" s="172"/>
      <c r="AAB43" s="172"/>
      <c r="AAC43" s="172"/>
      <c r="AAD43" s="172"/>
      <c r="AAE43" s="172"/>
      <c r="AAF43" s="172"/>
      <c r="AAG43" s="172"/>
      <c r="AAH43" s="172"/>
      <c r="AAI43" s="172"/>
      <c r="AAJ43" s="172"/>
      <c r="AAK43" s="172"/>
      <c r="AAL43" s="172"/>
      <c r="AAM43" s="172"/>
      <c r="AAN43" s="172"/>
      <c r="AAO43" s="172"/>
      <c r="AAP43" s="172"/>
      <c r="AAQ43" s="172"/>
      <c r="AAR43" s="172"/>
      <c r="AAS43" s="172"/>
      <c r="AAT43" s="172"/>
      <c r="AAU43" s="172"/>
      <c r="AAV43" s="172"/>
      <c r="AAW43" s="172"/>
      <c r="AAX43" s="172"/>
      <c r="AAY43" s="172"/>
      <c r="AAZ43" s="172"/>
      <c r="ABA43" s="172"/>
      <c r="ABB43" s="172"/>
      <c r="ABC43" s="172"/>
      <c r="ABD43" s="172"/>
      <c r="ABE43" s="172"/>
      <c r="ABF43" s="172"/>
      <c r="ABG43" s="172"/>
      <c r="ABH43" s="172"/>
      <c r="ABI43" s="172"/>
      <c r="ABJ43" s="172"/>
      <c r="ABK43" s="172"/>
      <c r="ABL43" s="172"/>
      <c r="ABM43" s="172"/>
      <c r="ABN43" s="172"/>
      <c r="ABO43" s="172"/>
      <c r="ABP43" s="172"/>
      <c r="ABQ43" s="172"/>
      <c r="ABR43" s="172"/>
      <c r="ABS43" s="172"/>
      <c r="ABT43" s="172"/>
      <c r="ABU43" s="172"/>
      <c r="ABV43" s="172"/>
      <c r="ABW43" s="172"/>
      <c r="ABX43" s="172"/>
      <c r="ABY43" s="172"/>
      <c r="ABZ43" s="172"/>
      <c r="ACA43" s="172"/>
      <c r="ACB43" s="172"/>
      <c r="ACC43" s="172"/>
      <c r="ACD43" s="172"/>
      <c r="ACE43" s="172"/>
      <c r="ACF43" s="172"/>
      <c r="ACG43" s="172"/>
      <c r="ACH43" s="172"/>
      <c r="ACI43" s="172"/>
      <c r="ACJ43" s="172"/>
      <c r="ACK43" s="172"/>
      <c r="ACL43" s="172"/>
      <c r="ACM43" s="172"/>
      <c r="ACN43" s="172"/>
      <c r="ACO43" s="172"/>
      <c r="ACP43" s="172"/>
      <c r="ACQ43" s="172"/>
      <c r="ACR43" s="172"/>
      <c r="ACS43" s="172"/>
      <c r="ACT43" s="172"/>
      <c r="ACU43" s="172"/>
      <c r="ACV43" s="172"/>
      <c r="ACW43" s="172"/>
      <c r="ACX43" s="172"/>
      <c r="ACY43" s="172"/>
      <c r="ACZ43" s="172"/>
      <c r="ADA43" s="172"/>
      <c r="ADB43" s="172"/>
      <c r="ADC43" s="172"/>
      <c r="ADD43" s="172"/>
      <c r="ADE43" s="172"/>
      <c r="ADF43" s="172"/>
      <c r="ADG43" s="172"/>
      <c r="ADH43" s="172"/>
      <c r="ADI43" s="172"/>
      <c r="ADJ43" s="172"/>
      <c r="ADK43" s="172"/>
      <c r="ADL43" s="172"/>
      <c r="ADM43" s="172"/>
      <c r="ADN43" s="172"/>
      <c r="ADO43" s="172"/>
      <c r="ADP43" s="172"/>
      <c r="ADQ43" s="172"/>
      <c r="ADR43" s="172"/>
      <c r="ADS43" s="172"/>
      <c r="ADT43" s="172"/>
      <c r="ADU43" s="172"/>
      <c r="ADV43" s="172"/>
      <c r="ADW43" s="172"/>
      <c r="ADX43" s="172"/>
      <c r="ADY43" s="172"/>
      <c r="ADZ43" s="172"/>
      <c r="AEA43" s="172"/>
      <c r="AEB43" s="172"/>
      <c r="AEC43" s="172"/>
      <c r="AED43" s="172"/>
      <c r="AEE43" s="172"/>
      <c r="AEF43" s="172"/>
      <c r="AEG43" s="172"/>
      <c r="AEH43" s="172"/>
      <c r="AEI43" s="172"/>
      <c r="AEJ43" s="172"/>
      <c r="AEK43" s="172"/>
      <c r="AEL43" s="172"/>
      <c r="AEM43" s="172"/>
      <c r="AEN43" s="172"/>
      <c r="AEO43" s="172"/>
      <c r="AEP43" s="172"/>
      <c r="AEQ43" s="172"/>
      <c r="AER43" s="172"/>
      <c r="AES43" s="172"/>
      <c r="AET43" s="172"/>
      <c r="AEU43" s="172"/>
      <c r="AEV43" s="172"/>
      <c r="AEW43" s="172"/>
      <c r="AEX43" s="172"/>
      <c r="AEY43" s="172"/>
      <c r="AEZ43" s="172"/>
      <c r="AFA43" s="172"/>
      <c r="AFB43" s="172"/>
      <c r="AFC43" s="172"/>
      <c r="AFD43" s="172"/>
      <c r="AFE43" s="172"/>
      <c r="AFF43" s="172"/>
      <c r="AFG43" s="172"/>
      <c r="AFH43" s="172"/>
      <c r="AFI43" s="172"/>
      <c r="AFJ43" s="172"/>
      <c r="AFK43" s="172"/>
      <c r="AFL43" s="172"/>
      <c r="AFM43" s="172"/>
      <c r="AFN43" s="172"/>
      <c r="AFO43" s="172"/>
      <c r="AFP43" s="172"/>
      <c r="AFQ43" s="172"/>
      <c r="AFR43" s="172"/>
      <c r="AFS43" s="172"/>
      <c r="AFT43" s="172"/>
      <c r="AFU43" s="172"/>
      <c r="AFV43" s="172"/>
      <c r="AFW43" s="172"/>
      <c r="AFX43" s="172"/>
      <c r="AFY43" s="172"/>
      <c r="AFZ43" s="172"/>
      <c r="AGA43" s="172"/>
      <c r="AGB43" s="172"/>
      <c r="AGC43" s="172"/>
      <c r="AGD43" s="172"/>
      <c r="AGE43" s="172"/>
      <c r="AGF43" s="172"/>
      <c r="AGG43" s="172"/>
      <c r="AGH43" s="172"/>
      <c r="AGI43" s="172"/>
      <c r="AGJ43" s="172"/>
      <c r="AGK43" s="172"/>
      <c r="AGL43" s="172"/>
      <c r="AGM43" s="172"/>
      <c r="AGN43" s="172"/>
      <c r="AGO43" s="172"/>
      <c r="AGP43" s="172"/>
      <c r="AGQ43" s="172"/>
      <c r="AGR43" s="172"/>
      <c r="AGS43" s="172"/>
      <c r="AGT43" s="172"/>
      <c r="AGU43" s="172"/>
      <c r="AGV43" s="172"/>
      <c r="AGW43" s="172"/>
      <c r="AGX43" s="172"/>
      <c r="AGY43" s="172"/>
      <c r="AGZ43" s="172"/>
      <c r="AHA43" s="172"/>
      <c r="AHB43" s="172"/>
      <c r="AHC43" s="172"/>
      <c r="AHD43" s="172"/>
      <c r="AHE43" s="172"/>
      <c r="AHF43" s="172"/>
      <c r="AHG43" s="172"/>
      <c r="AHH43" s="172"/>
      <c r="AHI43" s="172"/>
      <c r="AHJ43" s="172"/>
      <c r="AHK43" s="172"/>
      <c r="AHL43" s="172"/>
      <c r="AHM43" s="172"/>
      <c r="AHN43" s="172"/>
      <c r="AHO43" s="172"/>
      <c r="AHP43" s="172"/>
      <c r="AHQ43" s="172"/>
      <c r="AHR43" s="172"/>
      <c r="AHS43" s="172"/>
      <c r="AHT43" s="172"/>
      <c r="AHU43" s="172"/>
      <c r="AHV43" s="172"/>
      <c r="AHW43" s="172"/>
      <c r="AHX43" s="172"/>
      <c r="AHY43" s="172"/>
      <c r="AHZ43" s="172"/>
      <c r="AIA43" s="172"/>
      <c r="AIB43" s="172"/>
      <c r="AIC43" s="172"/>
      <c r="AID43" s="172"/>
      <c r="AIE43" s="172"/>
      <c r="AIF43" s="172"/>
      <c r="AIG43" s="172"/>
      <c r="AIH43" s="172"/>
      <c r="AII43" s="172"/>
      <c r="AIJ43" s="172"/>
      <c r="AIK43" s="172"/>
      <c r="AIL43" s="172"/>
      <c r="AIM43" s="172"/>
      <c r="AIN43" s="172"/>
      <c r="AIO43" s="172"/>
      <c r="AIP43" s="172"/>
      <c r="AIQ43" s="172"/>
      <c r="AIR43" s="172"/>
      <c r="AIS43" s="172"/>
      <c r="AIT43" s="172"/>
      <c r="AIU43" s="172"/>
      <c r="AIV43" s="172"/>
      <c r="AIW43" s="172"/>
      <c r="AIX43" s="172"/>
      <c r="AIY43" s="172"/>
      <c r="AIZ43" s="172"/>
      <c r="AJA43" s="172"/>
      <c r="AJB43" s="172"/>
      <c r="AJC43" s="172"/>
      <c r="AJD43" s="172"/>
      <c r="AJE43" s="172"/>
      <c r="AJF43" s="172"/>
      <c r="AJG43" s="172"/>
      <c r="AJH43" s="172"/>
      <c r="AJI43" s="172"/>
      <c r="AJJ43" s="172"/>
      <c r="AJK43" s="172"/>
      <c r="AJL43" s="172"/>
      <c r="AJM43" s="172"/>
      <c r="AJN43" s="172"/>
      <c r="AJO43" s="172"/>
      <c r="AJP43" s="172"/>
      <c r="AJQ43" s="172"/>
      <c r="AJR43" s="172"/>
      <c r="AJS43" s="172"/>
      <c r="AJT43" s="172"/>
      <c r="AJU43" s="172"/>
      <c r="AJV43" s="172"/>
      <c r="AJW43" s="172"/>
      <c r="AJX43" s="172"/>
      <c r="AJY43" s="172"/>
      <c r="AJZ43" s="172"/>
      <c r="AKA43" s="172"/>
      <c r="AKB43" s="172"/>
      <c r="AKC43" s="172"/>
      <c r="AKD43" s="172"/>
      <c r="AKE43" s="172"/>
      <c r="AKF43" s="172"/>
      <c r="AKG43" s="172"/>
      <c r="AKH43" s="172"/>
      <c r="AKI43" s="172"/>
      <c r="AKJ43" s="172"/>
      <c r="AKK43" s="172"/>
      <c r="AKL43" s="172"/>
      <c r="AKM43" s="172"/>
      <c r="AKN43" s="172"/>
      <c r="AKO43" s="172"/>
      <c r="AKP43" s="172"/>
      <c r="AKQ43" s="172"/>
      <c r="AKR43" s="172"/>
      <c r="AKS43" s="172"/>
      <c r="AKT43" s="172"/>
      <c r="AKU43" s="172"/>
      <c r="AKV43" s="172"/>
      <c r="AKW43" s="172"/>
      <c r="AKX43" s="172"/>
      <c r="AKY43" s="172"/>
      <c r="AKZ43" s="172"/>
      <c r="ALA43" s="172"/>
      <c r="ALB43" s="172"/>
      <c r="ALC43" s="172"/>
      <c r="ALD43" s="172"/>
      <c r="ALE43" s="172"/>
      <c r="ALF43" s="172"/>
      <c r="ALG43" s="172"/>
      <c r="ALH43" s="172"/>
      <c r="ALI43" s="172"/>
      <c r="ALJ43" s="172"/>
      <c r="ALK43" s="172"/>
      <c r="ALL43" s="172"/>
      <c r="ALM43" s="172"/>
      <c r="ALN43" s="172"/>
      <c r="ALO43" s="172"/>
      <c r="ALP43" s="172"/>
      <c r="ALQ43" s="172"/>
      <c r="ALR43" s="172"/>
      <c r="ALS43" s="172"/>
      <c r="ALT43" s="172"/>
      <c r="ALU43" s="172"/>
      <c r="ALV43" s="172"/>
      <c r="ALW43" s="172"/>
      <c r="ALX43" s="172"/>
      <c r="ALY43" s="172"/>
      <c r="ALZ43" s="172"/>
      <c r="AMA43" s="172"/>
      <c r="AMB43" s="172"/>
      <c r="AMC43" s="172"/>
      <c r="AMD43" s="172"/>
    </row>
    <row r="44" spans="1:1019" s="177" customFormat="1">
      <c r="A44" s="168">
        <f t="shared" si="0"/>
        <v>39</v>
      </c>
      <c r="B44" s="175">
        <v>1950</v>
      </c>
      <c r="C44" s="182" t="s">
        <v>467</v>
      </c>
      <c r="D44" s="169">
        <f>'הנדסה '!D78</f>
        <v>500000</v>
      </c>
      <c r="E44" s="169">
        <f>'הנדסה '!E78</f>
        <v>500000</v>
      </c>
      <c r="F44" s="169">
        <f>'הנדסה '!F78</f>
        <v>0</v>
      </c>
      <c r="G44" s="169">
        <f>'הנדסה '!G78</f>
        <v>0</v>
      </c>
      <c r="H44" s="169">
        <f>'הנדסה '!H78</f>
        <v>0</v>
      </c>
      <c r="I44" s="169">
        <f>'הנדסה '!I78</f>
        <v>0</v>
      </c>
      <c r="J44" s="169">
        <f>'הנדסה '!J78</f>
        <v>0</v>
      </c>
      <c r="K44" s="169">
        <f>'הנדסה '!K78</f>
        <v>0</v>
      </c>
      <c r="L44" s="169">
        <f>'הנדסה '!L78</f>
        <v>0</v>
      </c>
      <c r="M44" s="169">
        <f>'הנדסה '!M78</f>
        <v>0</v>
      </c>
      <c r="N44" s="169">
        <f>'הנדסה '!N78</f>
        <v>100000</v>
      </c>
      <c r="O44" s="169">
        <f>'הנדסה '!O78</f>
        <v>400000</v>
      </c>
      <c r="P44" s="169">
        <f>'הנדסה '!P78</f>
        <v>0</v>
      </c>
      <c r="Q44" s="169">
        <f>'הנדסה '!Q78</f>
        <v>0</v>
      </c>
      <c r="R44" s="169">
        <f>'הנדסה '!R78</f>
        <v>0</v>
      </c>
      <c r="S44" s="169">
        <f>'הנדסה '!S78</f>
        <v>0</v>
      </c>
      <c r="T44" s="169">
        <f>'הנדסה '!T78</f>
        <v>0</v>
      </c>
      <c r="U44" s="169">
        <f>'הנדסה '!U78</f>
        <v>100000</v>
      </c>
      <c r="V44" s="169">
        <f>'הנדסה '!V78</f>
        <v>100000</v>
      </c>
      <c r="W44" s="169">
        <f>'הנדסה '!W78</f>
        <v>0</v>
      </c>
      <c r="X44" s="169">
        <f>'הנדסה '!X78</f>
        <v>0</v>
      </c>
      <c r="Y44" s="169">
        <f>'הנדסה '!Y78</f>
        <v>0</v>
      </c>
      <c r="Z44" s="169">
        <f>'הנדסה '!Z78</f>
        <v>0</v>
      </c>
      <c r="AA44" s="659">
        <f>'הנדסה '!AA78</f>
        <v>732000</v>
      </c>
      <c r="AB44" s="157"/>
      <c r="AC44" s="157"/>
      <c r="AD44" s="157"/>
      <c r="AE44" s="157"/>
      <c r="AF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76"/>
      <c r="DL44" s="176"/>
      <c r="DM44" s="176"/>
      <c r="DN44" s="176"/>
      <c r="DO44" s="176"/>
      <c r="DP44" s="176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  <c r="EB44" s="176"/>
      <c r="EC44" s="176"/>
      <c r="ED44" s="176"/>
      <c r="EE44" s="176"/>
      <c r="EF44" s="176"/>
      <c r="EG44" s="176"/>
      <c r="EH44" s="176"/>
      <c r="EI44" s="176"/>
      <c r="EJ44" s="176"/>
      <c r="EK44" s="176"/>
      <c r="EL44" s="176"/>
      <c r="EM44" s="176"/>
      <c r="EN44" s="176"/>
      <c r="EO44" s="176"/>
      <c r="EP44" s="176"/>
      <c r="EQ44" s="176"/>
      <c r="ER44" s="176"/>
      <c r="ES44" s="176"/>
      <c r="ET44" s="176"/>
      <c r="EU44" s="176"/>
      <c r="EV44" s="176"/>
      <c r="EW44" s="176"/>
      <c r="EX44" s="176"/>
      <c r="EY44" s="176"/>
      <c r="EZ44" s="176"/>
      <c r="FA44" s="176"/>
      <c r="FB44" s="176"/>
      <c r="FC44" s="176"/>
      <c r="FD44" s="176"/>
      <c r="FE44" s="176"/>
      <c r="FF44" s="176"/>
      <c r="FG44" s="176"/>
      <c r="FH44" s="176"/>
      <c r="FI44" s="176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76"/>
      <c r="HO44" s="176"/>
      <c r="HP44" s="176"/>
      <c r="HQ44" s="176"/>
      <c r="HR44" s="176"/>
      <c r="HS44" s="176"/>
      <c r="HT44" s="176"/>
      <c r="HU44" s="176"/>
      <c r="HV44" s="176"/>
      <c r="HW44" s="176"/>
      <c r="HX44" s="176"/>
      <c r="HY44" s="176"/>
      <c r="HZ44" s="176"/>
      <c r="IA44" s="176"/>
      <c r="IB44" s="176"/>
      <c r="IC44" s="176"/>
      <c r="ID44" s="176"/>
      <c r="IE44" s="176"/>
      <c r="IF44" s="176"/>
      <c r="IG44" s="176"/>
      <c r="IH44" s="176"/>
      <c r="II44" s="176"/>
      <c r="IJ44" s="176"/>
      <c r="IK44" s="176"/>
      <c r="IL44" s="176"/>
      <c r="IM44" s="176"/>
      <c r="IN44" s="176"/>
      <c r="IO44" s="176"/>
      <c r="IP44" s="176"/>
      <c r="IQ44" s="176"/>
      <c r="IR44" s="176"/>
      <c r="IS44" s="176"/>
      <c r="IT44" s="176"/>
      <c r="IU44" s="176"/>
      <c r="IV44" s="176"/>
      <c r="IW44" s="176"/>
      <c r="IX44" s="176"/>
      <c r="IY44" s="176"/>
      <c r="IZ44" s="176"/>
      <c r="JA44" s="176"/>
      <c r="JB44" s="176"/>
      <c r="JC44" s="176"/>
      <c r="JD44" s="176"/>
      <c r="JE44" s="176"/>
      <c r="JF44" s="176"/>
      <c r="JG44" s="176"/>
      <c r="JH44" s="176"/>
      <c r="JI44" s="176"/>
      <c r="JJ44" s="176"/>
      <c r="JK44" s="176"/>
      <c r="JL44" s="176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76"/>
      <c r="LQ44" s="176"/>
      <c r="LR44" s="176"/>
      <c r="LS44" s="176"/>
      <c r="LT44" s="176"/>
      <c r="LU44" s="176"/>
      <c r="LV44" s="176"/>
      <c r="LW44" s="176"/>
      <c r="LX44" s="176"/>
      <c r="LY44" s="176"/>
      <c r="LZ44" s="176"/>
      <c r="MA44" s="176"/>
      <c r="MB44" s="176"/>
      <c r="MC44" s="176"/>
      <c r="MD44" s="176"/>
      <c r="ME44" s="176"/>
      <c r="MF44" s="176"/>
      <c r="MG44" s="176"/>
      <c r="MH44" s="176"/>
      <c r="MI44" s="176"/>
      <c r="MJ44" s="176"/>
      <c r="MK44" s="176"/>
      <c r="ML44" s="176"/>
      <c r="MM44" s="176"/>
      <c r="MN44" s="176"/>
      <c r="MO44" s="176"/>
      <c r="MP44" s="176"/>
      <c r="MQ44" s="176"/>
      <c r="MR44" s="176"/>
      <c r="MS44" s="176"/>
      <c r="MT44" s="176"/>
      <c r="MU44" s="176"/>
      <c r="MV44" s="176"/>
      <c r="MW44" s="176"/>
      <c r="MX44" s="176"/>
      <c r="MY44" s="176"/>
      <c r="MZ44" s="176"/>
      <c r="NA44" s="176"/>
      <c r="NB44" s="176"/>
      <c r="NC44" s="176"/>
      <c r="ND44" s="176"/>
      <c r="NE44" s="176"/>
      <c r="NF44" s="176"/>
      <c r="NG44" s="176"/>
      <c r="NH44" s="176"/>
      <c r="NI44" s="176"/>
      <c r="NJ44" s="176"/>
      <c r="NK44" s="176"/>
      <c r="NL44" s="176"/>
      <c r="NM44" s="176"/>
      <c r="NN44" s="176"/>
      <c r="NO44" s="176"/>
      <c r="NP44" s="176"/>
      <c r="NQ44" s="176"/>
      <c r="NR44" s="176"/>
      <c r="NS44" s="176"/>
      <c r="NT44" s="176"/>
      <c r="NU44" s="176"/>
      <c r="NV44" s="176"/>
      <c r="NW44" s="176"/>
      <c r="NX44" s="176"/>
      <c r="NY44" s="176"/>
      <c r="NZ44" s="176"/>
      <c r="OA44" s="176"/>
      <c r="OB44" s="176"/>
      <c r="OC44" s="176"/>
      <c r="OD44" s="176"/>
      <c r="OE44" s="176"/>
      <c r="OF44" s="176"/>
      <c r="OG44" s="176"/>
      <c r="OH44" s="176"/>
      <c r="OI44" s="176"/>
      <c r="OJ44" s="176"/>
      <c r="OK44" s="176"/>
      <c r="OL44" s="176"/>
      <c r="OM44" s="176"/>
      <c r="ON44" s="176"/>
      <c r="OO44" s="176"/>
      <c r="OP44" s="176"/>
      <c r="OQ44" s="176"/>
      <c r="OR44" s="176"/>
      <c r="OS44" s="176"/>
      <c r="OT44" s="176"/>
      <c r="OU44" s="176"/>
      <c r="OV44" s="176"/>
      <c r="OW44" s="176"/>
      <c r="OX44" s="176"/>
      <c r="OY44" s="176"/>
      <c r="OZ44" s="176"/>
      <c r="PA44" s="176"/>
      <c r="PB44" s="176"/>
      <c r="PC44" s="176"/>
      <c r="PD44" s="176"/>
      <c r="PE44" s="176"/>
      <c r="PF44" s="176"/>
      <c r="PG44" s="176"/>
      <c r="PH44" s="176"/>
      <c r="PI44" s="176"/>
      <c r="PJ44" s="176"/>
      <c r="PK44" s="176"/>
      <c r="PL44" s="176"/>
      <c r="PM44" s="176"/>
      <c r="PN44" s="176"/>
      <c r="PO44" s="176"/>
      <c r="PP44" s="176"/>
      <c r="PQ44" s="176"/>
      <c r="PR44" s="176"/>
      <c r="PS44" s="176"/>
      <c r="PT44" s="176"/>
      <c r="PU44" s="176"/>
      <c r="PV44" s="176"/>
      <c r="PW44" s="176"/>
      <c r="PX44" s="176"/>
      <c r="PY44" s="176"/>
      <c r="PZ44" s="176"/>
      <c r="QA44" s="176"/>
      <c r="QB44" s="176"/>
      <c r="QC44" s="176"/>
      <c r="QD44" s="176"/>
      <c r="QE44" s="176"/>
      <c r="QF44" s="176"/>
      <c r="QG44" s="176"/>
      <c r="QH44" s="176"/>
      <c r="QI44" s="176"/>
      <c r="QJ44" s="176"/>
      <c r="QK44" s="176"/>
      <c r="QL44" s="176"/>
      <c r="QM44" s="176"/>
      <c r="QN44" s="176"/>
      <c r="QO44" s="176"/>
      <c r="QP44" s="176"/>
      <c r="QQ44" s="176"/>
      <c r="QR44" s="176"/>
      <c r="QS44" s="176"/>
      <c r="QT44" s="176"/>
      <c r="QU44" s="176"/>
      <c r="QV44" s="176"/>
      <c r="QW44" s="176"/>
      <c r="QX44" s="176"/>
      <c r="QY44" s="176"/>
      <c r="QZ44" s="176"/>
      <c r="RA44" s="176"/>
      <c r="RB44" s="176"/>
      <c r="RC44" s="176"/>
      <c r="RD44" s="176"/>
      <c r="RE44" s="176"/>
      <c r="RF44" s="176"/>
      <c r="RG44" s="176"/>
      <c r="RH44" s="176"/>
      <c r="RI44" s="176"/>
      <c r="RJ44" s="176"/>
      <c r="RK44" s="176"/>
      <c r="RL44" s="176"/>
      <c r="RM44" s="176"/>
      <c r="RN44" s="176"/>
      <c r="RO44" s="176"/>
      <c r="RP44" s="176"/>
      <c r="RQ44" s="176"/>
      <c r="RR44" s="176"/>
      <c r="RS44" s="176"/>
      <c r="RT44" s="176"/>
      <c r="RU44" s="176"/>
      <c r="RV44" s="176"/>
      <c r="RW44" s="176"/>
      <c r="RX44" s="176"/>
      <c r="RY44" s="176"/>
      <c r="RZ44" s="176"/>
      <c r="SA44" s="176"/>
      <c r="SB44" s="176"/>
      <c r="SC44" s="176"/>
      <c r="SD44" s="176"/>
      <c r="SE44" s="176"/>
      <c r="SF44" s="176"/>
      <c r="SG44" s="176"/>
      <c r="SH44" s="176"/>
      <c r="SI44" s="176"/>
      <c r="SJ44" s="176"/>
      <c r="SK44" s="176"/>
      <c r="SL44" s="176"/>
      <c r="SM44" s="176"/>
      <c r="SN44" s="176"/>
      <c r="SO44" s="176"/>
      <c r="SP44" s="176"/>
      <c r="SQ44" s="176"/>
      <c r="SR44" s="176"/>
      <c r="SS44" s="176"/>
      <c r="ST44" s="176"/>
      <c r="SU44" s="176"/>
      <c r="SV44" s="176"/>
      <c r="SW44" s="176"/>
      <c r="SX44" s="176"/>
      <c r="SY44" s="176"/>
      <c r="SZ44" s="176"/>
      <c r="TA44" s="176"/>
      <c r="TB44" s="176"/>
      <c r="TC44" s="176"/>
      <c r="TD44" s="176"/>
      <c r="TE44" s="176"/>
      <c r="TF44" s="176"/>
      <c r="TG44" s="176"/>
      <c r="TH44" s="176"/>
      <c r="TI44" s="176"/>
      <c r="TJ44" s="176"/>
      <c r="TK44" s="176"/>
      <c r="TL44" s="176"/>
      <c r="TM44" s="176"/>
      <c r="TN44" s="176"/>
      <c r="TO44" s="176"/>
      <c r="TP44" s="176"/>
      <c r="TQ44" s="176"/>
      <c r="TR44" s="176"/>
      <c r="TS44" s="176"/>
      <c r="TT44" s="176"/>
      <c r="TU44" s="176"/>
      <c r="TV44" s="176"/>
      <c r="TW44" s="176"/>
      <c r="TX44" s="176"/>
      <c r="TY44" s="176"/>
      <c r="TZ44" s="176"/>
      <c r="UA44" s="176"/>
      <c r="UB44" s="176"/>
      <c r="UC44" s="176"/>
      <c r="UD44" s="176"/>
      <c r="UE44" s="176"/>
      <c r="UF44" s="176"/>
      <c r="UG44" s="176"/>
      <c r="UH44" s="176"/>
      <c r="UI44" s="176"/>
      <c r="UJ44" s="176"/>
      <c r="UK44" s="176"/>
      <c r="UL44" s="176"/>
      <c r="UM44" s="176"/>
      <c r="UN44" s="176"/>
      <c r="UO44" s="176"/>
      <c r="UP44" s="176"/>
      <c r="UQ44" s="176"/>
      <c r="UR44" s="176"/>
      <c r="US44" s="176"/>
      <c r="UT44" s="176"/>
      <c r="UU44" s="176"/>
      <c r="UV44" s="176"/>
      <c r="UW44" s="176"/>
      <c r="UX44" s="176"/>
      <c r="UY44" s="176"/>
      <c r="UZ44" s="176"/>
      <c r="VA44" s="176"/>
      <c r="VB44" s="176"/>
      <c r="VC44" s="176"/>
      <c r="VD44" s="176"/>
      <c r="VE44" s="176"/>
      <c r="VF44" s="176"/>
      <c r="VG44" s="176"/>
      <c r="VH44" s="176"/>
      <c r="VI44" s="176"/>
      <c r="VJ44" s="176"/>
      <c r="VK44" s="176"/>
      <c r="VL44" s="176"/>
      <c r="VM44" s="176"/>
      <c r="VN44" s="176"/>
      <c r="VO44" s="176"/>
      <c r="VP44" s="176"/>
      <c r="VQ44" s="176"/>
      <c r="VR44" s="176"/>
      <c r="VS44" s="176"/>
      <c r="VT44" s="176"/>
      <c r="VU44" s="176"/>
      <c r="VV44" s="176"/>
      <c r="VW44" s="176"/>
      <c r="VX44" s="176"/>
      <c r="VY44" s="176"/>
      <c r="VZ44" s="176"/>
      <c r="WA44" s="176"/>
      <c r="WB44" s="176"/>
      <c r="WC44" s="176"/>
      <c r="WD44" s="176"/>
      <c r="WE44" s="176"/>
      <c r="WF44" s="176"/>
      <c r="WG44" s="176"/>
      <c r="WH44" s="176"/>
      <c r="WI44" s="176"/>
      <c r="WJ44" s="176"/>
      <c r="WK44" s="176"/>
      <c r="WL44" s="176"/>
      <c r="WM44" s="176"/>
      <c r="WN44" s="176"/>
      <c r="WO44" s="176"/>
      <c r="WP44" s="176"/>
      <c r="WQ44" s="176"/>
      <c r="WR44" s="176"/>
      <c r="WS44" s="176"/>
      <c r="WT44" s="176"/>
      <c r="WU44" s="176"/>
      <c r="WV44" s="176"/>
      <c r="WW44" s="176"/>
      <c r="WX44" s="176"/>
      <c r="WY44" s="176"/>
      <c r="WZ44" s="176"/>
      <c r="XA44" s="176"/>
      <c r="XB44" s="176"/>
      <c r="XC44" s="176"/>
      <c r="XD44" s="176"/>
      <c r="XE44" s="176"/>
      <c r="XF44" s="176"/>
      <c r="XG44" s="176"/>
      <c r="XH44" s="176"/>
      <c r="XI44" s="176"/>
      <c r="XJ44" s="176"/>
      <c r="XK44" s="176"/>
      <c r="XL44" s="176"/>
      <c r="XM44" s="176"/>
      <c r="XN44" s="176"/>
      <c r="XO44" s="176"/>
      <c r="XP44" s="176"/>
      <c r="XQ44" s="176"/>
      <c r="XR44" s="176"/>
      <c r="XS44" s="176"/>
      <c r="XT44" s="176"/>
      <c r="XU44" s="176"/>
      <c r="XV44" s="176"/>
      <c r="XW44" s="176"/>
      <c r="XX44" s="176"/>
      <c r="XY44" s="176"/>
      <c r="XZ44" s="176"/>
      <c r="YA44" s="176"/>
      <c r="YB44" s="176"/>
      <c r="YC44" s="176"/>
      <c r="YD44" s="176"/>
      <c r="YE44" s="176"/>
      <c r="YF44" s="176"/>
      <c r="YG44" s="176"/>
      <c r="YH44" s="176"/>
      <c r="YI44" s="176"/>
      <c r="YJ44" s="176"/>
      <c r="YK44" s="176"/>
      <c r="YL44" s="176"/>
      <c r="YM44" s="176"/>
      <c r="YN44" s="176"/>
      <c r="YO44" s="176"/>
      <c r="YP44" s="176"/>
      <c r="YQ44" s="176"/>
      <c r="YR44" s="176"/>
      <c r="YS44" s="176"/>
      <c r="YT44" s="176"/>
      <c r="YU44" s="176"/>
      <c r="YV44" s="176"/>
      <c r="YW44" s="176"/>
      <c r="YX44" s="176"/>
      <c r="YY44" s="176"/>
      <c r="YZ44" s="176"/>
      <c r="ZA44" s="176"/>
      <c r="ZB44" s="176"/>
      <c r="ZC44" s="176"/>
      <c r="ZD44" s="176"/>
      <c r="ZE44" s="176"/>
      <c r="ZF44" s="176"/>
      <c r="ZG44" s="176"/>
      <c r="ZH44" s="176"/>
      <c r="ZI44" s="176"/>
      <c r="ZJ44" s="176"/>
      <c r="ZK44" s="176"/>
      <c r="ZL44" s="176"/>
      <c r="ZM44" s="176"/>
      <c r="ZN44" s="176"/>
      <c r="ZO44" s="176"/>
      <c r="ZP44" s="176"/>
      <c r="ZQ44" s="176"/>
      <c r="ZR44" s="176"/>
      <c r="ZS44" s="176"/>
      <c r="ZT44" s="176"/>
      <c r="ZU44" s="176"/>
      <c r="ZV44" s="176"/>
      <c r="ZW44" s="176"/>
      <c r="ZX44" s="176"/>
      <c r="ZY44" s="176"/>
      <c r="ZZ44" s="176"/>
      <c r="AAA44" s="176"/>
      <c r="AAB44" s="176"/>
      <c r="AAC44" s="176"/>
      <c r="AAD44" s="176"/>
      <c r="AAE44" s="176"/>
      <c r="AAF44" s="176"/>
      <c r="AAG44" s="176"/>
      <c r="AAH44" s="176"/>
      <c r="AAI44" s="176"/>
      <c r="AAJ44" s="176"/>
      <c r="AAK44" s="176"/>
      <c r="AAL44" s="176"/>
      <c r="AAM44" s="176"/>
      <c r="AAN44" s="176"/>
      <c r="AAO44" s="176"/>
      <c r="AAP44" s="176"/>
      <c r="AAQ44" s="176"/>
      <c r="AAR44" s="176"/>
      <c r="AAS44" s="176"/>
      <c r="AAT44" s="176"/>
      <c r="AAU44" s="176"/>
      <c r="AAV44" s="176"/>
      <c r="AAW44" s="176"/>
      <c r="AAX44" s="176"/>
      <c r="AAY44" s="176"/>
      <c r="AAZ44" s="176"/>
      <c r="ABA44" s="176"/>
      <c r="ABB44" s="176"/>
      <c r="ABC44" s="176"/>
      <c r="ABD44" s="176"/>
      <c r="ABE44" s="176"/>
      <c r="ABF44" s="176"/>
      <c r="ABG44" s="176"/>
      <c r="ABH44" s="176"/>
      <c r="ABI44" s="176"/>
      <c r="ABJ44" s="176"/>
      <c r="ABK44" s="176"/>
      <c r="ABL44" s="176"/>
      <c r="ABM44" s="176"/>
      <c r="ABN44" s="176"/>
      <c r="ABO44" s="176"/>
      <c r="ABP44" s="176"/>
      <c r="ABQ44" s="176"/>
      <c r="ABR44" s="176"/>
      <c r="ABS44" s="176"/>
      <c r="ABT44" s="176"/>
      <c r="ABU44" s="176"/>
      <c r="ABV44" s="176"/>
      <c r="ABW44" s="176"/>
      <c r="ABX44" s="176"/>
      <c r="ABY44" s="176"/>
      <c r="ABZ44" s="176"/>
      <c r="ACA44" s="176"/>
      <c r="ACB44" s="176"/>
      <c r="ACC44" s="176"/>
      <c r="ACD44" s="176"/>
      <c r="ACE44" s="176"/>
      <c r="ACF44" s="176"/>
      <c r="ACG44" s="176"/>
      <c r="ACH44" s="176"/>
      <c r="ACI44" s="176"/>
      <c r="ACJ44" s="176"/>
      <c r="ACK44" s="176"/>
      <c r="ACL44" s="176"/>
      <c r="ACM44" s="176"/>
      <c r="ACN44" s="176"/>
      <c r="ACO44" s="176"/>
      <c r="ACP44" s="176"/>
      <c r="ACQ44" s="176"/>
      <c r="ACR44" s="176"/>
      <c r="ACS44" s="176"/>
      <c r="ACT44" s="176"/>
      <c r="ACU44" s="176"/>
      <c r="ACV44" s="176"/>
      <c r="ACW44" s="176"/>
      <c r="ACX44" s="176"/>
      <c r="ACY44" s="176"/>
      <c r="ACZ44" s="176"/>
      <c r="ADA44" s="176"/>
      <c r="ADB44" s="176"/>
      <c r="ADC44" s="176"/>
      <c r="ADD44" s="176"/>
      <c r="ADE44" s="176"/>
      <c r="ADF44" s="176"/>
      <c r="ADG44" s="176"/>
      <c r="ADH44" s="176"/>
      <c r="ADI44" s="176"/>
      <c r="ADJ44" s="176"/>
      <c r="ADK44" s="176"/>
      <c r="ADL44" s="176"/>
      <c r="ADM44" s="176"/>
      <c r="ADN44" s="176"/>
      <c r="ADO44" s="176"/>
      <c r="ADP44" s="176"/>
      <c r="ADQ44" s="176"/>
      <c r="ADR44" s="176"/>
      <c r="ADS44" s="176"/>
      <c r="ADT44" s="176"/>
      <c r="ADU44" s="176"/>
      <c r="ADV44" s="176"/>
      <c r="ADW44" s="176"/>
      <c r="ADX44" s="176"/>
      <c r="ADY44" s="176"/>
      <c r="ADZ44" s="176"/>
      <c r="AEA44" s="176"/>
      <c r="AEB44" s="176"/>
      <c r="AEC44" s="176"/>
      <c r="AED44" s="176"/>
      <c r="AEE44" s="176"/>
      <c r="AEF44" s="176"/>
      <c r="AEG44" s="176"/>
      <c r="AEH44" s="176"/>
      <c r="AEI44" s="176"/>
      <c r="AEJ44" s="176"/>
      <c r="AEK44" s="176"/>
      <c r="AEL44" s="176"/>
      <c r="AEM44" s="176"/>
      <c r="AEN44" s="176"/>
      <c r="AEO44" s="176"/>
      <c r="AEP44" s="176"/>
      <c r="AEQ44" s="176"/>
      <c r="AER44" s="176"/>
      <c r="AES44" s="176"/>
      <c r="AET44" s="176"/>
      <c r="AEU44" s="176"/>
      <c r="AEV44" s="176"/>
      <c r="AEW44" s="176"/>
      <c r="AEX44" s="176"/>
      <c r="AEY44" s="176"/>
      <c r="AEZ44" s="176"/>
      <c r="AFA44" s="176"/>
      <c r="AFB44" s="176"/>
      <c r="AFC44" s="176"/>
      <c r="AFD44" s="176"/>
      <c r="AFE44" s="176"/>
      <c r="AFF44" s="176"/>
      <c r="AFG44" s="176"/>
      <c r="AFH44" s="176"/>
      <c r="AFI44" s="176"/>
      <c r="AFJ44" s="176"/>
      <c r="AFK44" s="176"/>
      <c r="AFL44" s="176"/>
      <c r="AFM44" s="176"/>
      <c r="AFN44" s="176"/>
      <c r="AFO44" s="176"/>
      <c r="AFP44" s="176"/>
      <c r="AFQ44" s="176"/>
      <c r="AFR44" s="176"/>
      <c r="AFS44" s="176"/>
      <c r="AFT44" s="176"/>
      <c r="AFU44" s="176"/>
      <c r="AFV44" s="176"/>
      <c r="AFW44" s="176"/>
      <c r="AFX44" s="176"/>
      <c r="AFY44" s="176"/>
      <c r="AFZ44" s="176"/>
      <c r="AGA44" s="176"/>
      <c r="AGB44" s="176"/>
      <c r="AGC44" s="176"/>
      <c r="AGD44" s="176"/>
      <c r="AGE44" s="176"/>
      <c r="AGF44" s="176"/>
      <c r="AGG44" s="176"/>
      <c r="AGH44" s="176"/>
      <c r="AGI44" s="176"/>
      <c r="AGJ44" s="176"/>
      <c r="AGK44" s="176"/>
      <c r="AGL44" s="176"/>
      <c r="AGM44" s="176"/>
      <c r="AGN44" s="176"/>
      <c r="AGO44" s="176"/>
      <c r="AGP44" s="176"/>
      <c r="AGQ44" s="176"/>
      <c r="AGR44" s="176"/>
      <c r="AGS44" s="176"/>
      <c r="AGT44" s="176"/>
      <c r="AGU44" s="176"/>
      <c r="AGV44" s="176"/>
      <c r="AGW44" s="176"/>
      <c r="AGX44" s="176"/>
      <c r="AGY44" s="176"/>
      <c r="AGZ44" s="176"/>
      <c r="AHA44" s="176"/>
      <c r="AHB44" s="176"/>
      <c r="AHC44" s="176"/>
      <c r="AHD44" s="176"/>
      <c r="AHE44" s="176"/>
      <c r="AHF44" s="176"/>
      <c r="AHG44" s="176"/>
      <c r="AHH44" s="176"/>
      <c r="AHI44" s="176"/>
      <c r="AHJ44" s="176"/>
      <c r="AHK44" s="176"/>
      <c r="AHL44" s="176"/>
      <c r="AHM44" s="176"/>
      <c r="AHN44" s="176"/>
      <c r="AHO44" s="176"/>
      <c r="AHP44" s="176"/>
      <c r="AHQ44" s="176"/>
      <c r="AHR44" s="176"/>
      <c r="AHS44" s="176"/>
      <c r="AHT44" s="176"/>
      <c r="AHU44" s="176"/>
      <c r="AHV44" s="176"/>
      <c r="AHW44" s="176"/>
      <c r="AHX44" s="176"/>
      <c r="AHY44" s="176"/>
      <c r="AHZ44" s="176"/>
      <c r="AIA44" s="176"/>
      <c r="AIB44" s="176"/>
      <c r="AIC44" s="176"/>
      <c r="AID44" s="176"/>
      <c r="AIE44" s="176"/>
      <c r="AIF44" s="176"/>
      <c r="AIG44" s="176"/>
      <c r="AIH44" s="176"/>
      <c r="AII44" s="176"/>
      <c r="AIJ44" s="176"/>
      <c r="AIK44" s="176"/>
      <c r="AIL44" s="176"/>
      <c r="AIM44" s="176"/>
      <c r="AIN44" s="176"/>
      <c r="AIO44" s="176"/>
      <c r="AIP44" s="176"/>
      <c r="AIQ44" s="176"/>
      <c r="AIR44" s="176"/>
      <c r="AIS44" s="176"/>
      <c r="AIT44" s="176"/>
      <c r="AIU44" s="176"/>
      <c r="AIV44" s="176"/>
      <c r="AIW44" s="176"/>
      <c r="AIX44" s="176"/>
      <c r="AIY44" s="176"/>
      <c r="AIZ44" s="176"/>
      <c r="AJA44" s="176"/>
      <c r="AJB44" s="176"/>
      <c r="AJC44" s="176"/>
      <c r="AJD44" s="176"/>
      <c r="AJE44" s="176"/>
      <c r="AJF44" s="176"/>
      <c r="AJG44" s="176"/>
      <c r="AJH44" s="176"/>
      <c r="AJI44" s="176"/>
      <c r="AJJ44" s="176"/>
      <c r="AJK44" s="176"/>
      <c r="AJL44" s="176"/>
      <c r="AJM44" s="176"/>
      <c r="AJN44" s="176"/>
      <c r="AJO44" s="176"/>
      <c r="AJP44" s="176"/>
      <c r="AJQ44" s="176"/>
      <c r="AJR44" s="176"/>
      <c r="AJS44" s="176"/>
      <c r="AJT44" s="176"/>
      <c r="AJU44" s="176"/>
      <c r="AJV44" s="176"/>
      <c r="AJW44" s="176"/>
      <c r="AJX44" s="176"/>
      <c r="AJY44" s="176"/>
      <c r="AJZ44" s="176"/>
      <c r="AKA44" s="176"/>
      <c r="AKB44" s="176"/>
      <c r="AKC44" s="176"/>
      <c r="AKD44" s="176"/>
      <c r="AKE44" s="176"/>
      <c r="AKF44" s="176"/>
      <c r="AKG44" s="176"/>
      <c r="AKH44" s="176"/>
      <c r="AKI44" s="176"/>
      <c r="AKJ44" s="176"/>
      <c r="AKK44" s="176"/>
      <c r="AKL44" s="176"/>
      <c r="AKM44" s="176"/>
      <c r="AKN44" s="176"/>
      <c r="AKO44" s="176"/>
      <c r="AKP44" s="176"/>
      <c r="AKQ44" s="176"/>
      <c r="AKR44" s="176"/>
      <c r="AKS44" s="176"/>
      <c r="AKT44" s="176"/>
      <c r="AKU44" s="176"/>
      <c r="AKV44" s="176"/>
      <c r="AKW44" s="176"/>
      <c r="AKX44" s="176"/>
      <c r="AKY44" s="176"/>
      <c r="AKZ44" s="176"/>
      <c r="ALA44" s="176"/>
      <c r="ALB44" s="176"/>
      <c r="ALC44" s="176"/>
      <c r="ALD44" s="176"/>
      <c r="ALE44" s="176"/>
      <c r="ALF44" s="176"/>
      <c r="ALG44" s="176"/>
      <c r="ALH44" s="176"/>
      <c r="ALI44" s="176"/>
      <c r="ALJ44" s="176"/>
      <c r="ALK44" s="176"/>
      <c r="ALL44" s="176"/>
      <c r="ALM44" s="176"/>
      <c r="ALN44" s="176"/>
      <c r="ALO44" s="176"/>
      <c r="ALP44" s="176"/>
      <c r="ALQ44" s="176"/>
      <c r="ALR44" s="176"/>
      <c r="ALS44" s="176"/>
      <c r="ALT44" s="176"/>
      <c r="ALU44" s="176"/>
      <c r="ALV44" s="176"/>
      <c r="ALW44" s="176"/>
      <c r="ALX44" s="176"/>
      <c r="ALY44" s="176"/>
      <c r="ALZ44" s="176"/>
      <c r="AMA44" s="176"/>
      <c r="AMB44" s="176"/>
      <c r="AMC44" s="176"/>
      <c r="AMD44" s="176"/>
      <c r="AME44" s="158"/>
    </row>
    <row r="45" spans="1:1019" s="174" customFormat="1">
      <c r="A45" s="168">
        <f t="shared" si="0"/>
        <v>40</v>
      </c>
      <c r="B45" s="175">
        <v>1951</v>
      </c>
      <c r="C45" s="168" t="s">
        <v>343</v>
      </c>
      <c r="D45" s="169">
        <f>'הנדסה '!D79</f>
        <v>300000</v>
      </c>
      <c r="E45" s="169">
        <f>'הנדסה '!E79</f>
        <v>300000</v>
      </c>
      <c r="F45" s="169">
        <f>'הנדסה '!F79</f>
        <v>0</v>
      </c>
      <c r="G45" s="169">
        <f>'הנדסה '!G79</f>
        <v>160000</v>
      </c>
      <c r="H45" s="169">
        <f>'הנדסה '!H79</f>
        <v>123575</v>
      </c>
      <c r="I45" s="169">
        <f>'הנדסה '!I79</f>
        <v>35100</v>
      </c>
      <c r="J45" s="169">
        <f>'הנדסה '!J79</f>
        <v>0</v>
      </c>
      <c r="K45" s="169">
        <f>'הנדסה '!K79</f>
        <v>35100</v>
      </c>
      <c r="L45" s="169">
        <f>'הנדסה '!L79</f>
        <v>158675</v>
      </c>
      <c r="M45" s="169">
        <f>'הנדסה '!M79</f>
        <v>1325</v>
      </c>
      <c r="N45" s="169">
        <f>'הנדסה '!N79</f>
        <v>0</v>
      </c>
      <c r="O45" s="169">
        <f>'הנדסה '!O79</f>
        <v>140000</v>
      </c>
      <c r="P45" s="169">
        <f>'הנדסה '!P79</f>
        <v>1325</v>
      </c>
      <c r="Q45" s="169">
        <f>'הנדסה '!Q79</f>
        <v>0</v>
      </c>
      <c r="R45" s="169">
        <f>'הנדסה '!R79</f>
        <v>0</v>
      </c>
      <c r="S45" s="169">
        <f>'הנדסה '!S79</f>
        <v>0</v>
      </c>
      <c r="T45" s="169">
        <f>'הנדסה '!T79</f>
        <v>0</v>
      </c>
      <c r="U45" s="169">
        <f>'הנדסה '!U79</f>
        <v>0</v>
      </c>
      <c r="V45" s="169">
        <f>'הנדסה '!V79</f>
        <v>0</v>
      </c>
      <c r="W45" s="169">
        <f>'הנדסה '!W79</f>
        <v>0</v>
      </c>
      <c r="X45" s="169">
        <f>'הנדסה '!X79</f>
        <v>0</v>
      </c>
      <c r="Y45" s="169">
        <f>'הנדסה '!Y79</f>
        <v>0</v>
      </c>
      <c r="Z45" s="169">
        <f>'הנדסה '!Z79</f>
        <v>0</v>
      </c>
      <c r="AA45" s="659">
        <f>'הנדסה '!AA79</f>
        <v>732000</v>
      </c>
      <c r="AB45" s="157"/>
      <c r="AC45" s="157"/>
      <c r="AD45" s="157"/>
      <c r="AE45" s="157"/>
      <c r="AF45" s="172"/>
      <c r="AG45" s="172"/>
      <c r="AH45" s="172"/>
      <c r="AI45" s="172"/>
      <c r="AJ45" s="172"/>
      <c r="AK45" s="172"/>
      <c r="AME45" s="158"/>
    </row>
    <row r="46" spans="1:1019" s="172" customFormat="1" ht="15" customHeight="1">
      <c r="A46" s="168">
        <f t="shared" si="0"/>
        <v>41</v>
      </c>
      <c r="B46" s="184">
        <v>2013</v>
      </c>
      <c r="C46" s="168" t="s">
        <v>1034</v>
      </c>
      <c r="D46" s="169">
        <f>'הנדסה '!D81</f>
        <v>1250000</v>
      </c>
      <c r="E46" s="169">
        <f>'הנדסה '!E81</f>
        <v>0</v>
      </c>
      <c r="F46" s="169">
        <f>'הנדסה '!F81</f>
        <v>1250000</v>
      </c>
      <c r="G46" s="169">
        <f>'הנדסה '!G81</f>
        <v>0</v>
      </c>
      <c r="H46" s="169">
        <f>'הנדסה '!H81</f>
        <v>0</v>
      </c>
      <c r="I46" s="169">
        <f>'הנדסה '!I81</f>
        <v>0</v>
      </c>
      <c r="J46" s="169">
        <f>'הנדסה '!J81</f>
        <v>0</v>
      </c>
      <c r="K46" s="169">
        <f>'הנדסה '!K81</f>
        <v>0</v>
      </c>
      <c r="L46" s="169">
        <f>'הנדסה '!L81</f>
        <v>0</v>
      </c>
      <c r="M46" s="169">
        <f>'הנדסה '!M81</f>
        <v>0</v>
      </c>
      <c r="N46" s="169">
        <f>'הנדסה '!N81</f>
        <v>100000</v>
      </c>
      <c r="O46" s="169">
        <f>'הנדסה '!O81</f>
        <v>1150000</v>
      </c>
      <c r="P46" s="169">
        <f>'הנדסה '!P81</f>
        <v>0</v>
      </c>
      <c r="Q46" s="169">
        <f>'הנדסה '!Q81</f>
        <v>0</v>
      </c>
      <c r="R46" s="169">
        <f>'הנדסה '!R81</f>
        <v>0</v>
      </c>
      <c r="S46" s="169">
        <f>'הנדסה '!S81</f>
        <v>0</v>
      </c>
      <c r="T46" s="169">
        <f>'הנדסה '!T81</f>
        <v>0</v>
      </c>
      <c r="U46" s="169">
        <f>'הנדסה '!U81</f>
        <v>100000</v>
      </c>
      <c r="V46" s="169">
        <f>'הנדסה '!V81</f>
        <v>100000</v>
      </c>
      <c r="W46" s="169">
        <f>'הנדסה '!W81</f>
        <v>0</v>
      </c>
      <c r="X46" s="169">
        <f>'הנדסה '!X81</f>
        <v>0</v>
      </c>
      <c r="Y46" s="169">
        <f>'הנדסה '!Y81</f>
        <v>0</v>
      </c>
      <c r="Z46" s="169">
        <f>'הנדסה '!Z81</f>
        <v>0</v>
      </c>
      <c r="AA46" s="659">
        <f>'הנדסה '!AA81</f>
        <v>732000</v>
      </c>
      <c r="AB46" s="157"/>
      <c r="AC46" s="157"/>
      <c r="AD46" s="157"/>
      <c r="AE46" s="157"/>
      <c r="AI46" s="157"/>
      <c r="AME46" s="158"/>
    </row>
    <row r="47" spans="1:1019" s="174" customFormat="1" ht="15" customHeight="1">
      <c r="A47" s="168">
        <f t="shared" si="0"/>
        <v>42</v>
      </c>
      <c r="B47" s="184">
        <v>2014</v>
      </c>
      <c r="C47" s="168" t="s">
        <v>932</v>
      </c>
      <c r="D47" s="169">
        <f>'הנדסה '!D82</f>
        <v>100000</v>
      </c>
      <c r="E47" s="169">
        <f>'הנדסה '!E82</f>
        <v>0</v>
      </c>
      <c r="F47" s="169">
        <f>'הנדסה '!F82</f>
        <v>100000</v>
      </c>
      <c r="G47" s="169">
        <f>'הנדסה '!G82</f>
        <v>0</v>
      </c>
      <c r="H47" s="169">
        <f>'הנדסה '!H82</f>
        <v>0</v>
      </c>
      <c r="I47" s="169">
        <f>'הנדסה '!I82</f>
        <v>0</v>
      </c>
      <c r="J47" s="169">
        <f>'הנדסה '!J82</f>
        <v>0</v>
      </c>
      <c r="K47" s="169">
        <f>'הנדסה '!K82</f>
        <v>0</v>
      </c>
      <c r="L47" s="169">
        <f>'הנדסה '!L82</f>
        <v>0</v>
      </c>
      <c r="M47" s="169">
        <f>'הנדסה '!M82</f>
        <v>0</v>
      </c>
      <c r="N47" s="169">
        <f>'הנדסה '!N82</f>
        <v>100000</v>
      </c>
      <c r="O47" s="169">
        <f>'הנדסה '!O82</f>
        <v>0</v>
      </c>
      <c r="P47" s="169">
        <f>'הנדסה '!P82</f>
        <v>0</v>
      </c>
      <c r="Q47" s="169">
        <f>'הנדסה '!Q82</f>
        <v>0</v>
      </c>
      <c r="R47" s="169">
        <f>'הנדסה '!R82</f>
        <v>0</v>
      </c>
      <c r="S47" s="169">
        <f>'הנדסה '!S82</f>
        <v>0</v>
      </c>
      <c r="T47" s="169">
        <f>'הנדסה '!T82</f>
        <v>0</v>
      </c>
      <c r="U47" s="169">
        <f>'הנדסה '!U82</f>
        <v>100000</v>
      </c>
      <c r="V47" s="169">
        <f>'הנדסה '!V82</f>
        <v>100000</v>
      </c>
      <c r="W47" s="169">
        <f>'הנדסה '!W82</f>
        <v>0</v>
      </c>
      <c r="X47" s="169">
        <f>'הנדסה '!X82</f>
        <v>0</v>
      </c>
      <c r="Y47" s="169">
        <f>'הנדסה '!Y82</f>
        <v>0</v>
      </c>
      <c r="Z47" s="169">
        <f>'הנדסה '!Z82</f>
        <v>0</v>
      </c>
      <c r="AA47" s="659">
        <f>'הנדסה '!AA82</f>
        <v>732000</v>
      </c>
      <c r="AB47" s="157"/>
      <c r="AC47" s="157"/>
      <c r="AD47" s="157"/>
      <c r="AE47" s="157"/>
      <c r="AF47" s="172"/>
      <c r="AG47" s="172"/>
      <c r="AH47" s="172"/>
      <c r="AI47" s="157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  <c r="DZ47" s="172"/>
      <c r="EA47" s="172"/>
      <c r="EB47" s="172"/>
      <c r="EC47" s="172"/>
      <c r="ED47" s="172"/>
      <c r="EE47" s="172"/>
      <c r="EF47" s="172"/>
      <c r="EG47" s="172"/>
      <c r="EH47" s="172"/>
      <c r="EI47" s="172"/>
      <c r="EJ47" s="172"/>
      <c r="EK47" s="172"/>
      <c r="EL47" s="172"/>
      <c r="EM47" s="172"/>
      <c r="EN47" s="172"/>
      <c r="EO47" s="172"/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172"/>
      <c r="FO47" s="172"/>
      <c r="FP47" s="172"/>
      <c r="FQ47" s="172"/>
      <c r="FR47" s="172"/>
      <c r="FS47" s="172"/>
      <c r="FT47" s="172"/>
      <c r="FU47" s="172"/>
      <c r="FV47" s="172"/>
      <c r="FW47" s="172"/>
      <c r="FX47" s="172"/>
      <c r="FY47" s="172"/>
      <c r="FZ47" s="172"/>
      <c r="GA47" s="172"/>
      <c r="GB47" s="172"/>
      <c r="GC47" s="172"/>
      <c r="GD47" s="172"/>
      <c r="GE47" s="172"/>
      <c r="GF47" s="172"/>
      <c r="GG47" s="172"/>
      <c r="GH47" s="172"/>
      <c r="GI47" s="172"/>
      <c r="GJ47" s="172"/>
      <c r="GK47" s="172"/>
      <c r="GL47" s="172"/>
      <c r="GM47" s="172"/>
      <c r="GN47" s="172"/>
      <c r="GO47" s="172"/>
      <c r="GP47" s="172"/>
      <c r="GQ47" s="172"/>
      <c r="GR47" s="172"/>
      <c r="GS47" s="172"/>
      <c r="GT47" s="172"/>
      <c r="GU47" s="172"/>
      <c r="GV47" s="172"/>
      <c r="GW47" s="172"/>
      <c r="GX47" s="172"/>
      <c r="GY47" s="172"/>
      <c r="GZ47" s="172"/>
      <c r="HA47" s="172"/>
      <c r="HB47" s="172"/>
      <c r="HC47" s="172"/>
      <c r="HD47" s="172"/>
      <c r="HE47" s="172"/>
      <c r="HF47" s="172"/>
      <c r="HG47" s="172"/>
      <c r="HH47" s="172"/>
      <c r="HI47" s="172"/>
      <c r="HJ47" s="172"/>
      <c r="HK47" s="172"/>
      <c r="HL47" s="172"/>
      <c r="HM47" s="172"/>
      <c r="HN47" s="172"/>
      <c r="HO47" s="172"/>
      <c r="HP47" s="172"/>
      <c r="HQ47" s="172"/>
      <c r="HR47" s="172"/>
      <c r="HS47" s="172"/>
      <c r="HT47" s="172"/>
      <c r="HU47" s="172"/>
      <c r="HV47" s="172"/>
      <c r="HW47" s="172"/>
      <c r="HX47" s="172"/>
      <c r="HY47" s="172"/>
      <c r="HZ47" s="172"/>
      <c r="IA47" s="172"/>
      <c r="IB47" s="172"/>
      <c r="IC47" s="172"/>
      <c r="ID47" s="172"/>
      <c r="IE47" s="172"/>
      <c r="IF47" s="172"/>
      <c r="IG47" s="172"/>
      <c r="IH47" s="172"/>
      <c r="II47" s="172"/>
      <c r="IJ47" s="172"/>
      <c r="IK47" s="172"/>
      <c r="IL47" s="172"/>
      <c r="IM47" s="172"/>
      <c r="IN47" s="172"/>
      <c r="IO47" s="172"/>
      <c r="IP47" s="172"/>
      <c r="IQ47" s="172"/>
      <c r="IR47" s="172"/>
      <c r="IS47" s="172"/>
      <c r="IT47" s="172"/>
      <c r="IU47" s="172"/>
      <c r="IV47" s="172"/>
      <c r="IW47" s="172"/>
      <c r="IX47" s="172"/>
      <c r="IY47" s="172"/>
      <c r="IZ47" s="172"/>
      <c r="JA47" s="172"/>
      <c r="JB47" s="172"/>
      <c r="JC47" s="172"/>
      <c r="JD47" s="172"/>
      <c r="JE47" s="172"/>
      <c r="JF47" s="172"/>
      <c r="JG47" s="172"/>
      <c r="JH47" s="172"/>
      <c r="JI47" s="172"/>
      <c r="JJ47" s="172"/>
      <c r="JK47" s="172"/>
      <c r="JL47" s="172"/>
      <c r="JM47" s="172"/>
      <c r="JN47" s="172"/>
      <c r="JO47" s="172"/>
      <c r="JP47" s="172"/>
      <c r="JQ47" s="172"/>
      <c r="JR47" s="172"/>
      <c r="JS47" s="172"/>
      <c r="JT47" s="172"/>
      <c r="JU47" s="172"/>
      <c r="JV47" s="172"/>
      <c r="JW47" s="172"/>
      <c r="JX47" s="172"/>
      <c r="JY47" s="172"/>
      <c r="JZ47" s="172"/>
      <c r="KA47" s="172"/>
      <c r="KB47" s="172"/>
      <c r="KC47" s="172"/>
      <c r="KD47" s="172"/>
      <c r="KE47" s="172"/>
      <c r="KF47" s="172"/>
      <c r="KG47" s="172"/>
      <c r="KH47" s="172"/>
      <c r="KI47" s="172"/>
      <c r="KJ47" s="172"/>
      <c r="KK47" s="172"/>
      <c r="KL47" s="172"/>
      <c r="KM47" s="172"/>
      <c r="KN47" s="172"/>
      <c r="KO47" s="172"/>
      <c r="KP47" s="172"/>
      <c r="KQ47" s="172"/>
      <c r="KR47" s="172"/>
      <c r="KS47" s="172"/>
      <c r="KT47" s="172"/>
      <c r="KU47" s="172"/>
      <c r="KV47" s="172"/>
      <c r="KW47" s="172"/>
      <c r="KX47" s="172"/>
      <c r="KY47" s="172"/>
      <c r="KZ47" s="172"/>
      <c r="LA47" s="172"/>
      <c r="LB47" s="172"/>
      <c r="LC47" s="172"/>
      <c r="LD47" s="172"/>
      <c r="LE47" s="172"/>
      <c r="LF47" s="172"/>
      <c r="LG47" s="172"/>
      <c r="LH47" s="172"/>
      <c r="LI47" s="172"/>
      <c r="LJ47" s="172"/>
      <c r="LK47" s="172"/>
      <c r="LL47" s="172"/>
      <c r="LM47" s="172"/>
      <c r="LN47" s="172"/>
      <c r="LO47" s="172"/>
      <c r="LP47" s="172"/>
      <c r="LQ47" s="172"/>
      <c r="LR47" s="172"/>
      <c r="LS47" s="172"/>
      <c r="LT47" s="172"/>
      <c r="LU47" s="172"/>
      <c r="LV47" s="172"/>
      <c r="LW47" s="172"/>
      <c r="LX47" s="172"/>
      <c r="LY47" s="172"/>
      <c r="LZ47" s="172"/>
      <c r="MA47" s="172"/>
      <c r="MB47" s="172"/>
      <c r="MC47" s="172"/>
      <c r="MD47" s="172"/>
      <c r="ME47" s="172"/>
      <c r="MF47" s="172"/>
      <c r="MG47" s="172"/>
      <c r="MH47" s="172"/>
      <c r="MI47" s="172"/>
      <c r="MJ47" s="172"/>
      <c r="MK47" s="172"/>
      <c r="ML47" s="172"/>
      <c r="MM47" s="172"/>
      <c r="MN47" s="172"/>
      <c r="MO47" s="172"/>
      <c r="MP47" s="172"/>
      <c r="MQ47" s="172"/>
      <c r="MR47" s="172"/>
      <c r="MS47" s="172"/>
      <c r="MT47" s="172"/>
      <c r="MU47" s="172"/>
      <c r="MV47" s="172"/>
      <c r="MW47" s="172"/>
      <c r="MX47" s="172"/>
      <c r="MY47" s="172"/>
      <c r="MZ47" s="172"/>
      <c r="NA47" s="172"/>
      <c r="NB47" s="172"/>
      <c r="NC47" s="172"/>
      <c r="ND47" s="172"/>
      <c r="NE47" s="172"/>
      <c r="NF47" s="172"/>
      <c r="NG47" s="172"/>
      <c r="NH47" s="172"/>
      <c r="NI47" s="172"/>
      <c r="NJ47" s="172"/>
      <c r="NK47" s="172"/>
      <c r="NL47" s="172"/>
      <c r="NM47" s="172"/>
      <c r="NN47" s="172"/>
      <c r="NO47" s="172"/>
      <c r="NP47" s="172"/>
      <c r="NQ47" s="172"/>
      <c r="NR47" s="172"/>
      <c r="NS47" s="172"/>
      <c r="NT47" s="172"/>
      <c r="NU47" s="172"/>
      <c r="NV47" s="172"/>
      <c r="NW47" s="172"/>
      <c r="NX47" s="172"/>
      <c r="NY47" s="172"/>
      <c r="NZ47" s="172"/>
      <c r="OA47" s="172"/>
      <c r="OB47" s="172"/>
      <c r="OC47" s="172"/>
      <c r="OD47" s="172"/>
      <c r="OE47" s="172"/>
      <c r="OF47" s="172"/>
      <c r="OG47" s="172"/>
      <c r="OH47" s="172"/>
      <c r="OI47" s="172"/>
      <c r="OJ47" s="172"/>
      <c r="OK47" s="172"/>
      <c r="OL47" s="172"/>
      <c r="OM47" s="172"/>
      <c r="ON47" s="172"/>
      <c r="OO47" s="172"/>
      <c r="OP47" s="172"/>
      <c r="OQ47" s="172"/>
      <c r="OR47" s="172"/>
      <c r="OS47" s="172"/>
      <c r="OT47" s="172"/>
      <c r="OU47" s="172"/>
      <c r="OV47" s="172"/>
      <c r="OW47" s="172"/>
      <c r="OX47" s="172"/>
      <c r="OY47" s="172"/>
      <c r="OZ47" s="172"/>
      <c r="PA47" s="172"/>
      <c r="PB47" s="172"/>
      <c r="PC47" s="172"/>
      <c r="PD47" s="172"/>
      <c r="PE47" s="172"/>
      <c r="PF47" s="172"/>
      <c r="PG47" s="172"/>
      <c r="PH47" s="172"/>
      <c r="PI47" s="172"/>
      <c r="PJ47" s="172"/>
      <c r="PK47" s="172"/>
      <c r="PL47" s="172"/>
      <c r="PM47" s="172"/>
      <c r="PN47" s="172"/>
      <c r="PO47" s="172"/>
      <c r="PP47" s="172"/>
      <c r="PQ47" s="172"/>
      <c r="PR47" s="172"/>
      <c r="PS47" s="172"/>
      <c r="PT47" s="172"/>
      <c r="PU47" s="172"/>
      <c r="PV47" s="172"/>
      <c r="PW47" s="172"/>
      <c r="PX47" s="172"/>
      <c r="PY47" s="172"/>
      <c r="PZ47" s="172"/>
      <c r="QA47" s="172"/>
      <c r="QB47" s="172"/>
      <c r="QC47" s="172"/>
      <c r="QD47" s="172"/>
      <c r="QE47" s="172"/>
      <c r="QF47" s="172"/>
      <c r="QG47" s="172"/>
      <c r="QH47" s="172"/>
      <c r="QI47" s="172"/>
      <c r="QJ47" s="172"/>
      <c r="QK47" s="172"/>
      <c r="QL47" s="172"/>
      <c r="QM47" s="172"/>
      <c r="QN47" s="172"/>
      <c r="QO47" s="172"/>
      <c r="QP47" s="172"/>
      <c r="QQ47" s="172"/>
      <c r="QR47" s="172"/>
      <c r="QS47" s="172"/>
      <c r="QT47" s="172"/>
      <c r="QU47" s="172"/>
      <c r="QV47" s="172"/>
      <c r="QW47" s="172"/>
      <c r="QX47" s="172"/>
      <c r="QY47" s="172"/>
      <c r="QZ47" s="172"/>
      <c r="RA47" s="172"/>
      <c r="RB47" s="172"/>
      <c r="RC47" s="172"/>
      <c r="RD47" s="172"/>
      <c r="RE47" s="172"/>
      <c r="RF47" s="172"/>
      <c r="RG47" s="172"/>
      <c r="RH47" s="172"/>
      <c r="RI47" s="172"/>
      <c r="RJ47" s="172"/>
      <c r="RK47" s="172"/>
      <c r="RL47" s="172"/>
      <c r="RM47" s="172"/>
      <c r="RN47" s="172"/>
      <c r="RO47" s="172"/>
      <c r="RP47" s="172"/>
      <c r="RQ47" s="172"/>
      <c r="RR47" s="172"/>
      <c r="RS47" s="172"/>
      <c r="RT47" s="172"/>
      <c r="RU47" s="172"/>
      <c r="RV47" s="172"/>
      <c r="RW47" s="172"/>
      <c r="RX47" s="172"/>
      <c r="RY47" s="172"/>
      <c r="RZ47" s="172"/>
      <c r="SA47" s="172"/>
      <c r="SB47" s="172"/>
      <c r="SC47" s="172"/>
      <c r="SD47" s="172"/>
      <c r="SE47" s="172"/>
      <c r="SF47" s="172"/>
      <c r="SG47" s="172"/>
      <c r="SH47" s="172"/>
      <c r="SI47" s="172"/>
      <c r="SJ47" s="172"/>
      <c r="SK47" s="172"/>
      <c r="SL47" s="172"/>
      <c r="SM47" s="172"/>
      <c r="SN47" s="172"/>
      <c r="SO47" s="172"/>
      <c r="SP47" s="172"/>
      <c r="SQ47" s="172"/>
      <c r="SR47" s="172"/>
      <c r="SS47" s="172"/>
      <c r="ST47" s="172"/>
      <c r="SU47" s="172"/>
      <c r="SV47" s="172"/>
      <c r="SW47" s="172"/>
      <c r="SX47" s="172"/>
      <c r="SY47" s="172"/>
      <c r="SZ47" s="172"/>
      <c r="TA47" s="172"/>
      <c r="TB47" s="172"/>
      <c r="TC47" s="172"/>
      <c r="TD47" s="172"/>
      <c r="TE47" s="172"/>
      <c r="TF47" s="172"/>
      <c r="TG47" s="172"/>
      <c r="TH47" s="172"/>
      <c r="TI47" s="172"/>
      <c r="TJ47" s="172"/>
      <c r="TK47" s="172"/>
      <c r="TL47" s="172"/>
      <c r="TM47" s="172"/>
      <c r="TN47" s="172"/>
      <c r="TO47" s="172"/>
      <c r="TP47" s="172"/>
      <c r="TQ47" s="172"/>
      <c r="TR47" s="172"/>
      <c r="TS47" s="172"/>
      <c r="TT47" s="172"/>
      <c r="TU47" s="172"/>
      <c r="TV47" s="172"/>
      <c r="TW47" s="172"/>
      <c r="TX47" s="172"/>
      <c r="TY47" s="172"/>
      <c r="TZ47" s="172"/>
      <c r="UA47" s="172"/>
      <c r="UB47" s="172"/>
      <c r="UC47" s="172"/>
      <c r="UD47" s="172"/>
      <c r="UE47" s="172"/>
      <c r="UF47" s="172"/>
      <c r="UG47" s="172"/>
      <c r="UH47" s="172"/>
      <c r="UI47" s="172"/>
      <c r="UJ47" s="172"/>
      <c r="UK47" s="172"/>
      <c r="UL47" s="172"/>
      <c r="UM47" s="172"/>
      <c r="UN47" s="172"/>
      <c r="UO47" s="172"/>
      <c r="UP47" s="172"/>
      <c r="UQ47" s="172"/>
      <c r="UR47" s="172"/>
      <c r="US47" s="172"/>
      <c r="UT47" s="172"/>
      <c r="UU47" s="172"/>
      <c r="UV47" s="172"/>
      <c r="UW47" s="172"/>
      <c r="UX47" s="172"/>
      <c r="UY47" s="172"/>
      <c r="UZ47" s="172"/>
      <c r="VA47" s="172"/>
      <c r="VB47" s="172"/>
      <c r="VC47" s="172"/>
      <c r="VD47" s="172"/>
      <c r="VE47" s="172"/>
      <c r="VF47" s="172"/>
      <c r="VG47" s="172"/>
      <c r="VH47" s="172"/>
      <c r="VI47" s="172"/>
      <c r="VJ47" s="172"/>
      <c r="VK47" s="172"/>
      <c r="VL47" s="172"/>
      <c r="VM47" s="172"/>
      <c r="VN47" s="172"/>
      <c r="VO47" s="172"/>
      <c r="VP47" s="172"/>
      <c r="VQ47" s="172"/>
      <c r="VR47" s="172"/>
      <c r="VS47" s="172"/>
      <c r="VT47" s="172"/>
      <c r="VU47" s="172"/>
      <c r="VV47" s="172"/>
      <c r="VW47" s="172"/>
      <c r="VX47" s="172"/>
      <c r="VY47" s="172"/>
      <c r="VZ47" s="172"/>
      <c r="WA47" s="172"/>
      <c r="WB47" s="172"/>
      <c r="WC47" s="172"/>
      <c r="WD47" s="172"/>
      <c r="WE47" s="172"/>
      <c r="WF47" s="172"/>
      <c r="WG47" s="172"/>
      <c r="WH47" s="172"/>
      <c r="WI47" s="172"/>
      <c r="WJ47" s="172"/>
      <c r="WK47" s="172"/>
      <c r="WL47" s="172"/>
      <c r="WM47" s="172"/>
      <c r="WN47" s="172"/>
      <c r="WO47" s="172"/>
      <c r="WP47" s="172"/>
      <c r="WQ47" s="172"/>
      <c r="WR47" s="172"/>
      <c r="WS47" s="172"/>
      <c r="WT47" s="172"/>
      <c r="WU47" s="172"/>
      <c r="WV47" s="172"/>
      <c r="WW47" s="172"/>
      <c r="WX47" s="172"/>
      <c r="WY47" s="172"/>
      <c r="WZ47" s="172"/>
      <c r="XA47" s="172"/>
      <c r="XB47" s="172"/>
      <c r="XC47" s="172"/>
      <c r="XD47" s="172"/>
      <c r="XE47" s="172"/>
      <c r="XF47" s="172"/>
      <c r="XG47" s="172"/>
      <c r="XH47" s="172"/>
      <c r="XI47" s="172"/>
      <c r="XJ47" s="172"/>
      <c r="XK47" s="172"/>
      <c r="XL47" s="172"/>
      <c r="XM47" s="172"/>
      <c r="XN47" s="172"/>
      <c r="XO47" s="172"/>
      <c r="XP47" s="172"/>
      <c r="XQ47" s="172"/>
      <c r="XR47" s="172"/>
      <c r="XS47" s="172"/>
      <c r="XT47" s="172"/>
      <c r="XU47" s="172"/>
      <c r="XV47" s="172"/>
      <c r="XW47" s="172"/>
      <c r="XX47" s="172"/>
      <c r="XY47" s="172"/>
      <c r="XZ47" s="172"/>
      <c r="YA47" s="172"/>
      <c r="YB47" s="172"/>
      <c r="YC47" s="172"/>
      <c r="YD47" s="172"/>
      <c r="YE47" s="172"/>
      <c r="YF47" s="172"/>
      <c r="YG47" s="172"/>
      <c r="YH47" s="172"/>
      <c r="YI47" s="172"/>
      <c r="YJ47" s="172"/>
      <c r="YK47" s="172"/>
      <c r="YL47" s="172"/>
      <c r="YM47" s="172"/>
      <c r="YN47" s="172"/>
      <c r="YO47" s="172"/>
      <c r="YP47" s="172"/>
      <c r="YQ47" s="172"/>
      <c r="YR47" s="172"/>
      <c r="YS47" s="172"/>
      <c r="YT47" s="172"/>
      <c r="YU47" s="172"/>
      <c r="YV47" s="172"/>
      <c r="YW47" s="172"/>
      <c r="YX47" s="172"/>
      <c r="YY47" s="172"/>
      <c r="YZ47" s="172"/>
      <c r="ZA47" s="172"/>
      <c r="ZB47" s="172"/>
      <c r="ZC47" s="172"/>
      <c r="ZD47" s="172"/>
      <c r="ZE47" s="172"/>
      <c r="ZF47" s="172"/>
      <c r="ZG47" s="172"/>
      <c r="ZH47" s="172"/>
      <c r="ZI47" s="172"/>
      <c r="ZJ47" s="172"/>
      <c r="ZK47" s="172"/>
      <c r="ZL47" s="172"/>
      <c r="ZM47" s="172"/>
      <c r="ZN47" s="172"/>
      <c r="ZO47" s="172"/>
      <c r="ZP47" s="172"/>
      <c r="ZQ47" s="172"/>
      <c r="ZR47" s="172"/>
      <c r="ZS47" s="172"/>
      <c r="ZT47" s="172"/>
      <c r="ZU47" s="172"/>
      <c r="ZV47" s="172"/>
      <c r="ZW47" s="172"/>
      <c r="ZX47" s="172"/>
      <c r="ZY47" s="172"/>
      <c r="ZZ47" s="172"/>
      <c r="AAA47" s="172"/>
      <c r="AAB47" s="172"/>
      <c r="AAC47" s="172"/>
      <c r="AAD47" s="172"/>
      <c r="AAE47" s="172"/>
      <c r="AAF47" s="172"/>
      <c r="AAG47" s="172"/>
      <c r="AAH47" s="172"/>
      <c r="AAI47" s="172"/>
      <c r="AAJ47" s="172"/>
      <c r="AAK47" s="172"/>
      <c r="AAL47" s="172"/>
      <c r="AAM47" s="172"/>
      <c r="AAN47" s="172"/>
      <c r="AAO47" s="172"/>
      <c r="AAP47" s="172"/>
      <c r="AAQ47" s="172"/>
      <c r="AAR47" s="172"/>
      <c r="AAS47" s="172"/>
      <c r="AAT47" s="172"/>
      <c r="AAU47" s="172"/>
      <c r="AAV47" s="172"/>
      <c r="AAW47" s="172"/>
      <c r="AAX47" s="172"/>
      <c r="AAY47" s="172"/>
      <c r="AAZ47" s="172"/>
      <c r="ABA47" s="172"/>
      <c r="ABB47" s="172"/>
      <c r="ABC47" s="172"/>
      <c r="ABD47" s="172"/>
      <c r="ABE47" s="172"/>
      <c r="ABF47" s="172"/>
      <c r="ABG47" s="172"/>
      <c r="ABH47" s="172"/>
      <c r="ABI47" s="172"/>
      <c r="ABJ47" s="172"/>
      <c r="ABK47" s="172"/>
      <c r="ABL47" s="172"/>
      <c r="ABM47" s="172"/>
      <c r="ABN47" s="172"/>
      <c r="ABO47" s="172"/>
      <c r="ABP47" s="172"/>
      <c r="ABQ47" s="172"/>
      <c r="ABR47" s="172"/>
      <c r="ABS47" s="172"/>
      <c r="ABT47" s="172"/>
      <c r="ABU47" s="172"/>
      <c r="ABV47" s="172"/>
      <c r="ABW47" s="172"/>
      <c r="ABX47" s="172"/>
      <c r="ABY47" s="172"/>
      <c r="ABZ47" s="172"/>
      <c r="ACA47" s="172"/>
      <c r="ACB47" s="172"/>
      <c r="ACC47" s="172"/>
      <c r="ACD47" s="172"/>
      <c r="ACE47" s="172"/>
      <c r="ACF47" s="172"/>
      <c r="ACG47" s="172"/>
      <c r="ACH47" s="172"/>
      <c r="ACI47" s="172"/>
      <c r="ACJ47" s="172"/>
      <c r="ACK47" s="172"/>
      <c r="ACL47" s="172"/>
      <c r="ACM47" s="172"/>
      <c r="ACN47" s="172"/>
      <c r="ACO47" s="172"/>
      <c r="ACP47" s="172"/>
      <c r="ACQ47" s="172"/>
      <c r="ACR47" s="172"/>
      <c r="ACS47" s="172"/>
      <c r="ACT47" s="172"/>
      <c r="ACU47" s="172"/>
      <c r="ACV47" s="172"/>
      <c r="ACW47" s="172"/>
      <c r="ACX47" s="172"/>
      <c r="ACY47" s="172"/>
      <c r="ACZ47" s="172"/>
      <c r="ADA47" s="172"/>
      <c r="ADB47" s="172"/>
      <c r="ADC47" s="172"/>
      <c r="ADD47" s="172"/>
      <c r="ADE47" s="172"/>
      <c r="ADF47" s="172"/>
      <c r="ADG47" s="172"/>
      <c r="ADH47" s="172"/>
      <c r="ADI47" s="172"/>
      <c r="ADJ47" s="172"/>
      <c r="ADK47" s="172"/>
      <c r="ADL47" s="172"/>
      <c r="ADM47" s="172"/>
      <c r="ADN47" s="172"/>
      <c r="ADO47" s="172"/>
      <c r="ADP47" s="172"/>
      <c r="ADQ47" s="172"/>
      <c r="ADR47" s="172"/>
      <c r="ADS47" s="172"/>
      <c r="ADT47" s="172"/>
      <c r="ADU47" s="172"/>
      <c r="ADV47" s="172"/>
      <c r="ADW47" s="172"/>
      <c r="ADX47" s="172"/>
      <c r="ADY47" s="172"/>
      <c r="ADZ47" s="172"/>
      <c r="AEA47" s="172"/>
      <c r="AEB47" s="172"/>
      <c r="AEC47" s="172"/>
      <c r="AED47" s="172"/>
      <c r="AEE47" s="172"/>
      <c r="AEF47" s="172"/>
      <c r="AEG47" s="172"/>
      <c r="AEH47" s="172"/>
      <c r="AEI47" s="172"/>
      <c r="AEJ47" s="172"/>
      <c r="AEK47" s="172"/>
      <c r="AEL47" s="172"/>
      <c r="AEM47" s="172"/>
      <c r="AEN47" s="172"/>
      <c r="AEO47" s="172"/>
      <c r="AEP47" s="172"/>
      <c r="AEQ47" s="172"/>
      <c r="AER47" s="172"/>
      <c r="AES47" s="172"/>
      <c r="AET47" s="172"/>
      <c r="AEU47" s="172"/>
      <c r="AEV47" s="172"/>
      <c r="AEW47" s="172"/>
      <c r="AEX47" s="172"/>
      <c r="AEY47" s="172"/>
      <c r="AEZ47" s="172"/>
      <c r="AFA47" s="172"/>
      <c r="AFB47" s="172"/>
      <c r="AFC47" s="172"/>
      <c r="AFD47" s="172"/>
      <c r="AFE47" s="172"/>
      <c r="AFF47" s="172"/>
      <c r="AFG47" s="172"/>
      <c r="AFH47" s="172"/>
      <c r="AFI47" s="172"/>
      <c r="AFJ47" s="172"/>
      <c r="AFK47" s="172"/>
      <c r="AFL47" s="172"/>
      <c r="AFM47" s="172"/>
      <c r="AFN47" s="172"/>
      <c r="AFO47" s="172"/>
      <c r="AFP47" s="172"/>
      <c r="AFQ47" s="172"/>
      <c r="AFR47" s="172"/>
      <c r="AFS47" s="172"/>
      <c r="AFT47" s="172"/>
      <c r="AFU47" s="172"/>
      <c r="AFV47" s="172"/>
      <c r="AFW47" s="172"/>
      <c r="AFX47" s="172"/>
      <c r="AFY47" s="172"/>
      <c r="AFZ47" s="172"/>
      <c r="AGA47" s="172"/>
      <c r="AGB47" s="172"/>
      <c r="AGC47" s="172"/>
      <c r="AGD47" s="172"/>
      <c r="AGE47" s="172"/>
      <c r="AGF47" s="172"/>
      <c r="AGG47" s="172"/>
      <c r="AGH47" s="172"/>
      <c r="AGI47" s="172"/>
      <c r="AGJ47" s="172"/>
      <c r="AGK47" s="172"/>
      <c r="AGL47" s="172"/>
      <c r="AGM47" s="172"/>
      <c r="AGN47" s="172"/>
      <c r="AGO47" s="172"/>
      <c r="AGP47" s="172"/>
      <c r="AGQ47" s="172"/>
      <c r="AGR47" s="172"/>
      <c r="AGS47" s="172"/>
      <c r="AGT47" s="172"/>
      <c r="AGU47" s="172"/>
      <c r="AGV47" s="172"/>
      <c r="AGW47" s="172"/>
      <c r="AGX47" s="172"/>
      <c r="AGY47" s="172"/>
      <c r="AGZ47" s="172"/>
      <c r="AHA47" s="172"/>
      <c r="AHB47" s="172"/>
      <c r="AHC47" s="172"/>
      <c r="AHD47" s="172"/>
      <c r="AHE47" s="172"/>
      <c r="AHF47" s="172"/>
      <c r="AHG47" s="172"/>
      <c r="AHH47" s="172"/>
      <c r="AHI47" s="172"/>
      <c r="AHJ47" s="172"/>
      <c r="AHK47" s="172"/>
      <c r="AHL47" s="172"/>
      <c r="AHM47" s="172"/>
      <c r="AHN47" s="172"/>
      <c r="AHO47" s="172"/>
      <c r="AHP47" s="172"/>
      <c r="AHQ47" s="172"/>
      <c r="AHR47" s="172"/>
      <c r="AHS47" s="172"/>
      <c r="AHT47" s="172"/>
      <c r="AHU47" s="172"/>
      <c r="AHV47" s="172"/>
      <c r="AHW47" s="172"/>
      <c r="AHX47" s="172"/>
      <c r="AHY47" s="172"/>
      <c r="AHZ47" s="172"/>
      <c r="AIA47" s="172"/>
      <c r="AIB47" s="172"/>
      <c r="AIC47" s="172"/>
      <c r="AID47" s="172"/>
      <c r="AIE47" s="172"/>
      <c r="AIF47" s="172"/>
      <c r="AIG47" s="172"/>
      <c r="AIH47" s="172"/>
      <c r="AII47" s="172"/>
      <c r="AIJ47" s="172"/>
      <c r="AIK47" s="172"/>
      <c r="AIL47" s="172"/>
      <c r="AIM47" s="172"/>
      <c r="AIN47" s="172"/>
      <c r="AIO47" s="172"/>
      <c r="AIP47" s="172"/>
      <c r="AIQ47" s="172"/>
      <c r="AIR47" s="172"/>
      <c r="AIS47" s="172"/>
      <c r="AIT47" s="172"/>
      <c r="AIU47" s="172"/>
      <c r="AIV47" s="172"/>
      <c r="AIW47" s="172"/>
      <c r="AIX47" s="172"/>
      <c r="AIY47" s="172"/>
      <c r="AIZ47" s="172"/>
      <c r="AJA47" s="172"/>
      <c r="AJB47" s="172"/>
      <c r="AJC47" s="172"/>
      <c r="AJD47" s="172"/>
      <c r="AJE47" s="172"/>
      <c r="AJF47" s="172"/>
      <c r="AJG47" s="172"/>
      <c r="AJH47" s="172"/>
      <c r="AJI47" s="172"/>
      <c r="AJJ47" s="172"/>
      <c r="AJK47" s="172"/>
      <c r="AJL47" s="172"/>
      <c r="AJM47" s="172"/>
      <c r="AJN47" s="172"/>
      <c r="AJO47" s="172"/>
      <c r="AJP47" s="172"/>
      <c r="AJQ47" s="172"/>
      <c r="AJR47" s="172"/>
      <c r="AJS47" s="172"/>
      <c r="AJT47" s="172"/>
      <c r="AJU47" s="172"/>
      <c r="AJV47" s="172"/>
      <c r="AJW47" s="172"/>
      <c r="AJX47" s="172"/>
      <c r="AJY47" s="172"/>
      <c r="AJZ47" s="172"/>
      <c r="AKA47" s="172"/>
      <c r="AKB47" s="172"/>
      <c r="AKC47" s="172"/>
      <c r="AKD47" s="172"/>
      <c r="AKE47" s="172"/>
      <c r="AKF47" s="172"/>
      <c r="AKG47" s="172"/>
      <c r="AKH47" s="172"/>
      <c r="AKI47" s="172"/>
      <c r="AKJ47" s="172"/>
      <c r="AKK47" s="172"/>
      <c r="AKL47" s="172"/>
      <c r="AKM47" s="172"/>
      <c r="AKN47" s="172"/>
      <c r="AKO47" s="172"/>
      <c r="AKP47" s="172"/>
      <c r="AKQ47" s="172"/>
      <c r="AKR47" s="172"/>
      <c r="AKS47" s="172"/>
      <c r="AKT47" s="172"/>
      <c r="AKU47" s="172"/>
      <c r="AKV47" s="172"/>
      <c r="AKW47" s="172"/>
      <c r="AKX47" s="172"/>
      <c r="AKY47" s="172"/>
      <c r="AKZ47" s="172"/>
      <c r="ALA47" s="172"/>
      <c r="ALB47" s="172"/>
      <c r="ALC47" s="172"/>
      <c r="ALD47" s="172"/>
      <c r="ALE47" s="172"/>
      <c r="ALF47" s="172"/>
      <c r="ALG47" s="172"/>
      <c r="ALH47" s="172"/>
      <c r="ALI47" s="172"/>
      <c r="ALJ47" s="172"/>
      <c r="ALK47" s="172"/>
      <c r="ALL47" s="172"/>
      <c r="ALM47" s="172"/>
      <c r="ALN47" s="172"/>
      <c r="ALO47" s="172"/>
      <c r="ALP47" s="172"/>
      <c r="ALQ47" s="172"/>
      <c r="ALR47" s="172"/>
      <c r="ALS47" s="172"/>
      <c r="ALT47" s="172"/>
      <c r="ALU47" s="172"/>
      <c r="ALV47" s="172"/>
      <c r="ALW47" s="172"/>
      <c r="ALX47" s="172"/>
      <c r="ALY47" s="172"/>
      <c r="ALZ47" s="172"/>
      <c r="AMA47" s="172"/>
      <c r="AMB47" s="172"/>
      <c r="AMC47" s="172"/>
      <c r="AMD47" s="172"/>
      <c r="AME47" s="158"/>
    </row>
    <row r="48" spans="1:1019" s="174" customFormat="1">
      <c r="A48" s="173"/>
      <c r="B48" s="183">
        <v>2</v>
      </c>
      <c r="C48" s="173" t="s">
        <v>1037</v>
      </c>
      <c r="D48" s="179">
        <f>SUM(D6:D47)</f>
        <v>80998240</v>
      </c>
      <c r="E48" s="179">
        <f t="shared" ref="E48:Z48" si="1">SUM(E6:E47)</f>
        <v>80238000</v>
      </c>
      <c r="F48" s="179">
        <f t="shared" si="1"/>
        <v>760240</v>
      </c>
      <c r="G48" s="179">
        <f t="shared" si="1"/>
        <v>50517154</v>
      </c>
      <c r="H48" s="179">
        <f t="shared" si="1"/>
        <v>34727343.75</v>
      </c>
      <c r="I48" s="179">
        <f t="shared" si="1"/>
        <v>3507233.76</v>
      </c>
      <c r="J48" s="179">
        <f t="shared" si="1"/>
        <v>2643263.81</v>
      </c>
      <c r="K48" s="179">
        <f t="shared" si="1"/>
        <v>6150497.5699999994</v>
      </c>
      <c r="L48" s="179">
        <f t="shared" si="1"/>
        <v>40877841.319999993</v>
      </c>
      <c r="M48" s="179">
        <f t="shared" si="1"/>
        <v>5155312.6799999988</v>
      </c>
      <c r="N48" s="179">
        <f t="shared" si="1"/>
        <v>8730000</v>
      </c>
      <c r="O48" s="179">
        <f t="shared" si="1"/>
        <v>26235086</v>
      </c>
      <c r="P48" s="179">
        <f t="shared" si="1"/>
        <v>9639312.6799999997</v>
      </c>
      <c r="Q48" s="179">
        <f t="shared" si="1"/>
        <v>0</v>
      </c>
      <c r="R48" s="179">
        <f t="shared" si="1"/>
        <v>0</v>
      </c>
      <c r="S48" s="179">
        <f t="shared" si="1"/>
        <v>0</v>
      </c>
      <c r="T48" s="179">
        <f t="shared" si="1"/>
        <v>4484000</v>
      </c>
      <c r="U48" s="179">
        <f t="shared" si="1"/>
        <v>4246000</v>
      </c>
      <c r="V48" s="179">
        <f t="shared" si="1"/>
        <v>4246000</v>
      </c>
      <c r="W48" s="179">
        <f t="shared" si="1"/>
        <v>0</v>
      </c>
      <c r="X48" s="179">
        <f t="shared" si="1"/>
        <v>0</v>
      </c>
      <c r="Y48" s="179">
        <f t="shared" si="1"/>
        <v>0</v>
      </c>
      <c r="Z48" s="179">
        <f t="shared" si="1"/>
        <v>0</v>
      </c>
      <c r="AA48" s="180"/>
      <c r="AB48" s="157"/>
      <c r="AC48" s="157"/>
      <c r="AD48" s="157"/>
      <c r="AE48" s="157"/>
      <c r="AME48" s="158"/>
    </row>
    <row r="49" spans="1:1019" s="174" customFormat="1" ht="15" customHeight="1">
      <c r="A49" s="168"/>
      <c r="B49" s="175"/>
      <c r="C49" s="175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659"/>
      <c r="AB49" s="157"/>
      <c r="AC49" s="157"/>
      <c r="AD49" s="157"/>
      <c r="AE49" s="157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  <c r="IM49" s="160"/>
      <c r="IN49" s="160"/>
      <c r="IO49" s="160"/>
      <c r="IP49" s="160"/>
      <c r="IQ49" s="160"/>
      <c r="IR49" s="160"/>
      <c r="IS49" s="160"/>
      <c r="IT49" s="160"/>
      <c r="IU49" s="160"/>
      <c r="IV49" s="160"/>
      <c r="IW49" s="160"/>
      <c r="IX49" s="160"/>
      <c r="IY49" s="160"/>
      <c r="IZ49" s="160"/>
      <c r="JA49" s="160"/>
      <c r="JB49" s="160"/>
      <c r="JC49" s="160"/>
      <c r="JD49" s="160"/>
      <c r="JE49" s="160"/>
      <c r="JF49" s="160"/>
      <c r="JG49" s="160"/>
      <c r="JH49" s="160"/>
      <c r="JI49" s="160"/>
      <c r="JJ49" s="160"/>
      <c r="JK49" s="160"/>
      <c r="JL49" s="160"/>
      <c r="JM49" s="160"/>
      <c r="JN49" s="160"/>
      <c r="JO49" s="160"/>
      <c r="JP49" s="160"/>
      <c r="JQ49" s="160"/>
      <c r="JR49" s="160"/>
      <c r="JS49" s="160"/>
      <c r="JT49" s="160"/>
      <c r="JU49" s="160"/>
      <c r="JV49" s="160"/>
      <c r="JW49" s="160"/>
      <c r="JX49" s="160"/>
      <c r="JY49" s="160"/>
      <c r="JZ49" s="160"/>
      <c r="KA49" s="160"/>
      <c r="KB49" s="160"/>
      <c r="KC49" s="160"/>
      <c r="KD49" s="160"/>
      <c r="KE49" s="160"/>
      <c r="KF49" s="160"/>
      <c r="KG49" s="160"/>
      <c r="KH49" s="160"/>
      <c r="KI49" s="160"/>
      <c r="KJ49" s="160"/>
      <c r="KK49" s="160"/>
      <c r="KL49" s="160"/>
      <c r="KM49" s="160"/>
      <c r="KN49" s="160"/>
      <c r="KO49" s="160"/>
      <c r="KP49" s="160"/>
      <c r="KQ49" s="160"/>
      <c r="KR49" s="160"/>
      <c r="KS49" s="160"/>
      <c r="KT49" s="160"/>
      <c r="KU49" s="160"/>
      <c r="KV49" s="160"/>
      <c r="KW49" s="160"/>
      <c r="KX49" s="160"/>
      <c r="KY49" s="160"/>
      <c r="KZ49" s="160"/>
      <c r="LA49" s="160"/>
      <c r="LB49" s="160"/>
      <c r="LC49" s="160"/>
      <c r="LD49" s="160"/>
      <c r="LE49" s="160"/>
      <c r="LF49" s="160"/>
      <c r="LG49" s="160"/>
      <c r="LH49" s="160"/>
      <c r="LI49" s="160"/>
      <c r="LJ49" s="160"/>
      <c r="LK49" s="160"/>
      <c r="LL49" s="160"/>
      <c r="LM49" s="160"/>
      <c r="LN49" s="160"/>
      <c r="LO49" s="160"/>
      <c r="LP49" s="160"/>
      <c r="LQ49" s="160"/>
      <c r="LR49" s="160"/>
      <c r="LS49" s="160"/>
      <c r="LT49" s="160"/>
      <c r="LU49" s="160"/>
      <c r="LV49" s="160"/>
      <c r="LW49" s="160"/>
      <c r="LX49" s="160"/>
      <c r="LY49" s="160"/>
      <c r="LZ49" s="160"/>
      <c r="MA49" s="160"/>
      <c r="MB49" s="160"/>
      <c r="MC49" s="160"/>
      <c r="MD49" s="160"/>
      <c r="ME49" s="160"/>
      <c r="MF49" s="160"/>
      <c r="MG49" s="160"/>
      <c r="MH49" s="160"/>
      <c r="MI49" s="160"/>
      <c r="MJ49" s="160"/>
      <c r="MK49" s="160"/>
      <c r="ML49" s="160"/>
      <c r="MM49" s="160"/>
      <c r="MN49" s="160"/>
      <c r="MO49" s="160"/>
      <c r="MP49" s="160"/>
      <c r="MQ49" s="160"/>
      <c r="MR49" s="160"/>
      <c r="MS49" s="160"/>
      <c r="MT49" s="160"/>
      <c r="MU49" s="160"/>
      <c r="MV49" s="160"/>
      <c r="MW49" s="160"/>
      <c r="MX49" s="160"/>
      <c r="MY49" s="160"/>
      <c r="MZ49" s="160"/>
      <c r="NA49" s="160"/>
      <c r="NB49" s="160"/>
      <c r="NC49" s="160"/>
      <c r="ND49" s="160"/>
      <c r="NE49" s="160"/>
      <c r="NF49" s="160"/>
      <c r="NG49" s="160"/>
      <c r="NH49" s="160"/>
      <c r="NI49" s="160"/>
      <c r="NJ49" s="160"/>
      <c r="NK49" s="160"/>
      <c r="NL49" s="160"/>
      <c r="NM49" s="160"/>
      <c r="NN49" s="160"/>
      <c r="NO49" s="160"/>
      <c r="NP49" s="160"/>
      <c r="NQ49" s="160"/>
      <c r="NR49" s="160"/>
      <c r="NS49" s="160"/>
      <c r="NT49" s="160"/>
      <c r="NU49" s="160"/>
      <c r="NV49" s="160"/>
      <c r="NW49" s="160"/>
      <c r="NX49" s="160"/>
      <c r="NY49" s="160"/>
      <c r="NZ49" s="160"/>
      <c r="OA49" s="160"/>
      <c r="OB49" s="160"/>
      <c r="OC49" s="160"/>
      <c r="OD49" s="160"/>
      <c r="OE49" s="160"/>
      <c r="OF49" s="160"/>
      <c r="OG49" s="160"/>
      <c r="OH49" s="160"/>
      <c r="OI49" s="160"/>
      <c r="OJ49" s="160"/>
      <c r="OK49" s="160"/>
      <c r="OL49" s="160"/>
      <c r="OM49" s="160"/>
      <c r="ON49" s="160"/>
      <c r="OO49" s="160"/>
      <c r="OP49" s="160"/>
      <c r="OQ49" s="160"/>
      <c r="OR49" s="160"/>
      <c r="OS49" s="160"/>
      <c r="OT49" s="160"/>
      <c r="OU49" s="160"/>
      <c r="OV49" s="160"/>
      <c r="OW49" s="160"/>
      <c r="OX49" s="160"/>
      <c r="OY49" s="160"/>
      <c r="OZ49" s="160"/>
      <c r="PA49" s="160"/>
      <c r="PB49" s="160"/>
      <c r="PC49" s="160"/>
      <c r="PD49" s="160"/>
      <c r="PE49" s="160"/>
      <c r="PF49" s="160"/>
      <c r="PG49" s="160"/>
      <c r="PH49" s="160"/>
      <c r="PI49" s="160"/>
      <c r="PJ49" s="160"/>
      <c r="PK49" s="160"/>
      <c r="PL49" s="160"/>
      <c r="PM49" s="160"/>
      <c r="PN49" s="160"/>
      <c r="PO49" s="160"/>
      <c r="PP49" s="160"/>
      <c r="PQ49" s="160"/>
      <c r="PR49" s="160"/>
      <c r="PS49" s="160"/>
      <c r="PT49" s="160"/>
      <c r="PU49" s="160"/>
      <c r="PV49" s="160"/>
      <c r="PW49" s="160"/>
      <c r="PX49" s="160"/>
      <c r="PY49" s="160"/>
      <c r="PZ49" s="160"/>
      <c r="QA49" s="160"/>
      <c r="QB49" s="160"/>
      <c r="QC49" s="160"/>
      <c r="QD49" s="160"/>
      <c r="QE49" s="160"/>
      <c r="QF49" s="160"/>
      <c r="QG49" s="160"/>
      <c r="QH49" s="160"/>
      <c r="QI49" s="160"/>
      <c r="QJ49" s="160"/>
      <c r="QK49" s="160"/>
      <c r="QL49" s="160"/>
      <c r="QM49" s="160"/>
      <c r="QN49" s="160"/>
      <c r="QO49" s="160"/>
      <c r="QP49" s="160"/>
      <c r="QQ49" s="160"/>
      <c r="QR49" s="160"/>
      <c r="QS49" s="160"/>
      <c r="QT49" s="160"/>
      <c r="QU49" s="160"/>
      <c r="QV49" s="160"/>
      <c r="QW49" s="160"/>
      <c r="QX49" s="160"/>
      <c r="QY49" s="160"/>
      <c r="QZ49" s="160"/>
      <c r="RA49" s="160"/>
      <c r="RB49" s="160"/>
      <c r="RC49" s="160"/>
      <c r="RD49" s="160"/>
      <c r="RE49" s="160"/>
      <c r="RF49" s="160"/>
      <c r="RG49" s="160"/>
      <c r="RH49" s="160"/>
      <c r="RI49" s="160"/>
      <c r="RJ49" s="160"/>
      <c r="RK49" s="160"/>
      <c r="RL49" s="160"/>
      <c r="RM49" s="160"/>
      <c r="RN49" s="160"/>
      <c r="RO49" s="160"/>
      <c r="RP49" s="160"/>
      <c r="RQ49" s="160"/>
      <c r="RR49" s="160"/>
      <c r="RS49" s="160"/>
      <c r="RT49" s="160"/>
      <c r="RU49" s="160"/>
      <c r="RV49" s="160"/>
      <c r="RW49" s="160"/>
      <c r="RX49" s="160"/>
      <c r="RY49" s="160"/>
      <c r="RZ49" s="160"/>
      <c r="SA49" s="160"/>
      <c r="SB49" s="160"/>
      <c r="SC49" s="160"/>
      <c r="SD49" s="160"/>
      <c r="SE49" s="160"/>
      <c r="SF49" s="160"/>
      <c r="SG49" s="160"/>
      <c r="SH49" s="160"/>
      <c r="SI49" s="160"/>
      <c r="SJ49" s="160"/>
      <c r="SK49" s="160"/>
      <c r="SL49" s="160"/>
      <c r="SM49" s="160"/>
      <c r="SN49" s="160"/>
      <c r="SO49" s="160"/>
      <c r="SP49" s="160"/>
      <c r="SQ49" s="160"/>
      <c r="SR49" s="160"/>
      <c r="SS49" s="160"/>
      <c r="ST49" s="160"/>
      <c r="SU49" s="160"/>
      <c r="SV49" s="160"/>
      <c r="SW49" s="160"/>
      <c r="SX49" s="160"/>
      <c r="SY49" s="160"/>
      <c r="SZ49" s="160"/>
      <c r="TA49" s="160"/>
      <c r="TB49" s="160"/>
      <c r="TC49" s="160"/>
      <c r="TD49" s="160"/>
      <c r="TE49" s="160"/>
      <c r="TF49" s="160"/>
      <c r="TG49" s="160"/>
      <c r="TH49" s="160"/>
      <c r="TI49" s="160"/>
      <c r="TJ49" s="160"/>
      <c r="TK49" s="160"/>
      <c r="TL49" s="160"/>
      <c r="TM49" s="160"/>
      <c r="TN49" s="160"/>
      <c r="TO49" s="160"/>
      <c r="TP49" s="160"/>
      <c r="TQ49" s="160"/>
      <c r="TR49" s="160"/>
      <c r="TS49" s="160"/>
      <c r="TT49" s="160"/>
      <c r="TU49" s="160"/>
      <c r="TV49" s="160"/>
      <c r="TW49" s="160"/>
      <c r="TX49" s="160"/>
      <c r="TY49" s="160"/>
      <c r="TZ49" s="160"/>
      <c r="UA49" s="160"/>
      <c r="UB49" s="160"/>
      <c r="UC49" s="160"/>
      <c r="UD49" s="160"/>
      <c r="UE49" s="160"/>
      <c r="UF49" s="160"/>
      <c r="UG49" s="160"/>
      <c r="UH49" s="160"/>
      <c r="UI49" s="160"/>
      <c r="UJ49" s="160"/>
      <c r="UK49" s="160"/>
      <c r="UL49" s="160"/>
      <c r="UM49" s="160"/>
      <c r="UN49" s="160"/>
      <c r="UO49" s="160"/>
      <c r="UP49" s="160"/>
      <c r="UQ49" s="160"/>
      <c r="UR49" s="160"/>
      <c r="US49" s="160"/>
      <c r="UT49" s="160"/>
      <c r="UU49" s="160"/>
      <c r="UV49" s="160"/>
      <c r="UW49" s="160"/>
      <c r="UX49" s="160"/>
      <c r="UY49" s="160"/>
      <c r="UZ49" s="160"/>
      <c r="VA49" s="160"/>
      <c r="VB49" s="160"/>
      <c r="VC49" s="160"/>
      <c r="VD49" s="160"/>
      <c r="VE49" s="160"/>
      <c r="VF49" s="160"/>
      <c r="VG49" s="160"/>
      <c r="VH49" s="160"/>
      <c r="VI49" s="160"/>
      <c r="VJ49" s="160"/>
      <c r="VK49" s="160"/>
      <c r="VL49" s="160"/>
      <c r="VM49" s="160"/>
      <c r="VN49" s="160"/>
      <c r="VO49" s="160"/>
      <c r="VP49" s="160"/>
      <c r="VQ49" s="160"/>
      <c r="VR49" s="160"/>
      <c r="VS49" s="160"/>
      <c r="VT49" s="160"/>
      <c r="VU49" s="160"/>
      <c r="VV49" s="160"/>
      <c r="VW49" s="160"/>
      <c r="VX49" s="160"/>
      <c r="VY49" s="160"/>
      <c r="VZ49" s="160"/>
      <c r="WA49" s="160"/>
      <c r="WB49" s="160"/>
      <c r="WC49" s="160"/>
      <c r="WD49" s="160"/>
      <c r="WE49" s="160"/>
      <c r="WF49" s="160"/>
      <c r="WG49" s="160"/>
      <c r="WH49" s="160"/>
      <c r="WI49" s="160"/>
      <c r="WJ49" s="160"/>
      <c r="WK49" s="160"/>
      <c r="WL49" s="160"/>
      <c r="WM49" s="160"/>
      <c r="WN49" s="160"/>
      <c r="WO49" s="160"/>
      <c r="WP49" s="160"/>
      <c r="WQ49" s="160"/>
      <c r="WR49" s="160"/>
      <c r="WS49" s="160"/>
      <c r="WT49" s="160"/>
      <c r="WU49" s="160"/>
      <c r="WV49" s="160"/>
      <c r="WW49" s="160"/>
      <c r="WX49" s="160"/>
      <c r="WY49" s="160"/>
      <c r="WZ49" s="160"/>
      <c r="XA49" s="160"/>
      <c r="XB49" s="160"/>
      <c r="XC49" s="160"/>
      <c r="XD49" s="160"/>
      <c r="XE49" s="160"/>
      <c r="XF49" s="160"/>
      <c r="XG49" s="160"/>
      <c r="XH49" s="160"/>
      <c r="XI49" s="160"/>
      <c r="XJ49" s="160"/>
      <c r="XK49" s="160"/>
      <c r="XL49" s="160"/>
      <c r="XM49" s="160"/>
      <c r="XN49" s="160"/>
      <c r="XO49" s="160"/>
      <c r="XP49" s="160"/>
      <c r="XQ49" s="160"/>
      <c r="XR49" s="160"/>
      <c r="XS49" s="160"/>
      <c r="XT49" s="160"/>
      <c r="XU49" s="160"/>
      <c r="XV49" s="160"/>
      <c r="XW49" s="160"/>
      <c r="XX49" s="160"/>
      <c r="XY49" s="160"/>
      <c r="XZ49" s="160"/>
      <c r="YA49" s="160"/>
      <c r="YB49" s="160"/>
      <c r="YC49" s="160"/>
      <c r="YD49" s="160"/>
      <c r="YE49" s="160"/>
      <c r="YF49" s="160"/>
      <c r="YG49" s="160"/>
      <c r="YH49" s="160"/>
      <c r="YI49" s="160"/>
      <c r="YJ49" s="160"/>
      <c r="YK49" s="160"/>
      <c r="YL49" s="160"/>
      <c r="YM49" s="160"/>
      <c r="YN49" s="160"/>
      <c r="YO49" s="160"/>
      <c r="YP49" s="160"/>
      <c r="YQ49" s="160"/>
      <c r="YR49" s="160"/>
      <c r="YS49" s="160"/>
      <c r="YT49" s="160"/>
      <c r="YU49" s="160"/>
      <c r="YV49" s="160"/>
      <c r="YW49" s="160"/>
      <c r="YX49" s="160"/>
      <c r="YY49" s="160"/>
      <c r="YZ49" s="160"/>
      <c r="ZA49" s="160"/>
      <c r="ZB49" s="160"/>
      <c r="ZC49" s="160"/>
      <c r="ZD49" s="160"/>
      <c r="ZE49" s="160"/>
      <c r="ZF49" s="160"/>
      <c r="ZG49" s="160"/>
      <c r="ZH49" s="160"/>
      <c r="ZI49" s="160"/>
      <c r="ZJ49" s="160"/>
      <c r="ZK49" s="160"/>
      <c r="ZL49" s="160"/>
      <c r="ZM49" s="160"/>
      <c r="ZN49" s="160"/>
      <c r="ZO49" s="160"/>
      <c r="ZP49" s="160"/>
      <c r="ZQ49" s="160"/>
      <c r="ZR49" s="160"/>
      <c r="ZS49" s="160"/>
      <c r="ZT49" s="160"/>
      <c r="ZU49" s="160"/>
      <c r="ZV49" s="160"/>
      <c r="ZW49" s="160"/>
      <c r="ZX49" s="160"/>
      <c r="ZY49" s="160"/>
      <c r="ZZ49" s="160"/>
      <c r="AAA49" s="160"/>
      <c r="AAB49" s="160"/>
      <c r="AAC49" s="160"/>
      <c r="AAD49" s="160"/>
      <c r="AAE49" s="160"/>
      <c r="AAF49" s="160"/>
      <c r="AAG49" s="160"/>
      <c r="AAH49" s="160"/>
      <c r="AAI49" s="160"/>
      <c r="AAJ49" s="160"/>
      <c r="AAK49" s="160"/>
      <c r="AAL49" s="160"/>
      <c r="AAM49" s="160"/>
      <c r="AAN49" s="160"/>
      <c r="AAO49" s="160"/>
      <c r="AAP49" s="160"/>
      <c r="AAQ49" s="160"/>
      <c r="AAR49" s="160"/>
      <c r="AAS49" s="160"/>
      <c r="AAT49" s="160"/>
      <c r="AAU49" s="160"/>
      <c r="AAV49" s="160"/>
      <c r="AAW49" s="160"/>
      <c r="AAX49" s="160"/>
      <c r="AAY49" s="160"/>
      <c r="AAZ49" s="160"/>
      <c r="ABA49" s="160"/>
      <c r="ABB49" s="160"/>
      <c r="ABC49" s="160"/>
      <c r="ABD49" s="160"/>
      <c r="ABE49" s="160"/>
      <c r="ABF49" s="160"/>
      <c r="ABG49" s="160"/>
      <c r="ABH49" s="160"/>
      <c r="ABI49" s="160"/>
      <c r="ABJ49" s="160"/>
      <c r="ABK49" s="160"/>
      <c r="ABL49" s="160"/>
      <c r="ABM49" s="160"/>
      <c r="ABN49" s="160"/>
      <c r="ABO49" s="160"/>
      <c r="ABP49" s="160"/>
      <c r="ABQ49" s="160"/>
      <c r="ABR49" s="160"/>
      <c r="ABS49" s="160"/>
      <c r="ABT49" s="160"/>
      <c r="ABU49" s="160"/>
      <c r="ABV49" s="160"/>
      <c r="ABW49" s="160"/>
      <c r="ABX49" s="160"/>
      <c r="ABY49" s="160"/>
      <c r="ABZ49" s="160"/>
      <c r="ACA49" s="160"/>
      <c r="ACB49" s="160"/>
      <c r="ACC49" s="160"/>
      <c r="ACD49" s="160"/>
      <c r="ACE49" s="160"/>
      <c r="ACF49" s="160"/>
      <c r="ACG49" s="160"/>
      <c r="ACH49" s="160"/>
      <c r="ACI49" s="160"/>
      <c r="ACJ49" s="160"/>
      <c r="ACK49" s="160"/>
      <c r="ACL49" s="160"/>
      <c r="ACM49" s="160"/>
      <c r="ACN49" s="160"/>
      <c r="ACO49" s="160"/>
      <c r="ACP49" s="160"/>
      <c r="ACQ49" s="160"/>
      <c r="ACR49" s="160"/>
      <c r="ACS49" s="160"/>
      <c r="ACT49" s="160"/>
      <c r="ACU49" s="160"/>
      <c r="ACV49" s="160"/>
      <c r="ACW49" s="160"/>
      <c r="ACX49" s="160"/>
      <c r="ACY49" s="160"/>
      <c r="ACZ49" s="160"/>
      <c r="ADA49" s="160"/>
      <c r="ADB49" s="160"/>
      <c r="ADC49" s="160"/>
      <c r="ADD49" s="160"/>
      <c r="ADE49" s="160"/>
      <c r="ADF49" s="160"/>
      <c r="ADG49" s="160"/>
      <c r="ADH49" s="160"/>
      <c r="ADI49" s="160"/>
      <c r="ADJ49" s="160"/>
      <c r="ADK49" s="160"/>
      <c r="ADL49" s="160"/>
      <c r="ADM49" s="160"/>
      <c r="ADN49" s="160"/>
      <c r="ADO49" s="160"/>
      <c r="ADP49" s="160"/>
      <c r="ADQ49" s="160"/>
      <c r="ADR49" s="160"/>
      <c r="ADS49" s="160"/>
      <c r="ADT49" s="160"/>
      <c r="ADU49" s="160"/>
      <c r="ADV49" s="160"/>
      <c r="ADW49" s="160"/>
      <c r="ADX49" s="160"/>
      <c r="ADY49" s="160"/>
      <c r="ADZ49" s="160"/>
      <c r="AEA49" s="160"/>
      <c r="AEB49" s="160"/>
      <c r="AEC49" s="160"/>
      <c r="AED49" s="160"/>
      <c r="AEE49" s="160"/>
      <c r="AEF49" s="160"/>
      <c r="AEG49" s="160"/>
      <c r="AEH49" s="160"/>
      <c r="AEI49" s="160"/>
      <c r="AEJ49" s="160"/>
      <c r="AEK49" s="160"/>
      <c r="AEL49" s="160"/>
      <c r="AEM49" s="160"/>
      <c r="AEN49" s="160"/>
      <c r="AEO49" s="160"/>
      <c r="AEP49" s="160"/>
      <c r="AEQ49" s="160"/>
      <c r="AER49" s="160"/>
      <c r="AES49" s="160"/>
      <c r="AET49" s="160"/>
      <c r="AEU49" s="160"/>
      <c r="AEV49" s="160"/>
      <c r="AEW49" s="160"/>
      <c r="AEX49" s="160"/>
      <c r="AEY49" s="160"/>
      <c r="AEZ49" s="160"/>
      <c r="AFA49" s="160"/>
      <c r="AFB49" s="160"/>
      <c r="AFC49" s="160"/>
      <c r="AFD49" s="160"/>
      <c r="AFE49" s="160"/>
      <c r="AFF49" s="160"/>
      <c r="AFG49" s="160"/>
      <c r="AFH49" s="160"/>
      <c r="AFI49" s="160"/>
      <c r="AFJ49" s="160"/>
      <c r="AFK49" s="160"/>
      <c r="AFL49" s="160"/>
      <c r="AFM49" s="160"/>
      <c r="AFN49" s="160"/>
      <c r="AFO49" s="160"/>
      <c r="AFP49" s="160"/>
      <c r="AFQ49" s="160"/>
      <c r="AFR49" s="160"/>
      <c r="AFS49" s="160"/>
      <c r="AFT49" s="160"/>
      <c r="AFU49" s="160"/>
      <c r="AFV49" s="160"/>
      <c r="AFW49" s="160"/>
      <c r="AFX49" s="160"/>
      <c r="AFY49" s="160"/>
      <c r="AFZ49" s="160"/>
      <c r="AGA49" s="160"/>
      <c r="AGB49" s="160"/>
      <c r="AGC49" s="160"/>
      <c r="AGD49" s="160"/>
      <c r="AGE49" s="160"/>
      <c r="AGF49" s="160"/>
      <c r="AGG49" s="160"/>
      <c r="AGH49" s="160"/>
      <c r="AGI49" s="160"/>
      <c r="AGJ49" s="160"/>
      <c r="AGK49" s="160"/>
      <c r="AGL49" s="160"/>
      <c r="AGM49" s="160"/>
      <c r="AGN49" s="160"/>
      <c r="AGO49" s="160"/>
      <c r="AGP49" s="160"/>
      <c r="AGQ49" s="160"/>
      <c r="AGR49" s="160"/>
      <c r="AGS49" s="160"/>
      <c r="AGT49" s="160"/>
      <c r="AGU49" s="160"/>
      <c r="AGV49" s="160"/>
      <c r="AGW49" s="160"/>
      <c r="AGX49" s="160"/>
      <c r="AGY49" s="160"/>
      <c r="AGZ49" s="160"/>
      <c r="AHA49" s="160"/>
      <c r="AHB49" s="160"/>
      <c r="AHC49" s="160"/>
      <c r="AHD49" s="160"/>
      <c r="AHE49" s="160"/>
      <c r="AHF49" s="160"/>
      <c r="AHG49" s="160"/>
      <c r="AHH49" s="160"/>
      <c r="AHI49" s="160"/>
      <c r="AHJ49" s="160"/>
      <c r="AHK49" s="160"/>
      <c r="AHL49" s="160"/>
      <c r="AHM49" s="160"/>
      <c r="AHN49" s="160"/>
      <c r="AHO49" s="160"/>
      <c r="AHP49" s="160"/>
      <c r="AHQ49" s="160"/>
      <c r="AHR49" s="160"/>
      <c r="AHS49" s="160"/>
      <c r="AHT49" s="160"/>
      <c r="AHU49" s="160"/>
      <c r="AHV49" s="160"/>
      <c r="AHW49" s="160"/>
      <c r="AHX49" s="160"/>
      <c r="AHY49" s="160"/>
      <c r="AHZ49" s="160"/>
      <c r="AIA49" s="160"/>
      <c r="AIB49" s="160"/>
      <c r="AIC49" s="160"/>
      <c r="AID49" s="160"/>
      <c r="AIE49" s="160"/>
      <c r="AIF49" s="160"/>
      <c r="AIG49" s="160"/>
      <c r="AIH49" s="160"/>
      <c r="AII49" s="160"/>
      <c r="AIJ49" s="160"/>
      <c r="AIK49" s="160"/>
      <c r="AIL49" s="160"/>
      <c r="AIM49" s="160"/>
      <c r="AIN49" s="160"/>
      <c r="AIO49" s="160"/>
      <c r="AIP49" s="160"/>
      <c r="AIQ49" s="160"/>
      <c r="AIR49" s="160"/>
      <c r="AIS49" s="160"/>
      <c r="AIT49" s="160"/>
      <c r="AIU49" s="160"/>
      <c r="AIV49" s="160"/>
      <c r="AIW49" s="160"/>
      <c r="AIX49" s="160"/>
      <c r="AIY49" s="160"/>
      <c r="AIZ49" s="160"/>
      <c r="AJA49" s="160"/>
      <c r="AJB49" s="160"/>
      <c r="AJC49" s="160"/>
      <c r="AJD49" s="160"/>
      <c r="AJE49" s="160"/>
      <c r="AJF49" s="160"/>
      <c r="AJG49" s="160"/>
      <c r="AJH49" s="160"/>
      <c r="AJI49" s="160"/>
      <c r="AJJ49" s="160"/>
      <c r="AJK49" s="160"/>
      <c r="AJL49" s="160"/>
      <c r="AJM49" s="160"/>
      <c r="AJN49" s="160"/>
      <c r="AJO49" s="160"/>
      <c r="AJP49" s="160"/>
      <c r="AJQ49" s="160"/>
      <c r="AJR49" s="160"/>
      <c r="AJS49" s="160"/>
      <c r="AJT49" s="160"/>
      <c r="AJU49" s="160"/>
      <c r="AJV49" s="160"/>
      <c r="AJW49" s="160"/>
      <c r="AJX49" s="160"/>
      <c r="AJY49" s="160"/>
      <c r="AJZ49" s="160"/>
      <c r="AKA49" s="160"/>
      <c r="AKB49" s="160"/>
      <c r="AKC49" s="160"/>
      <c r="AKD49" s="160"/>
      <c r="AKE49" s="160"/>
      <c r="AKF49" s="160"/>
      <c r="AKG49" s="160"/>
      <c r="AKH49" s="160"/>
      <c r="AKI49" s="160"/>
      <c r="AKJ49" s="160"/>
      <c r="AKK49" s="160"/>
      <c r="AKL49" s="160"/>
      <c r="AKM49" s="160"/>
      <c r="AKN49" s="160"/>
      <c r="AKO49" s="160"/>
      <c r="AKP49" s="160"/>
      <c r="AKQ49" s="160"/>
      <c r="AKR49" s="160"/>
      <c r="AKS49" s="160"/>
      <c r="AKT49" s="160"/>
      <c r="AKU49" s="160"/>
      <c r="AKV49" s="160"/>
      <c r="AKW49" s="160"/>
      <c r="AKX49" s="160"/>
      <c r="AKY49" s="160"/>
      <c r="AKZ49" s="160"/>
      <c r="ALA49" s="160"/>
      <c r="ALB49" s="160"/>
      <c r="ALC49" s="160"/>
      <c r="ALD49" s="160"/>
      <c r="ALE49" s="160"/>
      <c r="ALF49" s="160"/>
      <c r="ALG49" s="160"/>
      <c r="ALH49" s="160"/>
      <c r="ALI49" s="160"/>
      <c r="ALJ49" s="160"/>
      <c r="ALK49" s="160"/>
      <c r="ALL49" s="160"/>
      <c r="ALM49" s="160"/>
      <c r="ALN49" s="160"/>
      <c r="ALO49" s="160"/>
      <c r="ALP49" s="160"/>
      <c r="ALQ49" s="160"/>
      <c r="ALR49" s="160"/>
      <c r="ALS49" s="160"/>
      <c r="ALT49" s="160"/>
      <c r="ALU49" s="160"/>
      <c r="ALV49" s="160"/>
      <c r="ALW49" s="160"/>
      <c r="ALX49" s="160"/>
      <c r="ALY49" s="160"/>
      <c r="ALZ49" s="160"/>
      <c r="AMA49" s="160"/>
      <c r="AMB49" s="160"/>
      <c r="AMC49" s="160"/>
      <c r="AMD49" s="160"/>
      <c r="AME49" s="158"/>
    </row>
    <row r="50" spans="1:1019" s="172" customFormat="1" ht="15" customHeight="1">
      <c r="A50" s="168">
        <f>A47+1</f>
        <v>43</v>
      </c>
      <c r="B50" s="175">
        <v>304</v>
      </c>
      <c r="C50" s="168" t="s">
        <v>79</v>
      </c>
      <c r="D50" s="169">
        <f>'הנדסה '!D7</f>
        <v>54950000</v>
      </c>
      <c r="E50" s="169">
        <f>'הנדסה '!E7</f>
        <v>54950000</v>
      </c>
      <c r="F50" s="169">
        <f>'הנדסה '!F7</f>
        <v>0</v>
      </c>
      <c r="G50" s="169">
        <f>'הנדסה '!G7</f>
        <v>54950000</v>
      </c>
      <c r="H50" s="169">
        <f>'הנדסה '!H7</f>
        <v>54780522.609999999</v>
      </c>
      <c r="I50" s="169">
        <f>'הנדסה '!I7</f>
        <v>149074.13</v>
      </c>
      <c r="J50" s="169">
        <f>'הנדסה '!J7</f>
        <v>0</v>
      </c>
      <c r="K50" s="169">
        <f>'הנדסה '!K7</f>
        <v>149074.13</v>
      </c>
      <c r="L50" s="169">
        <f>'הנדסה '!L7</f>
        <v>54929596.740000002</v>
      </c>
      <c r="M50" s="169">
        <f>'הנדסה '!M7</f>
        <v>20403.259999997914</v>
      </c>
      <c r="N50" s="169">
        <f>'הנדסה '!N7</f>
        <v>0</v>
      </c>
      <c r="O50" s="169">
        <f>'הנדסה '!O7</f>
        <v>0</v>
      </c>
      <c r="P50" s="169">
        <f>'הנדסה '!P7</f>
        <v>20403.259999997914</v>
      </c>
      <c r="Q50" s="169">
        <f>'הנדסה '!Q7</f>
        <v>0</v>
      </c>
      <c r="R50" s="169">
        <f>'הנדסה '!R7</f>
        <v>0</v>
      </c>
      <c r="S50" s="169">
        <f>'הנדסה '!S7</f>
        <v>0</v>
      </c>
      <c r="T50" s="169">
        <f>'הנדסה '!T7</f>
        <v>0</v>
      </c>
      <c r="U50" s="169">
        <f>'הנדסה '!U7</f>
        <v>0</v>
      </c>
      <c r="V50" s="169">
        <f>'הנדסה '!V7</f>
        <v>0</v>
      </c>
      <c r="W50" s="169">
        <f>'הנדסה '!W7</f>
        <v>0</v>
      </c>
      <c r="X50" s="169">
        <f>'הנדסה '!X7</f>
        <v>0</v>
      </c>
      <c r="Y50" s="169">
        <f>'הנדסה '!Y7</f>
        <v>0</v>
      </c>
      <c r="Z50" s="169">
        <f>'הנדסה '!Z7</f>
        <v>0</v>
      </c>
      <c r="AA50" s="659">
        <f>'הנדסה '!AA7</f>
        <v>746000</v>
      </c>
      <c r="AB50" s="157"/>
      <c r="AC50" s="157"/>
      <c r="AD50" s="157"/>
      <c r="AE50" s="157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160"/>
      <c r="IS50" s="160"/>
      <c r="IT50" s="160"/>
      <c r="IU50" s="160"/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  <c r="JF50" s="160"/>
      <c r="JG50" s="160"/>
      <c r="JH50" s="160"/>
      <c r="JI50" s="160"/>
      <c r="JJ50" s="160"/>
      <c r="JK50" s="160"/>
      <c r="JL50" s="160"/>
      <c r="JM50" s="160"/>
      <c r="JN50" s="160"/>
      <c r="JO50" s="160"/>
      <c r="JP50" s="160"/>
      <c r="JQ50" s="160"/>
      <c r="JR50" s="160"/>
      <c r="JS50" s="160"/>
      <c r="JT50" s="160"/>
      <c r="JU50" s="160"/>
      <c r="JV50" s="160"/>
      <c r="JW50" s="160"/>
      <c r="JX50" s="160"/>
      <c r="JY50" s="160"/>
      <c r="JZ50" s="160"/>
      <c r="KA50" s="160"/>
      <c r="KB50" s="160"/>
      <c r="KC50" s="160"/>
      <c r="KD50" s="160"/>
      <c r="KE50" s="160"/>
      <c r="KF50" s="160"/>
      <c r="KG50" s="160"/>
      <c r="KH50" s="160"/>
      <c r="KI50" s="160"/>
      <c r="KJ50" s="160"/>
      <c r="KK50" s="160"/>
      <c r="KL50" s="160"/>
      <c r="KM50" s="160"/>
      <c r="KN50" s="160"/>
      <c r="KO50" s="160"/>
      <c r="KP50" s="160"/>
      <c r="KQ50" s="160"/>
      <c r="KR50" s="160"/>
      <c r="KS50" s="160"/>
      <c r="KT50" s="160"/>
      <c r="KU50" s="160"/>
      <c r="KV50" s="160"/>
      <c r="KW50" s="160"/>
      <c r="KX50" s="160"/>
      <c r="KY50" s="160"/>
      <c r="KZ50" s="160"/>
      <c r="LA50" s="160"/>
      <c r="LB50" s="160"/>
      <c r="LC50" s="160"/>
      <c r="LD50" s="160"/>
      <c r="LE50" s="160"/>
      <c r="LF50" s="160"/>
      <c r="LG50" s="160"/>
      <c r="LH50" s="160"/>
      <c r="LI50" s="160"/>
      <c r="LJ50" s="160"/>
      <c r="LK50" s="160"/>
      <c r="LL50" s="160"/>
      <c r="LM50" s="160"/>
      <c r="LN50" s="160"/>
      <c r="LO50" s="160"/>
      <c r="LP50" s="160"/>
      <c r="LQ50" s="160"/>
      <c r="LR50" s="160"/>
      <c r="LS50" s="160"/>
      <c r="LT50" s="160"/>
      <c r="LU50" s="160"/>
      <c r="LV50" s="160"/>
      <c r="LW50" s="160"/>
      <c r="LX50" s="160"/>
      <c r="LY50" s="160"/>
      <c r="LZ50" s="160"/>
      <c r="MA50" s="160"/>
      <c r="MB50" s="160"/>
      <c r="MC50" s="160"/>
      <c r="MD50" s="160"/>
      <c r="ME50" s="160"/>
      <c r="MF50" s="160"/>
      <c r="MG50" s="160"/>
      <c r="MH50" s="160"/>
      <c r="MI50" s="160"/>
      <c r="MJ50" s="160"/>
      <c r="MK50" s="160"/>
      <c r="ML50" s="160"/>
      <c r="MM50" s="160"/>
      <c r="MN50" s="160"/>
      <c r="MO50" s="160"/>
      <c r="MP50" s="160"/>
      <c r="MQ50" s="160"/>
      <c r="MR50" s="160"/>
      <c r="MS50" s="160"/>
      <c r="MT50" s="160"/>
      <c r="MU50" s="160"/>
      <c r="MV50" s="160"/>
      <c r="MW50" s="160"/>
      <c r="MX50" s="160"/>
      <c r="MY50" s="160"/>
      <c r="MZ50" s="160"/>
      <c r="NA50" s="160"/>
      <c r="NB50" s="160"/>
      <c r="NC50" s="160"/>
      <c r="ND50" s="160"/>
      <c r="NE50" s="160"/>
      <c r="NF50" s="160"/>
      <c r="NG50" s="160"/>
      <c r="NH50" s="160"/>
      <c r="NI50" s="160"/>
      <c r="NJ50" s="160"/>
      <c r="NK50" s="160"/>
      <c r="NL50" s="160"/>
      <c r="NM50" s="160"/>
      <c r="NN50" s="160"/>
      <c r="NO50" s="160"/>
      <c r="NP50" s="160"/>
      <c r="NQ50" s="160"/>
      <c r="NR50" s="160"/>
      <c r="NS50" s="160"/>
      <c r="NT50" s="160"/>
      <c r="NU50" s="160"/>
      <c r="NV50" s="160"/>
      <c r="NW50" s="160"/>
      <c r="NX50" s="160"/>
      <c r="NY50" s="160"/>
      <c r="NZ50" s="160"/>
      <c r="OA50" s="160"/>
      <c r="OB50" s="160"/>
      <c r="OC50" s="160"/>
      <c r="OD50" s="160"/>
      <c r="OE50" s="160"/>
      <c r="OF50" s="160"/>
      <c r="OG50" s="160"/>
      <c r="OH50" s="160"/>
      <c r="OI50" s="160"/>
      <c r="OJ50" s="160"/>
      <c r="OK50" s="160"/>
      <c r="OL50" s="160"/>
      <c r="OM50" s="160"/>
      <c r="ON50" s="160"/>
      <c r="OO50" s="160"/>
      <c r="OP50" s="160"/>
      <c r="OQ50" s="160"/>
      <c r="OR50" s="160"/>
      <c r="OS50" s="160"/>
      <c r="OT50" s="160"/>
      <c r="OU50" s="160"/>
      <c r="OV50" s="160"/>
      <c r="OW50" s="160"/>
      <c r="OX50" s="160"/>
      <c r="OY50" s="160"/>
      <c r="OZ50" s="160"/>
      <c r="PA50" s="160"/>
      <c r="PB50" s="160"/>
      <c r="PC50" s="160"/>
      <c r="PD50" s="160"/>
      <c r="PE50" s="160"/>
      <c r="PF50" s="160"/>
      <c r="PG50" s="160"/>
      <c r="PH50" s="160"/>
      <c r="PI50" s="160"/>
      <c r="PJ50" s="160"/>
      <c r="PK50" s="160"/>
      <c r="PL50" s="160"/>
      <c r="PM50" s="160"/>
      <c r="PN50" s="160"/>
      <c r="PO50" s="160"/>
      <c r="PP50" s="160"/>
      <c r="PQ50" s="160"/>
      <c r="PR50" s="160"/>
      <c r="PS50" s="160"/>
      <c r="PT50" s="160"/>
      <c r="PU50" s="160"/>
      <c r="PV50" s="160"/>
      <c r="PW50" s="160"/>
      <c r="PX50" s="160"/>
      <c r="PY50" s="160"/>
      <c r="PZ50" s="160"/>
      <c r="QA50" s="160"/>
      <c r="QB50" s="160"/>
      <c r="QC50" s="160"/>
      <c r="QD50" s="160"/>
      <c r="QE50" s="160"/>
      <c r="QF50" s="160"/>
      <c r="QG50" s="160"/>
      <c r="QH50" s="160"/>
      <c r="QI50" s="160"/>
      <c r="QJ50" s="160"/>
      <c r="QK50" s="160"/>
      <c r="QL50" s="160"/>
      <c r="QM50" s="160"/>
      <c r="QN50" s="160"/>
      <c r="QO50" s="160"/>
      <c r="QP50" s="160"/>
      <c r="QQ50" s="160"/>
      <c r="QR50" s="160"/>
      <c r="QS50" s="160"/>
      <c r="QT50" s="160"/>
      <c r="QU50" s="160"/>
      <c r="QV50" s="160"/>
      <c r="QW50" s="160"/>
      <c r="QX50" s="160"/>
      <c r="QY50" s="160"/>
      <c r="QZ50" s="160"/>
      <c r="RA50" s="160"/>
      <c r="RB50" s="160"/>
      <c r="RC50" s="160"/>
      <c r="RD50" s="160"/>
      <c r="RE50" s="160"/>
      <c r="RF50" s="160"/>
      <c r="RG50" s="160"/>
      <c r="RH50" s="160"/>
      <c r="RI50" s="160"/>
      <c r="RJ50" s="160"/>
      <c r="RK50" s="160"/>
      <c r="RL50" s="160"/>
      <c r="RM50" s="160"/>
      <c r="RN50" s="160"/>
      <c r="RO50" s="160"/>
      <c r="RP50" s="160"/>
      <c r="RQ50" s="160"/>
      <c r="RR50" s="160"/>
      <c r="RS50" s="160"/>
      <c r="RT50" s="160"/>
      <c r="RU50" s="160"/>
      <c r="RV50" s="160"/>
      <c r="RW50" s="160"/>
      <c r="RX50" s="160"/>
      <c r="RY50" s="160"/>
      <c r="RZ50" s="160"/>
      <c r="SA50" s="160"/>
      <c r="SB50" s="160"/>
      <c r="SC50" s="160"/>
      <c r="SD50" s="160"/>
      <c r="SE50" s="160"/>
      <c r="SF50" s="160"/>
      <c r="SG50" s="160"/>
      <c r="SH50" s="160"/>
      <c r="SI50" s="160"/>
      <c r="SJ50" s="160"/>
      <c r="SK50" s="160"/>
      <c r="SL50" s="160"/>
      <c r="SM50" s="160"/>
      <c r="SN50" s="160"/>
      <c r="SO50" s="160"/>
      <c r="SP50" s="160"/>
      <c r="SQ50" s="160"/>
      <c r="SR50" s="160"/>
      <c r="SS50" s="160"/>
      <c r="ST50" s="160"/>
      <c r="SU50" s="160"/>
      <c r="SV50" s="160"/>
      <c r="SW50" s="160"/>
      <c r="SX50" s="160"/>
      <c r="SY50" s="160"/>
      <c r="SZ50" s="160"/>
      <c r="TA50" s="160"/>
      <c r="TB50" s="160"/>
      <c r="TC50" s="160"/>
      <c r="TD50" s="160"/>
      <c r="TE50" s="160"/>
      <c r="TF50" s="160"/>
      <c r="TG50" s="160"/>
      <c r="TH50" s="160"/>
      <c r="TI50" s="160"/>
      <c r="TJ50" s="160"/>
      <c r="TK50" s="160"/>
      <c r="TL50" s="160"/>
      <c r="TM50" s="160"/>
      <c r="TN50" s="160"/>
      <c r="TO50" s="160"/>
      <c r="TP50" s="160"/>
      <c r="TQ50" s="160"/>
      <c r="TR50" s="160"/>
      <c r="TS50" s="160"/>
      <c r="TT50" s="160"/>
      <c r="TU50" s="160"/>
      <c r="TV50" s="160"/>
      <c r="TW50" s="160"/>
      <c r="TX50" s="160"/>
      <c r="TY50" s="160"/>
      <c r="TZ50" s="160"/>
      <c r="UA50" s="160"/>
      <c r="UB50" s="160"/>
      <c r="UC50" s="160"/>
      <c r="UD50" s="160"/>
      <c r="UE50" s="160"/>
      <c r="UF50" s="160"/>
      <c r="UG50" s="160"/>
      <c r="UH50" s="160"/>
      <c r="UI50" s="160"/>
      <c r="UJ50" s="160"/>
      <c r="UK50" s="160"/>
      <c r="UL50" s="160"/>
      <c r="UM50" s="160"/>
      <c r="UN50" s="160"/>
      <c r="UO50" s="160"/>
      <c r="UP50" s="160"/>
      <c r="UQ50" s="160"/>
      <c r="UR50" s="160"/>
      <c r="US50" s="160"/>
      <c r="UT50" s="160"/>
      <c r="UU50" s="160"/>
      <c r="UV50" s="160"/>
      <c r="UW50" s="160"/>
      <c r="UX50" s="160"/>
      <c r="UY50" s="160"/>
      <c r="UZ50" s="160"/>
      <c r="VA50" s="160"/>
      <c r="VB50" s="160"/>
      <c r="VC50" s="160"/>
      <c r="VD50" s="160"/>
      <c r="VE50" s="160"/>
      <c r="VF50" s="160"/>
      <c r="VG50" s="160"/>
      <c r="VH50" s="160"/>
      <c r="VI50" s="160"/>
      <c r="VJ50" s="160"/>
      <c r="VK50" s="160"/>
      <c r="VL50" s="160"/>
      <c r="VM50" s="160"/>
      <c r="VN50" s="160"/>
      <c r="VO50" s="160"/>
      <c r="VP50" s="160"/>
      <c r="VQ50" s="160"/>
      <c r="VR50" s="160"/>
      <c r="VS50" s="160"/>
      <c r="VT50" s="160"/>
      <c r="VU50" s="160"/>
      <c r="VV50" s="160"/>
      <c r="VW50" s="160"/>
      <c r="VX50" s="160"/>
      <c r="VY50" s="160"/>
      <c r="VZ50" s="160"/>
      <c r="WA50" s="160"/>
      <c r="WB50" s="160"/>
      <c r="WC50" s="160"/>
      <c r="WD50" s="160"/>
      <c r="WE50" s="160"/>
      <c r="WF50" s="160"/>
      <c r="WG50" s="160"/>
      <c r="WH50" s="160"/>
      <c r="WI50" s="160"/>
      <c r="WJ50" s="160"/>
      <c r="WK50" s="160"/>
      <c r="WL50" s="160"/>
      <c r="WM50" s="160"/>
      <c r="WN50" s="160"/>
      <c r="WO50" s="160"/>
      <c r="WP50" s="160"/>
      <c r="WQ50" s="160"/>
      <c r="WR50" s="160"/>
      <c r="WS50" s="160"/>
      <c r="WT50" s="160"/>
      <c r="WU50" s="160"/>
      <c r="WV50" s="160"/>
      <c r="WW50" s="160"/>
      <c r="WX50" s="160"/>
      <c r="WY50" s="160"/>
      <c r="WZ50" s="160"/>
      <c r="XA50" s="160"/>
      <c r="XB50" s="160"/>
      <c r="XC50" s="160"/>
      <c r="XD50" s="160"/>
      <c r="XE50" s="160"/>
      <c r="XF50" s="160"/>
      <c r="XG50" s="160"/>
      <c r="XH50" s="160"/>
      <c r="XI50" s="160"/>
      <c r="XJ50" s="160"/>
      <c r="XK50" s="160"/>
      <c r="XL50" s="160"/>
      <c r="XM50" s="160"/>
      <c r="XN50" s="160"/>
      <c r="XO50" s="160"/>
      <c r="XP50" s="160"/>
      <c r="XQ50" s="160"/>
      <c r="XR50" s="160"/>
      <c r="XS50" s="160"/>
      <c r="XT50" s="160"/>
      <c r="XU50" s="160"/>
      <c r="XV50" s="160"/>
      <c r="XW50" s="160"/>
      <c r="XX50" s="160"/>
      <c r="XY50" s="160"/>
      <c r="XZ50" s="160"/>
      <c r="YA50" s="160"/>
      <c r="YB50" s="160"/>
      <c r="YC50" s="160"/>
      <c r="YD50" s="160"/>
      <c r="YE50" s="160"/>
      <c r="YF50" s="160"/>
      <c r="YG50" s="160"/>
      <c r="YH50" s="160"/>
      <c r="YI50" s="160"/>
      <c r="YJ50" s="160"/>
      <c r="YK50" s="160"/>
      <c r="YL50" s="160"/>
      <c r="YM50" s="160"/>
      <c r="YN50" s="160"/>
      <c r="YO50" s="160"/>
      <c r="YP50" s="160"/>
      <c r="YQ50" s="160"/>
      <c r="YR50" s="160"/>
      <c r="YS50" s="160"/>
      <c r="YT50" s="160"/>
      <c r="YU50" s="160"/>
      <c r="YV50" s="160"/>
      <c r="YW50" s="160"/>
      <c r="YX50" s="160"/>
      <c r="YY50" s="160"/>
      <c r="YZ50" s="160"/>
      <c r="ZA50" s="160"/>
      <c r="ZB50" s="160"/>
      <c r="ZC50" s="160"/>
      <c r="ZD50" s="160"/>
      <c r="ZE50" s="160"/>
      <c r="ZF50" s="160"/>
      <c r="ZG50" s="160"/>
      <c r="ZH50" s="160"/>
      <c r="ZI50" s="160"/>
      <c r="ZJ50" s="160"/>
      <c r="ZK50" s="160"/>
      <c r="ZL50" s="160"/>
      <c r="ZM50" s="160"/>
      <c r="ZN50" s="160"/>
      <c r="ZO50" s="160"/>
      <c r="ZP50" s="160"/>
      <c r="ZQ50" s="160"/>
      <c r="ZR50" s="160"/>
      <c r="ZS50" s="160"/>
      <c r="ZT50" s="160"/>
      <c r="ZU50" s="160"/>
      <c r="ZV50" s="160"/>
      <c r="ZW50" s="160"/>
      <c r="ZX50" s="160"/>
      <c r="ZY50" s="160"/>
      <c r="ZZ50" s="160"/>
      <c r="AAA50" s="160"/>
      <c r="AAB50" s="160"/>
      <c r="AAC50" s="160"/>
      <c r="AAD50" s="160"/>
      <c r="AAE50" s="160"/>
      <c r="AAF50" s="160"/>
      <c r="AAG50" s="160"/>
      <c r="AAH50" s="160"/>
      <c r="AAI50" s="160"/>
      <c r="AAJ50" s="160"/>
      <c r="AAK50" s="160"/>
      <c r="AAL50" s="160"/>
      <c r="AAM50" s="160"/>
      <c r="AAN50" s="160"/>
      <c r="AAO50" s="160"/>
      <c r="AAP50" s="160"/>
      <c r="AAQ50" s="160"/>
      <c r="AAR50" s="160"/>
      <c r="AAS50" s="160"/>
      <c r="AAT50" s="160"/>
      <c r="AAU50" s="160"/>
      <c r="AAV50" s="160"/>
      <c r="AAW50" s="160"/>
      <c r="AAX50" s="160"/>
      <c r="AAY50" s="160"/>
      <c r="AAZ50" s="160"/>
      <c r="ABA50" s="160"/>
      <c r="ABB50" s="160"/>
      <c r="ABC50" s="160"/>
      <c r="ABD50" s="160"/>
      <c r="ABE50" s="160"/>
      <c r="ABF50" s="160"/>
      <c r="ABG50" s="160"/>
      <c r="ABH50" s="160"/>
      <c r="ABI50" s="160"/>
      <c r="ABJ50" s="160"/>
      <c r="ABK50" s="160"/>
      <c r="ABL50" s="160"/>
      <c r="ABM50" s="160"/>
      <c r="ABN50" s="160"/>
      <c r="ABO50" s="160"/>
      <c r="ABP50" s="160"/>
      <c r="ABQ50" s="160"/>
      <c r="ABR50" s="160"/>
      <c r="ABS50" s="160"/>
      <c r="ABT50" s="160"/>
      <c r="ABU50" s="160"/>
      <c r="ABV50" s="160"/>
      <c r="ABW50" s="160"/>
      <c r="ABX50" s="160"/>
      <c r="ABY50" s="160"/>
      <c r="ABZ50" s="160"/>
      <c r="ACA50" s="160"/>
      <c r="ACB50" s="160"/>
      <c r="ACC50" s="160"/>
      <c r="ACD50" s="160"/>
      <c r="ACE50" s="160"/>
      <c r="ACF50" s="160"/>
      <c r="ACG50" s="160"/>
      <c r="ACH50" s="160"/>
      <c r="ACI50" s="160"/>
      <c r="ACJ50" s="160"/>
      <c r="ACK50" s="160"/>
      <c r="ACL50" s="160"/>
      <c r="ACM50" s="160"/>
      <c r="ACN50" s="160"/>
      <c r="ACO50" s="160"/>
      <c r="ACP50" s="160"/>
      <c r="ACQ50" s="160"/>
      <c r="ACR50" s="160"/>
      <c r="ACS50" s="160"/>
      <c r="ACT50" s="160"/>
      <c r="ACU50" s="160"/>
      <c r="ACV50" s="160"/>
      <c r="ACW50" s="160"/>
      <c r="ACX50" s="160"/>
      <c r="ACY50" s="160"/>
      <c r="ACZ50" s="160"/>
      <c r="ADA50" s="160"/>
      <c r="ADB50" s="160"/>
      <c r="ADC50" s="160"/>
      <c r="ADD50" s="160"/>
      <c r="ADE50" s="160"/>
      <c r="ADF50" s="160"/>
      <c r="ADG50" s="160"/>
      <c r="ADH50" s="160"/>
      <c r="ADI50" s="160"/>
      <c r="ADJ50" s="160"/>
      <c r="ADK50" s="160"/>
      <c r="ADL50" s="160"/>
      <c r="ADM50" s="160"/>
      <c r="ADN50" s="160"/>
      <c r="ADO50" s="160"/>
      <c r="ADP50" s="160"/>
      <c r="ADQ50" s="160"/>
      <c r="ADR50" s="160"/>
      <c r="ADS50" s="160"/>
      <c r="ADT50" s="160"/>
      <c r="ADU50" s="160"/>
      <c r="ADV50" s="160"/>
      <c r="ADW50" s="160"/>
      <c r="ADX50" s="160"/>
      <c r="ADY50" s="160"/>
      <c r="ADZ50" s="160"/>
      <c r="AEA50" s="160"/>
      <c r="AEB50" s="160"/>
      <c r="AEC50" s="160"/>
      <c r="AED50" s="160"/>
      <c r="AEE50" s="160"/>
      <c r="AEF50" s="160"/>
      <c r="AEG50" s="160"/>
      <c r="AEH50" s="160"/>
      <c r="AEI50" s="160"/>
      <c r="AEJ50" s="160"/>
      <c r="AEK50" s="160"/>
      <c r="AEL50" s="160"/>
      <c r="AEM50" s="160"/>
      <c r="AEN50" s="160"/>
      <c r="AEO50" s="160"/>
      <c r="AEP50" s="160"/>
      <c r="AEQ50" s="160"/>
      <c r="AER50" s="160"/>
      <c r="AES50" s="160"/>
      <c r="AET50" s="160"/>
      <c r="AEU50" s="160"/>
      <c r="AEV50" s="160"/>
      <c r="AEW50" s="160"/>
      <c r="AEX50" s="160"/>
      <c r="AEY50" s="160"/>
      <c r="AEZ50" s="160"/>
      <c r="AFA50" s="160"/>
      <c r="AFB50" s="160"/>
      <c r="AFC50" s="160"/>
      <c r="AFD50" s="160"/>
      <c r="AFE50" s="160"/>
      <c r="AFF50" s="160"/>
      <c r="AFG50" s="160"/>
      <c r="AFH50" s="160"/>
      <c r="AFI50" s="160"/>
      <c r="AFJ50" s="160"/>
      <c r="AFK50" s="160"/>
      <c r="AFL50" s="160"/>
      <c r="AFM50" s="160"/>
      <c r="AFN50" s="160"/>
      <c r="AFO50" s="160"/>
      <c r="AFP50" s="160"/>
      <c r="AFQ50" s="160"/>
      <c r="AFR50" s="160"/>
      <c r="AFS50" s="160"/>
      <c r="AFT50" s="160"/>
      <c r="AFU50" s="160"/>
      <c r="AFV50" s="160"/>
      <c r="AFW50" s="160"/>
      <c r="AFX50" s="160"/>
      <c r="AFY50" s="160"/>
      <c r="AFZ50" s="160"/>
      <c r="AGA50" s="160"/>
      <c r="AGB50" s="160"/>
      <c r="AGC50" s="160"/>
      <c r="AGD50" s="160"/>
      <c r="AGE50" s="160"/>
      <c r="AGF50" s="160"/>
      <c r="AGG50" s="160"/>
      <c r="AGH50" s="160"/>
      <c r="AGI50" s="160"/>
      <c r="AGJ50" s="160"/>
      <c r="AGK50" s="160"/>
      <c r="AGL50" s="160"/>
      <c r="AGM50" s="160"/>
      <c r="AGN50" s="160"/>
      <c r="AGO50" s="160"/>
      <c r="AGP50" s="160"/>
      <c r="AGQ50" s="160"/>
      <c r="AGR50" s="160"/>
      <c r="AGS50" s="160"/>
      <c r="AGT50" s="160"/>
      <c r="AGU50" s="160"/>
      <c r="AGV50" s="160"/>
      <c r="AGW50" s="160"/>
      <c r="AGX50" s="160"/>
      <c r="AGY50" s="160"/>
      <c r="AGZ50" s="160"/>
      <c r="AHA50" s="160"/>
      <c r="AHB50" s="160"/>
      <c r="AHC50" s="160"/>
      <c r="AHD50" s="160"/>
      <c r="AHE50" s="160"/>
      <c r="AHF50" s="160"/>
      <c r="AHG50" s="160"/>
      <c r="AHH50" s="160"/>
      <c r="AHI50" s="160"/>
      <c r="AHJ50" s="160"/>
      <c r="AHK50" s="160"/>
      <c r="AHL50" s="160"/>
      <c r="AHM50" s="160"/>
      <c r="AHN50" s="160"/>
      <c r="AHO50" s="160"/>
      <c r="AHP50" s="160"/>
      <c r="AHQ50" s="160"/>
      <c r="AHR50" s="160"/>
      <c r="AHS50" s="160"/>
      <c r="AHT50" s="160"/>
      <c r="AHU50" s="160"/>
      <c r="AHV50" s="160"/>
      <c r="AHW50" s="160"/>
      <c r="AHX50" s="160"/>
      <c r="AHY50" s="160"/>
      <c r="AHZ50" s="160"/>
      <c r="AIA50" s="160"/>
      <c r="AIB50" s="160"/>
      <c r="AIC50" s="160"/>
      <c r="AID50" s="160"/>
      <c r="AIE50" s="160"/>
      <c r="AIF50" s="160"/>
      <c r="AIG50" s="160"/>
      <c r="AIH50" s="160"/>
      <c r="AII50" s="160"/>
      <c r="AIJ50" s="160"/>
      <c r="AIK50" s="160"/>
      <c r="AIL50" s="160"/>
      <c r="AIM50" s="160"/>
      <c r="AIN50" s="160"/>
      <c r="AIO50" s="160"/>
      <c r="AIP50" s="160"/>
      <c r="AIQ50" s="160"/>
      <c r="AIR50" s="160"/>
      <c r="AIS50" s="160"/>
      <c r="AIT50" s="160"/>
      <c r="AIU50" s="160"/>
      <c r="AIV50" s="160"/>
      <c r="AIW50" s="160"/>
      <c r="AIX50" s="160"/>
      <c r="AIY50" s="160"/>
      <c r="AIZ50" s="160"/>
      <c r="AJA50" s="160"/>
      <c r="AJB50" s="160"/>
      <c r="AJC50" s="160"/>
      <c r="AJD50" s="160"/>
      <c r="AJE50" s="160"/>
      <c r="AJF50" s="160"/>
      <c r="AJG50" s="160"/>
      <c r="AJH50" s="160"/>
      <c r="AJI50" s="160"/>
      <c r="AJJ50" s="160"/>
      <c r="AJK50" s="160"/>
      <c r="AJL50" s="160"/>
      <c r="AJM50" s="160"/>
      <c r="AJN50" s="160"/>
      <c r="AJO50" s="160"/>
      <c r="AJP50" s="160"/>
      <c r="AJQ50" s="160"/>
      <c r="AJR50" s="160"/>
      <c r="AJS50" s="160"/>
      <c r="AJT50" s="160"/>
      <c r="AJU50" s="160"/>
      <c r="AJV50" s="160"/>
      <c r="AJW50" s="160"/>
      <c r="AJX50" s="160"/>
      <c r="AJY50" s="160"/>
      <c r="AJZ50" s="160"/>
      <c r="AKA50" s="160"/>
      <c r="AKB50" s="160"/>
      <c r="AKC50" s="160"/>
      <c r="AKD50" s="160"/>
      <c r="AKE50" s="160"/>
      <c r="AKF50" s="160"/>
      <c r="AKG50" s="160"/>
      <c r="AKH50" s="160"/>
      <c r="AKI50" s="160"/>
      <c r="AKJ50" s="160"/>
      <c r="AKK50" s="160"/>
      <c r="AKL50" s="160"/>
      <c r="AKM50" s="160"/>
      <c r="AKN50" s="160"/>
      <c r="AKO50" s="160"/>
      <c r="AKP50" s="160"/>
      <c r="AKQ50" s="160"/>
      <c r="AKR50" s="160"/>
      <c r="AKS50" s="160"/>
      <c r="AKT50" s="160"/>
      <c r="AKU50" s="160"/>
      <c r="AKV50" s="160"/>
      <c r="AKW50" s="160"/>
      <c r="AKX50" s="160"/>
      <c r="AKY50" s="160"/>
      <c r="AKZ50" s="160"/>
      <c r="ALA50" s="160"/>
      <c r="ALB50" s="160"/>
      <c r="ALC50" s="160"/>
      <c r="ALD50" s="160"/>
      <c r="ALE50" s="160"/>
      <c r="ALF50" s="160"/>
      <c r="ALG50" s="160"/>
      <c r="ALH50" s="160"/>
      <c r="ALI50" s="160"/>
      <c r="ALJ50" s="160"/>
      <c r="ALK50" s="160"/>
      <c r="ALL50" s="160"/>
      <c r="ALM50" s="160"/>
      <c r="ALN50" s="160"/>
      <c r="ALO50" s="160"/>
      <c r="ALP50" s="160"/>
      <c r="ALQ50" s="160"/>
      <c r="ALR50" s="160"/>
      <c r="ALS50" s="160"/>
      <c r="ALT50" s="160"/>
      <c r="ALU50" s="160"/>
      <c r="ALV50" s="160"/>
      <c r="ALW50" s="160"/>
      <c r="ALX50" s="160"/>
      <c r="ALY50" s="160"/>
      <c r="ALZ50" s="160"/>
      <c r="AMA50" s="160"/>
      <c r="AMB50" s="160"/>
      <c r="AMC50" s="160"/>
      <c r="AMD50" s="160"/>
      <c r="AME50" s="158"/>
    </row>
    <row r="51" spans="1:1019" s="176" customFormat="1" ht="15" customHeight="1">
      <c r="A51" s="168">
        <f>A50+1</f>
        <v>44</v>
      </c>
      <c r="B51" s="175">
        <v>507</v>
      </c>
      <c r="C51" s="168" t="s">
        <v>61</v>
      </c>
      <c r="D51" s="169">
        <f>'הנדסה '!D8</f>
        <v>2310000</v>
      </c>
      <c r="E51" s="169">
        <f>'הנדסה '!E8</f>
        <v>1810000</v>
      </c>
      <c r="F51" s="169">
        <f>'הנדסה '!F8</f>
        <v>500000</v>
      </c>
      <c r="G51" s="169">
        <f>'הנדסה '!G8</f>
        <v>1665000</v>
      </c>
      <c r="H51" s="169">
        <f>'הנדסה '!H8</f>
        <v>1653104.23</v>
      </c>
      <c r="I51" s="169">
        <f>'הנדסה '!I8</f>
        <v>0</v>
      </c>
      <c r="J51" s="169">
        <f>'הנדסה '!J8</f>
        <v>0</v>
      </c>
      <c r="K51" s="169">
        <f>'הנדסה '!K8</f>
        <v>0</v>
      </c>
      <c r="L51" s="169">
        <f>'הנדסה '!L8</f>
        <v>1653104.23</v>
      </c>
      <c r="M51" s="169">
        <f>'הנדסה '!M8</f>
        <v>11895.770000000019</v>
      </c>
      <c r="N51" s="169">
        <f>'הנדסה '!N8</f>
        <v>100000</v>
      </c>
      <c r="O51" s="169">
        <f>'הנדסה '!O8</f>
        <v>545000</v>
      </c>
      <c r="P51" s="169">
        <f>'הנדסה '!P8</f>
        <v>11895.770000000019</v>
      </c>
      <c r="Q51" s="169">
        <f>'הנדסה '!Q8</f>
        <v>0</v>
      </c>
      <c r="R51" s="169">
        <f>'הנדסה '!R8</f>
        <v>0</v>
      </c>
      <c r="S51" s="169">
        <f>'הנדסה '!S8</f>
        <v>0</v>
      </c>
      <c r="T51" s="169">
        <f>'הנדסה '!T8</f>
        <v>0</v>
      </c>
      <c r="U51" s="169">
        <f>'הנדסה '!U8</f>
        <v>100000</v>
      </c>
      <c r="V51" s="169">
        <f>'הנדסה '!V8</f>
        <v>100000</v>
      </c>
      <c r="W51" s="169">
        <f>'הנדסה '!W8</f>
        <v>0</v>
      </c>
      <c r="X51" s="169">
        <f>'הנדסה '!X8</f>
        <v>0</v>
      </c>
      <c r="Y51" s="169">
        <f>'הנדסה '!Y8</f>
        <v>0</v>
      </c>
      <c r="Z51" s="169">
        <f>'הנדסה '!Z8</f>
        <v>0</v>
      </c>
      <c r="AA51" s="659">
        <f>'הנדסה '!AA8</f>
        <v>742000</v>
      </c>
      <c r="AB51" s="157"/>
      <c r="AC51" s="157"/>
      <c r="AD51" s="157"/>
      <c r="AE51" s="157"/>
      <c r="AF51" s="160"/>
      <c r="AG51" s="174"/>
      <c r="AH51" s="174"/>
      <c r="AI51" s="174"/>
      <c r="AJ51" s="174"/>
      <c r="AK51" s="174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  <c r="IQ51" s="160"/>
      <c r="IR51" s="160"/>
      <c r="IS51" s="160"/>
      <c r="IT51" s="160"/>
      <c r="IU51" s="160"/>
      <c r="IV51" s="160"/>
      <c r="IW51" s="160"/>
      <c r="IX51" s="160"/>
      <c r="IY51" s="160"/>
      <c r="IZ51" s="160"/>
      <c r="JA51" s="160"/>
      <c r="JB51" s="160"/>
      <c r="JC51" s="160"/>
      <c r="JD51" s="160"/>
      <c r="JE51" s="160"/>
      <c r="JF51" s="160"/>
      <c r="JG51" s="160"/>
      <c r="JH51" s="160"/>
      <c r="JI51" s="160"/>
      <c r="JJ51" s="160"/>
      <c r="JK51" s="160"/>
      <c r="JL51" s="160"/>
      <c r="JM51" s="160"/>
      <c r="JN51" s="160"/>
      <c r="JO51" s="160"/>
      <c r="JP51" s="160"/>
      <c r="JQ51" s="160"/>
      <c r="JR51" s="160"/>
      <c r="JS51" s="160"/>
      <c r="JT51" s="160"/>
      <c r="JU51" s="160"/>
      <c r="JV51" s="160"/>
      <c r="JW51" s="160"/>
      <c r="JX51" s="160"/>
      <c r="JY51" s="160"/>
      <c r="JZ51" s="160"/>
      <c r="KA51" s="160"/>
      <c r="KB51" s="160"/>
      <c r="KC51" s="160"/>
      <c r="KD51" s="160"/>
      <c r="KE51" s="160"/>
      <c r="KF51" s="160"/>
      <c r="KG51" s="160"/>
      <c r="KH51" s="160"/>
      <c r="KI51" s="160"/>
      <c r="KJ51" s="160"/>
      <c r="KK51" s="160"/>
      <c r="KL51" s="160"/>
      <c r="KM51" s="160"/>
      <c r="KN51" s="160"/>
      <c r="KO51" s="160"/>
      <c r="KP51" s="160"/>
      <c r="KQ51" s="160"/>
      <c r="KR51" s="160"/>
      <c r="KS51" s="160"/>
      <c r="KT51" s="160"/>
      <c r="KU51" s="160"/>
      <c r="KV51" s="160"/>
      <c r="KW51" s="160"/>
      <c r="KX51" s="160"/>
      <c r="KY51" s="160"/>
      <c r="KZ51" s="160"/>
      <c r="LA51" s="160"/>
      <c r="LB51" s="160"/>
      <c r="LC51" s="160"/>
      <c r="LD51" s="160"/>
      <c r="LE51" s="160"/>
      <c r="LF51" s="160"/>
      <c r="LG51" s="160"/>
      <c r="LH51" s="160"/>
      <c r="LI51" s="160"/>
      <c r="LJ51" s="160"/>
      <c r="LK51" s="160"/>
      <c r="LL51" s="160"/>
      <c r="LM51" s="160"/>
      <c r="LN51" s="160"/>
      <c r="LO51" s="160"/>
      <c r="LP51" s="160"/>
      <c r="LQ51" s="160"/>
      <c r="LR51" s="160"/>
      <c r="LS51" s="160"/>
      <c r="LT51" s="160"/>
      <c r="LU51" s="160"/>
      <c r="LV51" s="160"/>
      <c r="LW51" s="160"/>
      <c r="LX51" s="160"/>
      <c r="LY51" s="160"/>
      <c r="LZ51" s="160"/>
      <c r="MA51" s="160"/>
      <c r="MB51" s="160"/>
      <c r="MC51" s="160"/>
      <c r="MD51" s="160"/>
      <c r="ME51" s="160"/>
      <c r="MF51" s="160"/>
      <c r="MG51" s="160"/>
      <c r="MH51" s="160"/>
      <c r="MI51" s="160"/>
      <c r="MJ51" s="160"/>
      <c r="MK51" s="160"/>
      <c r="ML51" s="160"/>
      <c r="MM51" s="160"/>
      <c r="MN51" s="160"/>
      <c r="MO51" s="160"/>
      <c r="MP51" s="160"/>
      <c r="MQ51" s="160"/>
      <c r="MR51" s="160"/>
      <c r="MS51" s="160"/>
      <c r="MT51" s="160"/>
      <c r="MU51" s="160"/>
      <c r="MV51" s="160"/>
      <c r="MW51" s="160"/>
      <c r="MX51" s="160"/>
      <c r="MY51" s="160"/>
      <c r="MZ51" s="160"/>
      <c r="NA51" s="160"/>
      <c r="NB51" s="160"/>
      <c r="NC51" s="160"/>
      <c r="ND51" s="160"/>
      <c r="NE51" s="160"/>
      <c r="NF51" s="160"/>
      <c r="NG51" s="160"/>
      <c r="NH51" s="160"/>
      <c r="NI51" s="160"/>
      <c r="NJ51" s="160"/>
      <c r="NK51" s="160"/>
      <c r="NL51" s="160"/>
      <c r="NM51" s="160"/>
      <c r="NN51" s="160"/>
      <c r="NO51" s="160"/>
      <c r="NP51" s="160"/>
      <c r="NQ51" s="160"/>
      <c r="NR51" s="160"/>
      <c r="NS51" s="160"/>
      <c r="NT51" s="160"/>
      <c r="NU51" s="160"/>
      <c r="NV51" s="160"/>
      <c r="NW51" s="160"/>
      <c r="NX51" s="160"/>
      <c r="NY51" s="160"/>
      <c r="NZ51" s="160"/>
      <c r="OA51" s="160"/>
      <c r="OB51" s="160"/>
      <c r="OC51" s="160"/>
      <c r="OD51" s="160"/>
      <c r="OE51" s="160"/>
      <c r="OF51" s="160"/>
      <c r="OG51" s="160"/>
      <c r="OH51" s="160"/>
      <c r="OI51" s="160"/>
      <c r="OJ51" s="160"/>
      <c r="OK51" s="160"/>
      <c r="OL51" s="160"/>
      <c r="OM51" s="160"/>
      <c r="ON51" s="160"/>
      <c r="OO51" s="160"/>
      <c r="OP51" s="160"/>
      <c r="OQ51" s="160"/>
      <c r="OR51" s="160"/>
      <c r="OS51" s="160"/>
      <c r="OT51" s="160"/>
      <c r="OU51" s="160"/>
      <c r="OV51" s="160"/>
      <c r="OW51" s="160"/>
      <c r="OX51" s="160"/>
      <c r="OY51" s="160"/>
      <c r="OZ51" s="160"/>
      <c r="PA51" s="160"/>
      <c r="PB51" s="160"/>
      <c r="PC51" s="160"/>
      <c r="PD51" s="160"/>
      <c r="PE51" s="160"/>
      <c r="PF51" s="160"/>
      <c r="PG51" s="160"/>
      <c r="PH51" s="160"/>
      <c r="PI51" s="160"/>
      <c r="PJ51" s="160"/>
      <c r="PK51" s="160"/>
      <c r="PL51" s="160"/>
      <c r="PM51" s="160"/>
      <c r="PN51" s="160"/>
      <c r="PO51" s="160"/>
      <c r="PP51" s="160"/>
      <c r="PQ51" s="160"/>
      <c r="PR51" s="160"/>
      <c r="PS51" s="160"/>
      <c r="PT51" s="160"/>
      <c r="PU51" s="160"/>
      <c r="PV51" s="160"/>
      <c r="PW51" s="160"/>
      <c r="PX51" s="160"/>
      <c r="PY51" s="160"/>
      <c r="PZ51" s="160"/>
      <c r="QA51" s="160"/>
      <c r="QB51" s="160"/>
      <c r="QC51" s="160"/>
      <c r="QD51" s="160"/>
      <c r="QE51" s="160"/>
      <c r="QF51" s="160"/>
      <c r="QG51" s="160"/>
      <c r="QH51" s="160"/>
      <c r="QI51" s="160"/>
      <c r="QJ51" s="160"/>
      <c r="QK51" s="160"/>
      <c r="QL51" s="160"/>
      <c r="QM51" s="160"/>
      <c r="QN51" s="160"/>
      <c r="QO51" s="160"/>
      <c r="QP51" s="160"/>
      <c r="QQ51" s="160"/>
      <c r="QR51" s="160"/>
      <c r="QS51" s="160"/>
      <c r="QT51" s="160"/>
      <c r="QU51" s="160"/>
      <c r="QV51" s="160"/>
      <c r="QW51" s="160"/>
      <c r="QX51" s="160"/>
      <c r="QY51" s="160"/>
      <c r="QZ51" s="160"/>
      <c r="RA51" s="160"/>
      <c r="RB51" s="160"/>
      <c r="RC51" s="160"/>
      <c r="RD51" s="160"/>
      <c r="RE51" s="160"/>
      <c r="RF51" s="160"/>
      <c r="RG51" s="160"/>
      <c r="RH51" s="160"/>
      <c r="RI51" s="160"/>
      <c r="RJ51" s="160"/>
      <c r="RK51" s="160"/>
      <c r="RL51" s="160"/>
      <c r="RM51" s="160"/>
      <c r="RN51" s="160"/>
      <c r="RO51" s="160"/>
      <c r="RP51" s="160"/>
      <c r="RQ51" s="160"/>
      <c r="RR51" s="160"/>
      <c r="RS51" s="160"/>
      <c r="RT51" s="160"/>
      <c r="RU51" s="160"/>
      <c r="RV51" s="160"/>
      <c r="RW51" s="160"/>
      <c r="RX51" s="160"/>
      <c r="RY51" s="160"/>
      <c r="RZ51" s="160"/>
      <c r="SA51" s="160"/>
      <c r="SB51" s="160"/>
      <c r="SC51" s="160"/>
      <c r="SD51" s="160"/>
      <c r="SE51" s="160"/>
      <c r="SF51" s="160"/>
      <c r="SG51" s="160"/>
      <c r="SH51" s="160"/>
      <c r="SI51" s="160"/>
      <c r="SJ51" s="160"/>
      <c r="SK51" s="160"/>
      <c r="SL51" s="160"/>
      <c r="SM51" s="160"/>
      <c r="SN51" s="160"/>
      <c r="SO51" s="160"/>
      <c r="SP51" s="160"/>
      <c r="SQ51" s="160"/>
      <c r="SR51" s="160"/>
      <c r="SS51" s="160"/>
      <c r="ST51" s="160"/>
      <c r="SU51" s="160"/>
      <c r="SV51" s="160"/>
      <c r="SW51" s="160"/>
      <c r="SX51" s="160"/>
      <c r="SY51" s="160"/>
      <c r="SZ51" s="160"/>
      <c r="TA51" s="160"/>
      <c r="TB51" s="160"/>
      <c r="TC51" s="160"/>
      <c r="TD51" s="160"/>
      <c r="TE51" s="160"/>
      <c r="TF51" s="160"/>
      <c r="TG51" s="160"/>
      <c r="TH51" s="160"/>
      <c r="TI51" s="160"/>
      <c r="TJ51" s="160"/>
      <c r="TK51" s="160"/>
      <c r="TL51" s="160"/>
      <c r="TM51" s="160"/>
      <c r="TN51" s="160"/>
      <c r="TO51" s="160"/>
      <c r="TP51" s="160"/>
      <c r="TQ51" s="160"/>
      <c r="TR51" s="160"/>
      <c r="TS51" s="160"/>
      <c r="TT51" s="160"/>
      <c r="TU51" s="160"/>
      <c r="TV51" s="160"/>
      <c r="TW51" s="160"/>
      <c r="TX51" s="160"/>
      <c r="TY51" s="160"/>
      <c r="TZ51" s="160"/>
      <c r="UA51" s="160"/>
      <c r="UB51" s="160"/>
      <c r="UC51" s="160"/>
      <c r="UD51" s="160"/>
      <c r="UE51" s="160"/>
      <c r="UF51" s="160"/>
      <c r="UG51" s="160"/>
      <c r="UH51" s="160"/>
      <c r="UI51" s="160"/>
      <c r="UJ51" s="160"/>
      <c r="UK51" s="160"/>
      <c r="UL51" s="160"/>
      <c r="UM51" s="160"/>
      <c r="UN51" s="160"/>
      <c r="UO51" s="160"/>
      <c r="UP51" s="160"/>
      <c r="UQ51" s="160"/>
      <c r="UR51" s="160"/>
      <c r="US51" s="160"/>
      <c r="UT51" s="160"/>
      <c r="UU51" s="160"/>
      <c r="UV51" s="160"/>
      <c r="UW51" s="160"/>
      <c r="UX51" s="160"/>
      <c r="UY51" s="160"/>
      <c r="UZ51" s="160"/>
      <c r="VA51" s="160"/>
      <c r="VB51" s="160"/>
      <c r="VC51" s="160"/>
      <c r="VD51" s="160"/>
      <c r="VE51" s="160"/>
      <c r="VF51" s="160"/>
      <c r="VG51" s="160"/>
      <c r="VH51" s="160"/>
      <c r="VI51" s="160"/>
      <c r="VJ51" s="160"/>
      <c r="VK51" s="160"/>
      <c r="VL51" s="160"/>
      <c r="VM51" s="160"/>
      <c r="VN51" s="160"/>
      <c r="VO51" s="160"/>
      <c r="VP51" s="160"/>
      <c r="VQ51" s="160"/>
      <c r="VR51" s="160"/>
      <c r="VS51" s="160"/>
      <c r="VT51" s="160"/>
      <c r="VU51" s="160"/>
      <c r="VV51" s="160"/>
      <c r="VW51" s="160"/>
      <c r="VX51" s="160"/>
      <c r="VY51" s="160"/>
      <c r="VZ51" s="160"/>
      <c r="WA51" s="160"/>
      <c r="WB51" s="160"/>
      <c r="WC51" s="160"/>
      <c r="WD51" s="160"/>
      <c r="WE51" s="160"/>
      <c r="WF51" s="160"/>
      <c r="WG51" s="160"/>
      <c r="WH51" s="160"/>
      <c r="WI51" s="160"/>
      <c r="WJ51" s="160"/>
      <c r="WK51" s="160"/>
      <c r="WL51" s="160"/>
      <c r="WM51" s="160"/>
      <c r="WN51" s="160"/>
      <c r="WO51" s="160"/>
      <c r="WP51" s="160"/>
      <c r="WQ51" s="160"/>
      <c r="WR51" s="160"/>
      <c r="WS51" s="160"/>
      <c r="WT51" s="160"/>
      <c r="WU51" s="160"/>
      <c r="WV51" s="160"/>
      <c r="WW51" s="160"/>
      <c r="WX51" s="160"/>
      <c r="WY51" s="160"/>
      <c r="WZ51" s="160"/>
      <c r="XA51" s="160"/>
      <c r="XB51" s="160"/>
      <c r="XC51" s="160"/>
      <c r="XD51" s="160"/>
      <c r="XE51" s="160"/>
      <c r="XF51" s="160"/>
      <c r="XG51" s="160"/>
      <c r="XH51" s="160"/>
      <c r="XI51" s="160"/>
      <c r="XJ51" s="160"/>
      <c r="XK51" s="160"/>
      <c r="XL51" s="160"/>
      <c r="XM51" s="160"/>
      <c r="XN51" s="160"/>
      <c r="XO51" s="160"/>
      <c r="XP51" s="160"/>
      <c r="XQ51" s="160"/>
      <c r="XR51" s="160"/>
      <c r="XS51" s="160"/>
      <c r="XT51" s="160"/>
      <c r="XU51" s="160"/>
      <c r="XV51" s="160"/>
      <c r="XW51" s="160"/>
      <c r="XX51" s="160"/>
      <c r="XY51" s="160"/>
      <c r="XZ51" s="160"/>
      <c r="YA51" s="160"/>
      <c r="YB51" s="160"/>
      <c r="YC51" s="160"/>
      <c r="YD51" s="160"/>
      <c r="YE51" s="160"/>
      <c r="YF51" s="160"/>
      <c r="YG51" s="160"/>
      <c r="YH51" s="160"/>
      <c r="YI51" s="160"/>
      <c r="YJ51" s="160"/>
      <c r="YK51" s="160"/>
      <c r="YL51" s="160"/>
      <c r="YM51" s="160"/>
      <c r="YN51" s="160"/>
      <c r="YO51" s="160"/>
      <c r="YP51" s="160"/>
      <c r="YQ51" s="160"/>
      <c r="YR51" s="160"/>
      <c r="YS51" s="160"/>
      <c r="YT51" s="160"/>
      <c r="YU51" s="160"/>
      <c r="YV51" s="160"/>
      <c r="YW51" s="160"/>
      <c r="YX51" s="160"/>
      <c r="YY51" s="160"/>
      <c r="YZ51" s="160"/>
      <c r="ZA51" s="160"/>
      <c r="ZB51" s="160"/>
      <c r="ZC51" s="160"/>
      <c r="ZD51" s="160"/>
      <c r="ZE51" s="160"/>
      <c r="ZF51" s="160"/>
      <c r="ZG51" s="160"/>
      <c r="ZH51" s="160"/>
      <c r="ZI51" s="160"/>
      <c r="ZJ51" s="160"/>
      <c r="ZK51" s="160"/>
      <c r="ZL51" s="160"/>
      <c r="ZM51" s="160"/>
      <c r="ZN51" s="160"/>
      <c r="ZO51" s="160"/>
      <c r="ZP51" s="160"/>
      <c r="ZQ51" s="160"/>
      <c r="ZR51" s="160"/>
      <c r="ZS51" s="160"/>
      <c r="ZT51" s="160"/>
      <c r="ZU51" s="160"/>
      <c r="ZV51" s="160"/>
      <c r="ZW51" s="160"/>
      <c r="ZX51" s="160"/>
      <c r="ZY51" s="160"/>
      <c r="ZZ51" s="160"/>
      <c r="AAA51" s="160"/>
      <c r="AAB51" s="160"/>
      <c r="AAC51" s="160"/>
      <c r="AAD51" s="160"/>
      <c r="AAE51" s="160"/>
      <c r="AAF51" s="160"/>
      <c r="AAG51" s="160"/>
      <c r="AAH51" s="160"/>
      <c r="AAI51" s="160"/>
      <c r="AAJ51" s="160"/>
      <c r="AAK51" s="160"/>
      <c r="AAL51" s="160"/>
      <c r="AAM51" s="160"/>
      <c r="AAN51" s="160"/>
      <c r="AAO51" s="160"/>
      <c r="AAP51" s="160"/>
      <c r="AAQ51" s="160"/>
      <c r="AAR51" s="160"/>
      <c r="AAS51" s="160"/>
      <c r="AAT51" s="160"/>
      <c r="AAU51" s="160"/>
      <c r="AAV51" s="160"/>
      <c r="AAW51" s="160"/>
      <c r="AAX51" s="160"/>
      <c r="AAY51" s="160"/>
      <c r="AAZ51" s="160"/>
      <c r="ABA51" s="160"/>
      <c r="ABB51" s="160"/>
      <c r="ABC51" s="160"/>
      <c r="ABD51" s="160"/>
      <c r="ABE51" s="160"/>
      <c r="ABF51" s="160"/>
      <c r="ABG51" s="160"/>
      <c r="ABH51" s="160"/>
      <c r="ABI51" s="160"/>
      <c r="ABJ51" s="160"/>
      <c r="ABK51" s="160"/>
      <c r="ABL51" s="160"/>
      <c r="ABM51" s="160"/>
      <c r="ABN51" s="160"/>
      <c r="ABO51" s="160"/>
      <c r="ABP51" s="160"/>
      <c r="ABQ51" s="160"/>
      <c r="ABR51" s="160"/>
      <c r="ABS51" s="160"/>
      <c r="ABT51" s="160"/>
      <c r="ABU51" s="160"/>
      <c r="ABV51" s="160"/>
      <c r="ABW51" s="160"/>
      <c r="ABX51" s="160"/>
      <c r="ABY51" s="160"/>
      <c r="ABZ51" s="160"/>
      <c r="ACA51" s="160"/>
      <c r="ACB51" s="160"/>
      <c r="ACC51" s="160"/>
      <c r="ACD51" s="160"/>
      <c r="ACE51" s="160"/>
      <c r="ACF51" s="160"/>
      <c r="ACG51" s="160"/>
      <c r="ACH51" s="160"/>
      <c r="ACI51" s="160"/>
      <c r="ACJ51" s="160"/>
      <c r="ACK51" s="160"/>
      <c r="ACL51" s="160"/>
      <c r="ACM51" s="160"/>
      <c r="ACN51" s="160"/>
      <c r="ACO51" s="160"/>
      <c r="ACP51" s="160"/>
      <c r="ACQ51" s="160"/>
      <c r="ACR51" s="160"/>
      <c r="ACS51" s="160"/>
      <c r="ACT51" s="160"/>
      <c r="ACU51" s="160"/>
      <c r="ACV51" s="160"/>
      <c r="ACW51" s="160"/>
      <c r="ACX51" s="160"/>
      <c r="ACY51" s="160"/>
      <c r="ACZ51" s="160"/>
      <c r="ADA51" s="160"/>
      <c r="ADB51" s="160"/>
      <c r="ADC51" s="160"/>
      <c r="ADD51" s="160"/>
      <c r="ADE51" s="160"/>
      <c r="ADF51" s="160"/>
      <c r="ADG51" s="160"/>
      <c r="ADH51" s="160"/>
      <c r="ADI51" s="160"/>
      <c r="ADJ51" s="160"/>
      <c r="ADK51" s="160"/>
      <c r="ADL51" s="160"/>
      <c r="ADM51" s="160"/>
      <c r="ADN51" s="160"/>
      <c r="ADO51" s="160"/>
      <c r="ADP51" s="160"/>
      <c r="ADQ51" s="160"/>
      <c r="ADR51" s="160"/>
      <c r="ADS51" s="160"/>
      <c r="ADT51" s="160"/>
      <c r="ADU51" s="160"/>
      <c r="ADV51" s="160"/>
      <c r="ADW51" s="160"/>
      <c r="ADX51" s="160"/>
      <c r="ADY51" s="160"/>
      <c r="ADZ51" s="160"/>
      <c r="AEA51" s="160"/>
      <c r="AEB51" s="160"/>
      <c r="AEC51" s="160"/>
      <c r="AED51" s="160"/>
      <c r="AEE51" s="160"/>
      <c r="AEF51" s="160"/>
      <c r="AEG51" s="160"/>
      <c r="AEH51" s="160"/>
      <c r="AEI51" s="160"/>
      <c r="AEJ51" s="160"/>
      <c r="AEK51" s="160"/>
      <c r="AEL51" s="160"/>
      <c r="AEM51" s="160"/>
      <c r="AEN51" s="160"/>
      <c r="AEO51" s="160"/>
      <c r="AEP51" s="160"/>
      <c r="AEQ51" s="160"/>
      <c r="AER51" s="160"/>
      <c r="AES51" s="160"/>
      <c r="AET51" s="160"/>
      <c r="AEU51" s="160"/>
      <c r="AEV51" s="160"/>
      <c r="AEW51" s="160"/>
      <c r="AEX51" s="160"/>
      <c r="AEY51" s="160"/>
      <c r="AEZ51" s="160"/>
      <c r="AFA51" s="160"/>
      <c r="AFB51" s="160"/>
      <c r="AFC51" s="160"/>
      <c r="AFD51" s="160"/>
      <c r="AFE51" s="160"/>
      <c r="AFF51" s="160"/>
      <c r="AFG51" s="160"/>
      <c r="AFH51" s="160"/>
      <c r="AFI51" s="160"/>
      <c r="AFJ51" s="160"/>
      <c r="AFK51" s="160"/>
      <c r="AFL51" s="160"/>
      <c r="AFM51" s="160"/>
      <c r="AFN51" s="160"/>
      <c r="AFO51" s="160"/>
      <c r="AFP51" s="160"/>
      <c r="AFQ51" s="160"/>
      <c r="AFR51" s="160"/>
      <c r="AFS51" s="160"/>
      <c r="AFT51" s="160"/>
      <c r="AFU51" s="160"/>
      <c r="AFV51" s="160"/>
      <c r="AFW51" s="160"/>
      <c r="AFX51" s="160"/>
      <c r="AFY51" s="160"/>
      <c r="AFZ51" s="160"/>
      <c r="AGA51" s="160"/>
      <c r="AGB51" s="160"/>
      <c r="AGC51" s="160"/>
      <c r="AGD51" s="160"/>
      <c r="AGE51" s="160"/>
      <c r="AGF51" s="160"/>
      <c r="AGG51" s="160"/>
      <c r="AGH51" s="160"/>
      <c r="AGI51" s="160"/>
      <c r="AGJ51" s="160"/>
      <c r="AGK51" s="160"/>
      <c r="AGL51" s="160"/>
      <c r="AGM51" s="160"/>
      <c r="AGN51" s="160"/>
      <c r="AGO51" s="160"/>
      <c r="AGP51" s="160"/>
      <c r="AGQ51" s="160"/>
      <c r="AGR51" s="160"/>
      <c r="AGS51" s="160"/>
      <c r="AGT51" s="160"/>
      <c r="AGU51" s="160"/>
      <c r="AGV51" s="160"/>
      <c r="AGW51" s="160"/>
      <c r="AGX51" s="160"/>
      <c r="AGY51" s="160"/>
      <c r="AGZ51" s="160"/>
      <c r="AHA51" s="160"/>
      <c r="AHB51" s="160"/>
      <c r="AHC51" s="160"/>
      <c r="AHD51" s="160"/>
      <c r="AHE51" s="160"/>
      <c r="AHF51" s="160"/>
      <c r="AHG51" s="160"/>
      <c r="AHH51" s="160"/>
      <c r="AHI51" s="160"/>
      <c r="AHJ51" s="160"/>
      <c r="AHK51" s="160"/>
      <c r="AHL51" s="160"/>
      <c r="AHM51" s="160"/>
      <c r="AHN51" s="160"/>
      <c r="AHO51" s="160"/>
      <c r="AHP51" s="160"/>
      <c r="AHQ51" s="160"/>
      <c r="AHR51" s="160"/>
      <c r="AHS51" s="160"/>
      <c r="AHT51" s="160"/>
      <c r="AHU51" s="160"/>
      <c r="AHV51" s="160"/>
      <c r="AHW51" s="160"/>
      <c r="AHX51" s="160"/>
      <c r="AHY51" s="160"/>
      <c r="AHZ51" s="160"/>
      <c r="AIA51" s="160"/>
      <c r="AIB51" s="160"/>
      <c r="AIC51" s="160"/>
      <c r="AID51" s="160"/>
      <c r="AIE51" s="160"/>
      <c r="AIF51" s="160"/>
      <c r="AIG51" s="160"/>
      <c r="AIH51" s="160"/>
      <c r="AII51" s="160"/>
      <c r="AIJ51" s="160"/>
      <c r="AIK51" s="160"/>
      <c r="AIL51" s="160"/>
      <c r="AIM51" s="160"/>
      <c r="AIN51" s="160"/>
      <c r="AIO51" s="160"/>
      <c r="AIP51" s="160"/>
      <c r="AIQ51" s="160"/>
      <c r="AIR51" s="160"/>
      <c r="AIS51" s="160"/>
      <c r="AIT51" s="160"/>
      <c r="AIU51" s="160"/>
      <c r="AIV51" s="160"/>
      <c r="AIW51" s="160"/>
      <c r="AIX51" s="160"/>
      <c r="AIY51" s="160"/>
      <c r="AIZ51" s="160"/>
      <c r="AJA51" s="160"/>
      <c r="AJB51" s="160"/>
      <c r="AJC51" s="160"/>
      <c r="AJD51" s="160"/>
      <c r="AJE51" s="160"/>
      <c r="AJF51" s="160"/>
      <c r="AJG51" s="160"/>
      <c r="AJH51" s="160"/>
      <c r="AJI51" s="160"/>
      <c r="AJJ51" s="160"/>
      <c r="AJK51" s="160"/>
      <c r="AJL51" s="160"/>
      <c r="AJM51" s="160"/>
      <c r="AJN51" s="160"/>
      <c r="AJO51" s="160"/>
      <c r="AJP51" s="160"/>
      <c r="AJQ51" s="160"/>
      <c r="AJR51" s="160"/>
      <c r="AJS51" s="160"/>
      <c r="AJT51" s="160"/>
      <c r="AJU51" s="160"/>
      <c r="AJV51" s="160"/>
      <c r="AJW51" s="160"/>
      <c r="AJX51" s="160"/>
      <c r="AJY51" s="160"/>
      <c r="AJZ51" s="160"/>
      <c r="AKA51" s="160"/>
      <c r="AKB51" s="160"/>
      <c r="AKC51" s="160"/>
      <c r="AKD51" s="160"/>
      <c r="AKE51" s="160"/>
      <c r="AKF51" s="160"/>
      <c r="AKG51" s="160"/>
      <c r="AKH51" s="160"/>
      <c r="AKI51" s="160"/>
      <c r="AKJ51" s="160"/>
      <c r="AKK51" s="160"/>
      <c r="AKL51" s="160"/>
      <c r="AKM51" s="160"/>
      <c r="AKN51" s="160"/>
      <c r="AKO51" s="160"/>
      <c r="AKP51" s="160"/>
      <c r="AKQ51" s="160"/>
      <c r="AKR51" s="160"/>
      <c r="AKS51" s="160"/>
      <c r="AKT51" s="160"/>
      <c r="AKU51" s="160"/>
      <c r="AKV51" s="160"/>
      <c r="AKW51" s="160"/>
      <c r="AKX51" s="160"/>
      <c r="AKY51" s="160"/>
      <c r="AKZ51" s="160"/>
      <c r="ALA51" s="160"/>
      <c r="ALB51" s="160"/>
      <c r="ALC51" s="160"/>
      <c r="ALD51" s="160"/>
      <c r="ALE51" s="160"/>
      <c r="ALF51" s="160"/>
      <c r="ALG51" s="160"/>
      <c r="ALH51" s="160"/>
      <c r="ALI51" s="160"/>
      <c r="ALJ51" s="160"/>
      <c r="ALK51" s="160"/>
      <c r="ALL51" s="160"/>
      <c r="ALM51" s="160"/>
      <c r="ALN51" s="160"/>
      <c r="ALO51" s="160"/>
      <c r="ALP51" s="160"/>
      <c r="ALQ51" s="160"/>
      <c r="ALR51" s="160"/>
      <c r="ALS51" s="160"/>
      <c r="ALT51" s="160"/>
      <c r="ALU51" s="160"/>
      <c r="ALV51" s="160"/>
      <c r="ALW51" s="160"/>
      <c r="ALX51" s="160"/>
      <c r="ALY51" s="160"/>
      <c r="ALZ51" s="160"/>
      <c r="AMA51" s="160"/>
      <c r="AMB51" s="160"/>
      <c r="AMC51" s="160"/>
      <c r="AMD51" s="160"/>
      <c r="AME51" s="158"/>
    </row>
    <row r="52" spans="1:1019">
      <c r="A52" s="168">
        <f t="shared" ref="A52:A90" si="2">A51+1</f>
        <v>45</v>
      </c>
      <c r="B52" s="175">
        <v>546</v>
      </c>
      <c r="C52" s="168" t="s">
        <v>62</v>
      </c>
      <c r="D52" s="169">
        <f>'הנדסה '!D9</f>
        <v>5850000</v>
      </c>
      <c r="E52" s="169">
        <f>'הנדסה '!E9</f>
        <v>5850000</v>
      </c>
      <c r="F52" s="169">
        <f>'הנדסה '!F9</f>
        <v>0</v>
      </c>
      <c r="G52" s="169">
        <f>'הנדסה '!G9</f>
        <v>3550000</v>
      </c>
      <c r="H52" s="169">
        <f>'הנדסה '!H9</f>
        <v>2895703.4</v>
      </c>
      <c r="I52" s="169">
        <f>'הנדסה '!I9</f>
        <v>0</v>
      </c>
      <c r="J52" s="169">
        <f>'הנדסה '!J9</f>
        <v>18052.75</v>
      </c>
      <c r="K52" s="169">
        <f>'הנדסה '!K9</f>
        <v>18052.75</v>
      </c>
      <c r="L52" s="169">
        <f>'הנדסה '!L9</f>
        <v>2913756.15</v>
      </c>
      <c r="M52" s="169">
        <f>'הנדסה '!M9</f>
        <v>36243.850000000093</v>
      </c>
      <c r="N52" s="169">
        <f>'הנדסה '!N9</f>
        <v>0</v>
      </c>
      <c r="O52" s="169">
        <f>'הנדסה '!O9</f>
        <v>2900000</v>
      </c>
      <c r="P52" s="169">
        <f>'הנדסה '!P9</f>
        <v>636243.85000000009</v>
      </c>
      <c r="Q52" s="169">
        <f>'הנדסה '!Q9</f>
        <v>0</v>
      </c>
      <c r="R52" s="169">
        <f>'הנדסה '!R9</f>
        <v>0</v>
      </c>
      <c r="S52" s="169">
        <f>'הנדסה '!S9</f>
        <v>0</v>
      </c>
      <c r="T52" s="169">
        <f>'הנדסה '!T9</f>
        <v>600000</v>
      </c>
      <c r="U52" s="169">
        <f>'הנדסה '!U9</f>
        <v>-600000</v>
      </c>
      <c r="V52" s="169">
        <f>'הנדסה '!V9</f>
        <v>-600000</v>
      </c>
      <c r="W52" s="169">
        <f>'הנדסה '!W9</f>
        <v>0</v>
      </c>
      <c r="X52" s="169">
        <f>'הנדסה '!X9</f>
        <v>0</v>
      </c>
      <c r="Y52" s="169">
        <f>'הנדסה '!Y9</f>
        <v>0</v>
      </c>
      <c r="Z52" s="169">
        <f>'הנדסה '!Z9</f>
        <v>0</v>
      </c>
      <c r="AA52" s="659">
        <f>'הנדסה '!AA9</f>
        <v>742000</v>
      </c>
      <c r="AB52" s="157"/>
    </row>
    <row r="53" spans="1:1019" s="172" customFormat="1" ht="15" customHeight="1">
      <c r="A53" s="168">
        <f t="shared" si="2"/>
        <v>46</v>
      </c>
      <c r="B53" s="175">
        <v>592</v>
      </c>
      <c r="C53" s="168" t="s">
        <v>34</v>
      </c>
      <c r="D53" s="169">
        <f>'הנדסה '!D10</f>
        <v>54893000</v>
      </c>
      <c r="E53" s="169">
        <f>'הנדסה '!E10</f>
        <v>40720000</v>
      </c>
      <c r="F53" s="169">
        <f>'הנדסה '!F10</f>
        <v>14173000</v>
      </c>
      <c r="G53" s="169">
        <f>'הנדסה '!G10</f>
        <v>18420000</v>
      </c>
      <c r="H53" s="169">
        <f>'הנדסה '!H10</f>
        <v>17302170.350000001</v>
      </c>
      <c r="I53" s="169">
        <f>'הנדסה '!I10</f>
        <v>178639.73</v>
      </c>
      <c r="J53" s="169">
        <f>'הנדסה '!J10</f>
        <v>24794.65</v>
      </c>
      <c r="K53" s="169">
        <f>'הנדסה '!K10</f>
        <v>203434.38</v>
      </c>
      <c r="L53" s="169">
        <f>'הנדסה '!L10</f>
        <v>17505604.73</v>
      </c>
      <c r="M53" s="169">
        <f>'הנדסה '!M10</f>
        <v>914395.26999999955</v>
      </c>
      <c r="N53" s="169">
        <f>'הנדסה '!N10</f>
        <v>0</v>
      </c>
      <c r="O53" s="169">
        <f>'הנדסה '!O10</f>
        <v>36473000</v>
      </c>
      <c r="P53" s="169">
        <f>'הנדסה '!P10</f>
        <v>914395.26999999955</v>
      </c>
      <c r="Q53" s="169">
        <f>'הנדסה '!Q10</f>
        <v>0</v>
      </c>
      <c r="R53" s="169">
        <f>'הנדסה '!R10</f>
        <v>0</v>
      </c>
      <c r="S53" s="169">
        <f>'הנדסה '!S10</f>
        <v>0</v>
      </c>
      <c r="T53" s="169">
        <f>'הנדסה '!T10</f>
        <v>0</v>
      </c>
      <c r="U53" s="169">
        <f>'הנדסה '!U10</f>
        <v>0</v>
      </c>
      <c r="V53" s="169">
        <f>'הנדסה '!V10</f>
        <v>0</v>
      </c>
      <c r="W53" s="169">
        <f>'הנדסה '!W10</f>
        <v>0</v>
      </c>
      <c r="X53" s="169">
        <f>'הנדסה '!X10</f>
        <v>0</v>
      </c>
      <c r="Y53" s="169">
        <f>'הנדסה '!Y10</f>
        <v>0</v>
      </c>
      <c r="Z53" s="169">
        <f>'הנדסה '!Z10</f>
        <v>0</v>
      </c>
      <c r="AA53" s="659">
        <f>'הנדסה '!AA10</f>
        <v>742000</v>
      </c>
      <c r="AB53" s="157"/>
      <c r="AC53" s="157"/>
      <c r="AD53" s="157"/>
      <c r="AE53" s="157"/>
      <c r="AF53" s="160"/>
      <c r="AG53" s="174"/>
      <c r="AH53" s="174"/>
      <c r="AI53" s="174"/>
      <c r="AJ53" s="174"/>
      <c r="AK53" s="174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  <c r="IQ53" s="160"/>
      <c r="IR53" s="160"/>
      <c r="IS53" s="160"/>
      <c r="IT53" s="160"/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  <c r="JF53" s="160"/>
      <c r="JG53" s="160"/>
      <c r="JH53" s="160"/>
      <c r="JI53" s="160"/>
      <c r="JJ53" s="160"/>
      <c r="JK53" s="160"/>
      <c r="JL53" s="160"/>
      <c r="JM53" s="160"/>
      <c r="JN53" s="160"/>
      <c r="JO53" s="160"/>
      <c r="JP53" s="160"/>
      <c r="JQ53" s="160"/>
      <c r="JR53" s="160"/>
      <c r="JS53" s="160"/>
      <c r="JT53" s="160"/>
      <c r="JU53" s="160"/>
      <c r="JV53" s="160"/>
      <c r="JW53" s="160"/>
      <c r="JX53" s="160"/>
      <c r="JY53" s="160"/>
      <c r="JZ53" s="160"/>
      <c r="KA53" s="160"/>
      <c r="KB53" s="160"/>
      <c r="KC53" s="160"/>
      <c r="KD53" s="160"/>
      <c r="KE53" s="160"/>
      <c r="KF53" s="160"/>
      <c r="KG53" s="160"/>
      <c r="KH53" s="160"/>
      <c r="KI53" s="160"/>
      <c r="KJ53" s="160"/>
      <c r="KK53" s="160"/>
      <c r="KL53" s="160"/>
      <c r="KM53" s="160"/>
      <c r="KN53" s="160"/>
      <c r="KO53" s="160"/>
      <c r="KP53" s="160"/>
      <c r="KQ53" s="160"/>
      <c r="KR53" s="160"/>
      <c r="KS53" s="160"/>
      <c r="KT53" s="160"/>
      <c r="KU53" s="160"/>
      <c r="KV53" s="160"/>
      <c r="KW53" s="160"/>
      <c r="KX53" s="160"/>
      <c r="KY53" s="160"/>
      <c r="KZ53" s="160"/>
      <c r="LA53" s="160"/>
      <c r="LB53" s="160"/>
      <c r="LC53" s="160"/>
      <c r="LD53" s="160"/>
      <c r="LE53" s="160"/>
      <c r="LF53" s="160"/>
      <c r="LG53" s="160"/>
      <c r="LH53" s="160"/>
      <c r="LI53" s="160"/>
      <c r="LJ53" s="160"/>
      <c r="LK53" s="160"/>
      <c r="LL53" s="160"/>
      <c r="LM53" s="160"/>
      <c r="LN53" s="160"/>
      <c r="LO53" s="160"/>
      <c r="LP53" s="160"/>
      <c r="LQ53" s="160"/>
      <c r="LR53" s="160"/>
      <c r="LS53" s="160"/>
      <c r="LT53" s="160"/>
      <c r="LU53" s="160"/>
      <c r="LV53" s="160"/>
      <c r="LW53" s="160"/>
      <c r="LX53" s="160"/>
      <c r="LY53" s="160"/>
      <c r="LZ53" s="160"/>
      <c r="MA53" s="160"/>
      <c r="MB53" s="160"/>
      <c r="MC53" s="160"/>
      <c r="MD53" s="160"/>
      <c r="ME53" s="160"/>
      <c r="MF53" s="160"/>
      <c r="MG53" s="160"/>
      <c r="MH53" s="160"/>
      <c r="MI53" s="160"/>
      <c r="MJ53" s="160"/>
      <c r="MK53" s="160"/>
      <c r="ML53" s="160"/>
      <c r="MM53" s="160"/>
      <c r="MN53" s="160"/>
      <c r="MO53" s="160"/>
      <c r="MP53" s="160"/>
      <c r="MQ53" s="160"/>
      <c r="MR53" s="160"/>
      <c r="MS53" s="160"/>
      <c r="MT53" s="160"/>
      <c r="MU53" s="160"/>
      <c r="MV53" s="160"/>
      <c r="MW53" s="160"/>
      <c r="MX53" s="160"/>
      <c r="MY53" s="160"/>
      <c r="MZ53" s="160"/>
      <c r="NA53" s="160"/>
      <c r="NB53" s="160"/>
      <c r="NC53" s="160"/>
      <c r="ND53" s="160"/>
      <c r="NE53" s="160"/>
      <c r="NF53" s="160"/>
      <c r="NG53" s="160"/>
      <c r="NH53" s="160"/>
      <c r="NI53" s="160"/>
      <c r="NJ53" s="160"/>
      <c r="NK53" s="160"/>
      <c r="NL53" s="160"/>
      <c r="NM53" s="160"/>
      <c r="NN53" s="160"/>
      <c r="NO53" s="160"/>
      <c r="NP53" s="160"/>
      <c r="NQ53" s="160"/>
      <c r="NR53" s="160"/>
      <c r="NS53" s="160"/>
      <c r="NT53" s="160"/>
      <c r="NU53" s="160"/>
      <c r="NV53" s="160"/>
      <c r="NW53" s="160"/>
      <c r="NX53" s="160"/>
      <c r="NY53" s="160"/>
      <c r="NZ53" s="160"/>
      <c r="OA53" s="160"/>
      <c r="OB53" s="160"/>
      <c r="OC53" s="160"/>
      <c r="OD53" s="160"/>
      <c r="OE53" s="160"/>
      <c r="OF53" s="160"/>
      <c r="OG53" s="160"/>
      <c r="OH53" s="160"/>
      <c r="OI53" s="160"/>
      <c r="OJ53" s="160"/>
      <c r="OK53" s="160"/>
      <c r="OL53" s="160"/>
      <c r="OM53" s="160"/>
      <c r="ON53" s="160"/>
      <c r="OO53" s="160"/>
      <c r="OP53" s="160"/>
      <c r="OQ53" s="160"/>
      <c r="OR53" s="160"/>
      <c r="OS53" s="160"/>
      <c r="OT53" s="160"/>
      <c r="OU53" s="160"/>
      <c r="OV53" s="160"/>
      <c r="OW53" s="160"/>
      <c r="OX53" s="160"/>
      <c r="OY53" s="160"/>
      <c r="OZ53" s="160"/>
      <c r="PA53" s="160"/>
      <c r="PB53" s="160"/>
      <c r="PC53" s="160"/>
      <c r="PD53" s="160"/>
      <c r="PE53" s="160"/>
      <c r="PF53" s="160"/>
      <c r="PG53" s="160"/>
      <c r="PH53" s="160"/>
      <c r="PI53" s="160"/>
      <c r="PJ53" s="160"/>
      <c r="PK53" s="160"/>
      <c r="PL53" s="160"/>
      <c r="PM53" s="160"/>
      <c r="PN53" s="160"/>
      <c r="PO53" s="160"/>
      <c r="PP53" s="160"/>
      <c r="PQ53" s="160"/>
      <c r="PR53" s="160"/>
      <c r="PS53" s="160"/>
      <c r="PT53" s="160"/>
      <c r="PU53" s="160"/>
      <c r="PV53" s="160"/>
      <c r="PW53" s="160"/>
      <c r="PX53" s="160"/>
      <c r="PY53" s="160"/>
      <c r="PZ53" s="160"/>
      <c r="QA53" s="160"/>
      <c r="QB53" s="160"/>
      <c r="QC53" s="160"/>
      <c r="QD53" s="160"/>
      <c r="QE53" s="160"/>
      <c r="QF53" s="160"/>
      <c r="QG53" s="160"/>
      <c r="QH53" s="160"/>
      <c r="QI53" s="160"/>
      <c r="QJ53" s="160"/>
      <c r="QK53" s="160"/>
      <c r="QL53" s="160"/>
      <c r="QM53" s="160"/>
      <c r="QN53" s="160"/>
      <c r="QO53" s="160"/>
      <c r="QP53" s="160"/>
      <c r="QQ53" s="160"/>
      <c r="QR53" s="160"/>
      <c r="QS53" s="160"/>
      <c r="QT53" s="160"/>
      <c r="QU53" s="160"/>
      <c r="QV53" s="160"/>
      <c r="QW53" s="160"/>
      <c r="QX53" s="160"/>
      <c r="QY53" s="160"/>
      <c r="QZ53" s="160"/>
      <c r="RA53" s="160"/>
      <c r="RB53" s="160"/>
      <c r="RC53" s="160"/>
      <c r="RD53" s="160"/>
      <c r="RE53" s="160"/>
      <c r="RF53" s="160"/>
      <c r="RG53" s="160"/>
      <c r="RH53" s="160"/>
      <c r="RI53" s="160"/>
      <c r="RJ53" s="160"/>
      <c r="RK53" s="160"/>
      <c r="RL53" s="160"/>
      <c r="RM53" s="160"/>
      <c r="RN53" s="160"/>
      <c r="RO53" s="160"/>
      <c r="RP53" s="160"/>
      <c r="RQ53" s="160"/>
      <c r="RR53" s="160"/>
      <c r="RS53" s="160"/>
      <c r="RT53" s="160"/>
      <c r="RU53" s="160"/>
      <c r="RV53" s="160"/>
      <c r="RW53" s="160"/>
      <c r="RX53" s="160"/>
      <c r="RY53" s="160"/>
      <c r="RZ53" s="160"/>
      <c r="SA53" s="160"/>
      <c r="SB53" s="160"/>
      <c r="SC53" s="160"/>
      <c r="SD53" s="160"/>
      <c r="SE53" s="160"/>
      <c r="SF53" s="160"/>
      <c r="SG53" s="160"/>
      <c r="SH53" s="160"/>
      <c r="SI53" s="160"/>
      <c r="SJ53" s="160"/>
      <c r="SK53" s="160"/>
      <c r="SL53" s="160"/>
      <c r="SM53" s="160"/>
      <c r="SN53" s="160"/>
      <c r="SO53" s="160"/>
      <c r="SP53" s="160"/>
      <c r="SQ53" s="160"/>
      <c r="SR53" s="160"/>
      <c r="SS53" s="160"/>
      <c r="ST53" s="160"/>
      <c r="SU53" s="160"/>
      <c r="SV53" s="160"/>
      <c r="SW53" s="160"/>
      <c r="SX53" s="160"/>
      <c r="SY53" s="160"/>
      <c r="SZ53" s="160"/>
      <c r="TA53" s="160"/>
      <c r="TB53" s="160"/>
      <c r="TC53" s="160"/>
      <c r="TD53" s="160"/>
      <c r="TE53" s="160"/>
      <c r="TF53" s="160"/>
      <c r="TG53" s="160"/>
      <c r="TH53" s="160"/>
      <c r="TI53" s="160"/>
      <c r="TJ53" s="160"/>
      <c r="TK53" s="160"/>
      <c r="TL53" s="160"/>
      <c r="TM53" s="160"/>
      <c r="TN53" s="160"/>
      <c r="TO53" s="160"/>
      <c r="TP53" s="160"/>
      <c r="TQ53" s="160"/>
      <c r="TR53" s="160"/>
      <c r="TS53" s="160"/>
      <c r="TT53" s="160"/>
      <c r="TU53" s="160"/>
      <c r="TV53" s="160"/>
      <c r="TW53" s="160"/>
      <c r="TX53" s="160"/>
      <c r="TY53" s="160"/>
      <c r="TZ53" s="160"/>
      <c r="UA53" s="160"/>
      <c r="UB53" s="160"/>
      <c r="UC53" s="160"/>
      <c r="UD53" s="160"/>
      <c r="UE53" s="160"/>
      <c r="UF53" s="160"/>
      <c r="UG53" s="160"/>
      <c r="UH53" s="160"/>
      <c r="UI53" s="160"/>
      <c r="UJ53" s="160"/>
      <c r="UK53" s="160"/>
      <c r="UL53" s="160"/>
      <c r="UM53" s="160"/>
      <c r="UN53" s="160"/>
      <c r="UO53" s="160"/>
      <c r="UP53" s="160"/>
      <c r="UQ53" s="160"/>
      <c r="UR53" s="160"/>
      <c r="US53" s="160"/>
      <c r="UT53" s="160"/>
      <c r="UU53" s="160"/>
      <c r="UV53" s="160"/>
      <c r="UW53" s="160"/>
      <c r="UX53" s="160"/>
      <c r="UY53" s="160"/>
      <c r="UZ53" s="160"/>
      <c r="VA53" s="160"/>
      <c r="VB53" s="160"/>
      <c r="VC53" s="160"/>
      <c r="VD53" s="160"/>
      <c r="VE53" s="160"/>
      <c r="VF53" s="160"/>
      <c r="VG53" s="160"/>
      <c r="VH53" s="160"/>
      <c r="VI53" s="160"/>
      <c r="VJ53" s="160"/>
      <c r="VK53" s="160"/>
      <c r="VL53" s="160"/>
      <c r="VM53" s="160"/>
      <c r="VN53" s="160"/>
      <c r="VO53" s="160"/>
      <c r="VP53" s="160"/>
      <c r="VQ53" s="160"/>
      <c r="VR53" s="160"/>
      <c r="VS53" s="160"/>
      <c r="VT53" s="160"/>
      <c r="VU53" s="160"/>
      <c r="VV53" s="160"/>
      <c r="VW53" s="160"/>
      <c r="VX53" s="160"/>
      <c r="VY53" s="160"/>
      <c r="VZ53" s="160"/>
      <c r="WA53" s="160"/>
      <c r="WB53" s="160"/>
      <c r="WC53" s="160"/>
      <c r="WD53" s="160"/>
      <c r="WE53" s="160"/>
      <c r="WF53" s="160"/>
      <c r="WG53" s="160"/>
      <c r="WH53" s="160"/>
      <c r="WI53" s="160"/>
      <c r="WJ53" s="160"/>
      <c r="WK53" s="160"/>
      <c r="WL53" s="160"/>
      <c r="WM53" s="160"/>
      <c r="WN53" s="160"/>
      <c r="WO53" s="160"/>
      <c r="WP53" s="160"/>
      <c r="WQ53" s="160"/>
      <c r="WR53" s="160"/>
      <c r="WS53" s="160"/>
      <c r="WT53" s="160"/>
      <c r="WU53" s="160"/>
      <c r="WV53" s="160"/>
      <c r="WW53" s="160"/>
      <c r="WX53" s="160"/>
      <c r="WY53" s="160"/>
      <c r="WZ53" s="160"/>
      <c r="XA53" s="160"/>
      <c r="XB53" s="160"/>
      <c r="XC53" s="160"/>
      <c r="XD53" s="160"/>
      <c r="XE53" s="160"/>
      <c r="XF53" s="160"/>
      <c r="XG53" s="160"/>
      <c r="XH53" s="160"/>
      <c r="XI53" s="160"/>
      <c r="XJ53" s="160"/>
      <c r="XK53" s="160"/>
      <c r="XL53" s="160"/>
      <c r="XM53" s="160"/>
      <c r="XN53" s="160"/>
      <c r="XO53" s="160"/>
      <c r="XP53" s="160"/>
      <c r="XQ53" s="160"/>
      <c r="XR53" s="160"/>
      <c r="XS53" s="160"/>
      <c r="XT53" s="160"/>
      <c r="XU53" s="160"/>
      <c r="XV53" s="160"/>
      <c r="XW53" s="160"/>
      <c r="XX53" s="160"/>
      <c r="XY53" s="160"/>
      <c r="XZ53" s="160"/>
      <c r="YA53" s="160"/>
      <c r="YB53" s="160"/>
      <c r="YC53" s="160"/>
      <c r="YD53" s="160"/>
      <c r="YE53" s="160"/>
      <c r="YF53" s="160"/>
      <c r="YG53" s="160"/>
      <c r="YH53" s="160"/>
      <c r="YI53" s="160"/>
      <c r="YJ53" s="160"/>
      <c r="YK53" s="160"/>
      <c r="YL53" s="160"/>
      <c r="YM53" s="160"/>
      <c r="YN53" s="160"/>
      <c r="YO53" s="160"/>
      <c r="YP53" s="160"/>
      <c r="YQ53" s="160"/>
      <c r="YR53" s="160"/>
      <c r="YS53" s="160"/>
      <c r="YT53" s="160"/>
      <c r="YU53" s="160"/>
      <c r="YV53" s="160"/>
      <c r="YW53" s="160"/>
      <c r="YX53" s="160"/>
      <c r="YY53" s="160"/>
      <c r="YZ53" s="160"/>
      <c r="ZA53" s="160"/>
      <c r="ZB53" s="160"/>
      <c r="ZC53" s="160"/>
      <c r="ZD53" s="160"/>
      <c r="ZE53" s="160"/>
      <c r="ZF53" s="160"/>
      <c r="ZG53" s="160"/>
      <c r="ZH53" s="160"/>
      <c r="ZI53" s="160"/>
      <c r="ZJ53" s="160"/>
      <c r="ZK53" s="160"/>
      <c r="ZL53" s="160"/>
      <c r="ZM53" s="160"/>
      <c r="ZN53" s="160"/>
      <c r="ZO53" s="160"/>
      <c r="ZP53" s="160"/>
      <c r="ZQ53" s="160"/>
      <c r="ZR53" s="160"/>
      <c r="ZS53" s="160"/>
      <c r="ZT53" s="160"/>
      <c r="ZU53" s="160"/>
      <c r="ZV53" s="160"/>
      <c r="ZW53" s="160"/>
      <c r="ZX53" s="160"/>
      <c r="ZY53" s="160"/>
      <c r="ZZ53" s="160"/>
      <c r="AAA53" s="160"/>
      <c r="AAB53" s="160"/>
      <c r="AAC53" s="160"/>
      <c r="AAD53" s="160"/>
      <c r="AAE53" s="160"/>
      <c r="AAF53" s="160"/>
      <c r="AAG53" s="160"/>
      <c r="AAH53" s="160"/>
      <c r="AAI53" s="160"/>
      <c r="AAJ53" s="160"/>
      <c r="AAK53" s="160"/>
      <c r="AAL53" s="160"/>
      <c r="AAM53" s="160"/>
      <c r="AAN53" s="160"/>
      <c r="AAO53" s="160"/>
      <c r="AAP53" s="160"/>
      <c r="AAQ53" s="160"/>
      <c r="AAR53" s="160"/>
      <c r="AAS53" s="160"/>
      <c r="AAT53" s="160"/>
      <c r="AAU53" s="160"/>
      <c r="AAV53" s="160"/>
      <c r="AAW53" s="160"/>
      <c r="AAX53" s="160"/>
      <c r="AAY53" s="160"/>
      <c r="AAZ53" s="160"/>
      <c r="ABA53" s="160"/>
      <c r="ABB53" s="160"/>
      <c r="ABC53" s="160"/>
      <c r="ABD53" s="160"/>
      <c r="ABE53" s="160"/>
      <c r="ABF53" s="160"/>
      <c r="ABG53" s="160"/>
      <c r="ABH53" s="160"/>
      <c r="ABI53" s="160"/>
      <c r="ABJ53" s="160"/>
      <c r="ABK53" s="160"/>
      <c r="ABL53" s="160"/>
      <c r="ABM53" s="160"/>
      <c r="ABN53" s="160"/>
      <c r="ABO53" s="160"/>
      <c r="ABP53" s="160"/>
      <c r="ABQ53" s="160"/>
      <c r="ABR53" s="160"/>
      <c r="ABS53" s="160"/>
      <c r="ABT53" s="160"/>
      <c r="ABU53" s="160"/>
      <c r="ABV53" s="160"/>
      <c r="ABW53" s="160"/>
      <c r="ABX53" s="160"/>
      <c r="ABY53" s="160"/>
      <c r="ABZ53" s="160"/>
      <c r="ACA53" s="160"/>
      <c r="ACB53" s="160"/>
      <c r="ACC53" s="160"/>
      <c r="ACD53" s="160"/>
      <c r="ACE53" s="160"/>
      <c r="ACF53" s="160"/>
      <c r="ACG53" s="160"/>
      <c r="ACH53" s="160"/>
      <c r="ACI53" s="160"/>
      <c r="ACJ53" s="160"/>
      <c r="ACK53" s="160"/>
      <c r="ACL53" s="160"/>
      <c r="ACM53" s="160"/>
      <c r="ACN53" s="160"/>
      <c r="ACO53" s="160"/>
      <c r="ACP53" s="160"/>
      <c r="ACQ53" s="160"/>
      <c r="ACR53" s="160"/>
      <c r="ACS53" s="160"/>
      <c r="ACT53" s="160"/>
      <c r="ACU53" s="160"/>
      <c r="ACV53" s="160"/>
      <c r="ACW53" s="160"/>
      <c r="ACX53" s="160"/>
      <c r="ACY53" s="160"/>
      <c r="ACZ53" s="160"/>
      <c r="ADA53" s="160"/>
      <c r="ADB53" s="160"/>
      <c r="ADC53" s="160"/>
      <c r="ADD53" s="160"/>
      <c r="ADE53" s="160"/>
      <c r="ADF53" s="160"/>
      <c r="ADG53" s="160"/>
      <c r="ADH53" s="160"/>
      <c r="ADI53" s="160"/>
      <c r="ADJ53" s="160"/>
      <c r="ADK53" s="160"/>
      <c r="ADL53" s="160"/>
      <c r="ADM53" s="160"/>
      <c r="ADN53" s="160"/>
      <c r="ADO53" s="160"/>
      <c r="ADP53" s="160"/>
      <c r="ADQ53" s="160"/>
      <c r="ADR53" s="160"/>
      <c r="ADS53" s="160"/>
      <c r="ADT53" s="160"/>
      <c r="ADU53" s="160"/>
      <c r="ADV53" s="160"/>
      <c r="ADW53" s="160"/>
      <c r="ADX53" s="160"/>
      <c r="ADY53" s="160"/>
      <c r="ADZ53" s="160"/>
      <c r="AEA53" s="160"/>
      <c r="AEB53" s="160"/>
      <c r="AEC53" s="160"/>
      <c r="AED53" s="160"/>
      <c r="AEE53" s="160"/>
      <c r="AEF53" s="160"/>
      <c r="AEG53" s="160"/>
      <c r="AEH53" s="160"/>
      <c r="AEI53" s="160"/>
      <c r="AEJ53" s="160"/>
      <c r="AEK53" s="160"/>
      <c r="AEL53" s="160"/>
      <c r="AEM53" s="160"/>
      <c r="AEN53" s="160"/>
      <c r="AEO53" s="160"/>
      <c r="AEP53" s="160"/>
      <c r="AEQ53" s="160"/>
      <c r="AER53" s="160"/>
      <c r="AES53" s="160"/>
      <c r="AET53" s="160"/>
      <c r="AEU53" s="160"/>
      <c r="AEV53" s="160"/>
      <c r="AEW53" s="160"/>
      <c r="AEX53" s="160"/>
      <c r="AEY53" s="160"/>
      <c r="AEZ53" s="160"/>
      <c r="AFA53" s="160"/>
      <c r="AFB53" s="160"/>
      <c r="AFC53" s="160"/>
      <c r="AFD53" s="160"/>
      <c r="AFE53" s="160"/>
      <c r="AFF53" s="160"/>
      <c r="AFG53" s="160"/>
      <c r="AFH53" s="160"/>
      <c r="AFI53" s="160"/>
      <c r="AFJ53" s="160"/>
      <c r="AFK53" s="160"/>
      <c r="AFL53" s="160"/>
      <c r="AFM53" s="160"/>
      <c r="AFN53" s="160"/>
      <c r="AFO53" s="160"/>
      <c r="AFP53" s="160"/>
      <c r="AFQ53" s="160"/>
      <c r="AFR53" s="160"/>
      <c r="AFS53" s="160"/>
      <c r="AFT53" s="160"/>
      <c r="AFU53" s="160"/>
      <c r="AFV53" s="160"/>
      <c r="AFW53" s="160"/>
      <c r="AFX53" s="160"/>
      <c r="AFY53" s="160"/>
      <c r="AFZ53" s="160"/>
      <c r="AGA53" s="160"/>
      <c r="AGB53" s="160"/>
      <c r="AGC53" s="160"/>
      <c r="AGD53" s="160"/>
      <c r="AGE53" s="160"/>
      <c r="AGF53" s="160"/>
      <c r="AGG53" s="160"/>
      <c r="AGH53" s="160"/>
      <c r="AGI53" s="160"/>
      <c r="AGJ53" s="160"/>
      <c r="AGK53" s="160"/>
      <c r="AGL53" s="160"/>
      <c r="AGM53" s="160"/>
      <c r="AGN53" s="160"/>
      <c r="AGO53" s="160"/>
      <c r="AGP53" s="160"/>
      <c r="AGQ53" s="160"/>
      <c r="AGR53" s="160"/>
      <c r="AGS53" s="160"/>
      <c r="AGT53" s="160"/>
      <c r="AGU53" s="160"/>
      <c r="AGV53" s="160"/>
      <c r="AGW53" s="160"/>
      <c r="AGX53" s="160"/>
      <c r="AGY53" s="160"/>
      <c r="AGZ53" s="160"/>
      <c r="AHA53" s="160"/>
      <c r="AHB53" s="160"/>
      <c r="AHC53" s="160"/>
      <c r="AHD53" s="160"/>
      <c r="AHE53" s="160"/>
      <c r="AHF53" s="160"/>
      <c r="AHG53" s="160"/>
      <c r="AHH53" s="160"/>
      <c r="AHI53" s="160"/>
      <c r="AHJ53" s="160"/>
      <c r="AHK53" s="160"/>
      <c r="AHL53" s="160"/>
      <c r="AHM53" s="160"/>
      <c r="AHN53" s="160"/>
      <c r="AHO53" s="160"/>
      <c r="AHP53" s="160"/>
      <c r="AHQ53" s="160"/>
      <c r="AHR53" s="160"/>
      <c r="AHS53" s="160"/>
      <c r="AHT53" s="160"/>
      <c r="AHU53" s="160"/>
      <c r="AHV53" s="160"/>
      <c r="AHW53" s="160"/>
      <c r="AHX53" s="160"/>
      <c r="AHY53" s="160"/>
      <c r="AHZ53" s="160"/>
      <c r="AIA53" s="160"/>
      <c r="AIB53" s="160"/>
      <c r="AIC53" s="160"/>
      <c r="AID53" s="160"/>
      <c r="AIE53" s="160"/>
      <c r="AIF53" s="160"/>
      <c r="AIG53" s="160"/>
      <c r="AIH53" s="160"/>
      <c r="AII53" s="160"/>
      <c r="AIJ53" s="160"/>
      <c r="AIK53" s="160"/>
      <c r="AIL53" s="160"/>
      <c r="AIM53" s="160"/>
      <c r="AIN53" s="160"/>
      <c r="AIO53" s="160"/>
      <c r="AIP53" s="160"/>
      <c r="AIQ53" s="160"/>
      <c r="AIR53" s="160"/>
      <c r="AIS53" s="160"/>
      <c r="AIT53" s="160"/>
      <c r="AIU53" s="160"/>
      <c r="AIV53" s="160"/>
      <c r="AIW53" s="160"/>
      <c r="AIX53" s="160"/>
      <c r="AIY53" s="160"/>
      <c r="AIZ53" s="160"/>
      <c r="AJA53" s="160"/>
      <c r="AJB53" s="160"/>
      <c r="AJC53" s="160"/>
      <c r="AJD53" s="160"/>
      <c r="AJE53" s="160"/>
      <c r="AJF53" s="160"/>
      <c r="AJG53" s="160"/>
      <c r="AJH53" s="160"/>
      <c r="AJI53" s="160"/>
      <c r="AJJ53" s="160"/>
      <c r="AJK53" s="160"/>
      <c r="AJL53" s="160"/>
      <c r="AJM53" s="160"/>
      <c r="AJN53" s="160"/>
      <c r="AJO53" s="160"/>
      <c r="AJP53" s="160"/>
      <c r="AJQ53" s="160"/>
      <c r="AJR53" s="160"/>
      <c r="AJS53" s="160"/>
      <c r="AJT53" s="160"/>
      <c r="AJU53" s="160"/>
      <c r="AJV53" s="160"/>
      <c r="AJW53" s="160"/>
      <c r="AJX53" s="160"/>
      <c r="AJY53" s="160"/>
      <c r="AJZ53" s="160"/>
      <c r="AKA53" s="160"/>
      <c r="AKB53" s="160"/>
      <c r="AKC53" s="160"/>
      <c r="AKD53" s="160"/>
      <c r="AKE53" s="160"/>
      <c r="AKF53" s="160"/>
      <c r="AKG53" s="160"/>
      <c r="AKH53" s="160"/>
      <c r="AKI53" s="160"/>
      <c r="AKJ53" s="160"/>
      <c r="AKK53" s="160"/>
      <c r="AKL53" s="160"/>
      <c r="AKM53" s="160"/>
      <c r="AKN53" s="160"/>
      <c r="AKO53" s="160"/>
      <c r="AKP53" s="160"/>
      <c r="AKQ53" s="160"/>
      <c r="AKR53" s="160"/>
      <c r="AKS53" s="160"/>
      <c r="AKT53" s="160"/>
      <c r="AKU53" s="160"/>
      <c r="AKV53" s="160"/>
      <c r="AKW53" s="160"/>
      <c r="AKX53" s="160"/>
      <c r="AKY53" s="160"/>
      <c r="AKZ53" s="160"/>
      <c r="ALA53" s="160"/>
      <c r="ALB53" s="160"/>
      <c r="ALC53" s="160"/>
      <c r="ALD53" s="160"/>
      <c r="ALE53" s="160"/>
      <c r="ALF53" s="160"/>
      <c r="ALG53" s="160"/>
      <c r="ALH53" s="160"/>
      <c r="ALI53" s="160"/>
      <c r="ALJ53" s="160"/>
      <c r="ALK53" s="160"/>
      <c r="ALL53" s="160"/>
      <c r="ALM53" s="160"/>
      <c r="ALN53" s="160"/>
      <c r="ALO53" s="160"/>
      <c r="ALP53" s="160"/>
      <c r="ALQ53" s="160"/>
      <c r="ALR53" s="160"/>
      <c r="ALS53" s="160"/>
      <c r="ALT53" s="160"/>
      <c r="ALU53" s="160"/>
      <c r="ALV53" s="160"/>
      <c r="ALW53" s="160"/>
      <c r="ALX53" s="160"/>
      <c r="ALY53" s="160"/>
      <c r="ALZ53" s="160"/>
      <c r="AMA53" s="160"/>
      <c r="AMB53" s="160"/>
      <c r="AMC53" s="160"/>
      <c r="AMD53" s="160"/>
      <c r="AME53" s="158"/>
    </row>
    <row r="54" spans="1:1019" ht="15" customHeight="1">
      <c r="A54" s="168">
        <f t="shared" si="2"/>
        <v>47</v>
      </c>
      <c r="B54" s="175">
        <v>608</v>
      </c>
      <c r="C54" s="168" t="s">
        <v>42</v>
      </c>
      <c r="D54" s="169">
        <f>'הנדסה '!D11</f>
        <v>8300000</v>
      </c>
      <c r="E54" s="169">
        <f>'הנדסה '!E11</f>
        <v>7300000</v>
      </c>
      <c r="F54" s="169">
        <f>'הנדסה '!F11</f>
        <v>1000000</v>
      </c>
      <c r="G54" s="169">
        <f>'הנדסה '!G11</f>
        <v>5300000</v>
      </c>
      <c r="H54" s="169">
        <f>'הנדסה '!H11</f>
        <v>5071852.38</v>
      </c>
      <c r="I54" s="169">
        <f>'הנדסה '!I11</f>
        <v>0</v>
      </c>
      <c r="J54" s="169">
        <f>'הנדסה '!J11</f>
        <v>131164.42000000001</v>
      </c>
      <c r="K54" s="169">
        <f>'הנדסה '!K11</f>
        <v>131164.42000000001</v>
      </c>
      <c r="L54" s="169">
        <f>'הנדסה '!L11</f>
        <v>5203016.8</v>
      </c>
      <c r="M54" s="169">
        <f>'הנדסה '!M11</f>
        <v>96983.200000000186</v>
      </c>
      <c r="N54" s="169">
        <f>'הנדסה '!N11</f>
        <v>750000</v>
      </c>
      <c r="O54" s="169">
        <f>'הנדסה '!O11</f>
        <v>2250000</v>
      </c>
      <c r="P54" s="169">
        <f>'הנדסה '!P11</f>
        <v>96983.200000000186</v>
      </c>
      <c r="Q54" s="169">
        <f>'הנדסה '!Q11</f>
        <v>0</v>
      </c>
      <c r="R54" s="169">
        <f>'הנדסה '!R11</f>
        <v>0</v>
      </c>
      <c r="S54" s="169">
        <f>'הנדסה '!S11</f>
        <v>0</v>
      </c>
      <c r="T54" s="169">
        <f>'הנדסה '!T11</f>
        <v>0</v>
      </c>
      <c r="U54" s="169">
        <f>'הנדסה '!U11</f>
        <v>750000</v>
      </c>
      <c r="V54" s="169">
        <f>'הנדסה '!V11</f>
        <v>750000</v>
      </c>
      <c r="W54" s="169">
        <f>'הנדסה '!W11</f>
        <v>0</v>
      </c>
      <c r="X54" s="169">
        <f>'הנדסה '!X11</f>
        <v>0</v>
      </c>
      <c r="Y54" s="169">
        <f>'הנדסה '!Y11</f>
        <v>0</v>
      </c>
      <c r="Z54" s="169">
        <f>'הנדסה '!Z11</f>
        <v>0</v>
      </c>
      <c r="AA54" s="659">
        <f>'הנדסה '!AA11</f>
        <v>745000</v>
      </c>
      <c r="AB54" s="157"/>
      <c r="AF54" s="164"/>
    </row>
    <row r="55" spans="1:1019" ht="15" customHeight="1">
      <c r="A55" s="168">
        <f t="shared" si="2"/>
        <v>48</v>
      </c>
      <c r="B55" s="175">
        <v>631</v>
      </c>
      <c r="C55" s="168" t="s">
        <v>80</v>
      </c>
      <c r="D55" s="169">
        <f>'הנדסה '!D13</f>
        <v>9005000</v>
      </c>
      <c r="E55" s="169">
        <f>'הנדסה '!E13</f>
        <v>7505000</v>
      </c>
      <c r="F55" s="169">
        <f>'הנדסה '!F13</f>
        <v>1500000</v>
      </c>
      <c r="G55" s="169">
        <f>'הנדסה '!G13</f>
        <v>7105000</v>
      </c>
      <c r="H55" s="169">
        <f>'הנדסה '!H13</f>
        <v>7030689.3200000003</v>
      </c>
      <c r="I55" s="169">
        <f>'הנדסה '!I13</f>
        <v>0</v>
      </c>
      <c r="J55" s="169">
        <f>'הנדסה '!J13</f>
        <v>0</v>
      </c>
      <c r="K55" s="169">
        <f>'הנדסה '!K13</f>
        <v>0</v>
      </c>
      <c r="L55" s="169">
        <f>'הנדסה '!L13</f>
        <v>7030689.3200000003</v>
      </c>
      <c r="M55" s="169">
        <f>'הנדסה '!M13</f>
        <v>74310.679999999702</v>
      </c>
      <c r="N55" s="169">
        <f>'הנדסה '!N13</f>
        <v>500000</v>
      </c>
      <c r="O55" s="169">
        <f>'הנדסה '!O13</f>
        <v>1400000</v>
      </c>
      <c r="P55" s="169">
        <f>'הנדסה '!P13</f>
        <v>74310.679999999702</v>
      </c>
      <c r="Q55" s="169">
        <f>'הנדסה '!Q13</f>
        <v>0</v>
      </c>
      <c r="R55" s="169">
        <f>'הנדסה '!R13</f>
        <v>0</v>
      </c>
      <c r="S55" s="169">
        <f>'הנדסה '!S13</f>
        <v>0</v>
      </c>
      <c r="T55" s="169">
        <f>'הנדסה '!T13</f>
        <v>0</v>
      </c>
      <c r="U55" s="169">
        <f>'הנדסה '!U13</f>
        <v>500000</v>
      </c>
      <c r="V55" s="169">
        <f>'הנדסה '!V13</f>
        <v>500000</v>
      </c>
      <c r="W55" s="169">
        <f>'הנדסה '!W13</f>
        <v>0</v>
      </c>
      <c r="X55" s="169">
        <f>'הנדסה '!X13</f>
        <v>0</v>
      </c>
      <c r="Y55" s="169">
        <f>'הנדסה '!Y13</f>
        <v>0</v>
      </c>
      <c r="Z55" s="169">
        <f>'הנדסה '!Z13</f>
        <v>0</v>
      </c>
      <c r="AA55" s="659">
        <f>'הנדסה '!AA13</f>
        <v>742000</v>
      </c>
      <c r="AB55" s="157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  <c r="DZ55" s="172"/>
      <c r="EA55" s="172"/>
      <c r="EB55" s="172"/>
      <c r="EC55" s="172"/>
      <c r="ED55" s="172"/>
      <c r="EE55" s="172"/>
      <c r="EF55" s="172"/>
      <c r="EG55" s="172"/>
      <c r="EH55" s="172"/>
      <c r="EI55" s="172"/>
      <c r="EJ55" s="172"/>
      <c r="EK55" s="172"/>
      <c r="EL55" s="172"/>
      <c r="EM55" s="172"/>
      <c r="EN55" s="172"/>
      <c r="EO55" s="172"/>
      <c r="EP55" s="172"/>
      <c r="EQ55" s="172"/>
      <c r="ER55" s="172"/>
      <c r="ES55" s="172"/>
      <c r="ET55" s="172"/>
      <c r="EU55" s="172"/>
      <c r="EV55" s="172"/>
      <c r="EW55" s="172"/>
      <c r="EX55" s="172"/>
      <c r="EY55" s="172"/>
      <c r="EZ55" s="172"/>
      <c r="FA55" s="172"/>
      <c r="FB55" s="172"/>
      <c r="FC55" s="172"/>
      <c r="FD55" s="172"/>
      <c r="FE55" s="172"/>
      <c r="FF55" s="172"/>
      <c r="FG55" s="172"/>
      <c r="FH55" s="172"/>
      <c r="FI55" s="172"/>
      <c r="FJ55" s="172"/>
      <c r="FK55" s="172"/>
      <c r="FL55" s="172"/>
      <c r="FM55" s="172"/>
      <c r="FN55" s="172"/>
      <c r="FO55" s="172"/>
      <c r="FP55" s="172"/>
      <c r="FQ55" s="172"/>
      <c r="FR55" s="172"/>
      <c r="FS55" s="172"/>
      <c r="FT55" s="172"/>
      <c r="FU55" s="172"/>
      <c r="FV55" s="172"/>
      <c r="FW55" s="172"/>
      <c r="FX55" s="172"/>
      <c r="FY55" s="172"/>
      <c r="FZ55" s="172"/>
      <c r="GA55" s="172"/>
      <c r="GB55" s="172"/>
      <c r="GC55" s="172"/>
      <c r="GD55" s="172"/>
      <c r="GE55" s="172"/>
      <c r="GF55" s="172"/>
      <c r="GG55" s="172"/>
      <c r="GH55" s="172"/>
      <c r="GI55" s="172"/>
      <c r="GJ55" s="172"/>
      <c r="GK55" s="172"/>
      <c r="GL55" s="172"/>
      <c r="GM55" s="172"/>
      <c r="GN55" s="172"/>
      <c r="GO55" s="172"/>
      <c r="GP55" s="172"/>
      <c r="GQ55" s="172"/>
      <c r="GR55" s="172"/>
      <c r="GS55" s="172"/>
      <c r="GT55" s="172"/>
      <c r="GU55" s="172"/>
      <c r="GV55" s="172"/>
      <c r="GW55" s="172"/>
      <c r="GX55" s="172"/>
      <c r="GY55" s="172"/>
      <c r="GZ55" s="172"/>
      <c r="HA55" s="172"/>
      <c r="HB55" s="172"/>
      <c r="HC55" s="172"/>
      <c r="HD55" s="172"/>
      <c r="HE55" s="172"/>
      <c r="HF55" s="172"/>
      <c r="HG55" s="172"/>
      <c r="HH55" s="172"/>
      <c r="HI55" s="172"/>
      <c r="HJ55" s="172"/>
      <c r="HK55" s="172"/>
      <c r="HL55" s="172"/>
      <c r="HM55" s="172"/>
      <c r="HN55" s="172"/>
      <c r="HO55" s="172"/>
      <c r="HP55" s="172"/>
      <c r="HQ55" s="172"/>
      <c r="HR55" s="172"/>
      <c r="HS55" s="172"/>
      <c r="HT55" s="172"/>
      <c r="HU55" s="172"/>
      <c r="HV55" s="172"/>
      <c r="HW55" s="172"/>
      <c r="HX55" s="172"/>
      <c r="HY55" s="172"/>
      <c r="HZ55" s="172"/>
      <c r="IA55" s="172"/>
      <c r="IB55" s="172"/>
      <c r="IC55" s="172"/>
      <c r="ID55" s="172"/>
      <c r="IE55" s="172"/>
      <c r="IF55" s="172"/>
      <c r="IG55" s="172"/>
      <c r="IH55" s="172"/>
      <c r="II55" s="172"/>
      <c r="IJ55" s="172"/>
      <c r="IK55" s="172"/>
      <c r="IL55" s="172"/>
      <c r="IM55" s="172"/>
      <c r="IN55" s="172"/>
      <c r="IO55" s="172"/>
      <c r="IP55" s="172"/>
      <c r="IQ55" s="172"/>
      <c r="IR55" s="172"/>
      <c r="IS55" s="172"/>
      <c r="IT55" s="172"/>
      <c r="IU55" s="172"/>
      <c r="IV55" s="172"/>
      <c r="IW55" s="172"/>
      <c r="IX55" s="172"/>
      <c r="IY55" s="172"/>
      <c r="IZ55" s="172"/>
      <c r="JA55" s="172"/>
      <c r="JB55" s="172"/>
      <c r="JC55" s="172"/>
      <c r="JD55" s="172"/>
      <c r="JE55" s="172"/>
      <c r="JF55" s="172"/>
      <c r="JG55" s="172"/>
      <c r="JH55" s="172"/>
      <c r="JI55" s="172"/>
      <c r="JJ55" s="172"/>
      <c r="JK55" s="172"/>
      <c r="JL55" s="172"/>
      <c r="JM55" s="172"/>
      <c r="JN55" s="172"/>
      <c r="JO55" s="172"/>
      <c r="JP55" s="172"/>
      <c r="JQ55" s="172"/>
      <c r="JR55" s="172"/>
      <c r="JS55" s="172"/>
      <c r="JT55" s="172"/>
      <c r="JU55" s="172"/>
      <c r="JV55" s="172"/>
      <c r="JW55" s="172"/>
      <c r="JX55" s="172"/>
      <c r="JY55" s="172"/>
      <c r="JZ55" s="172"/>
      <c r="KA55" s="172"/>
      <c r="KB55" s="172"/>
      <c r="KC55" s="172"/>
      <c r="KD55" s="172"/>
      <c r="KE55" s="172"/>
      <c r="KF55" s="172"/>
      <c r="KG55" s="172"/>
      <c r="KH55" s="172"/>
      <c r="KI55" s="172"/>
      <c r="KJ55" s="172"/>
      <c r="KK55" s="172"/>
      <c r="KL55" s="172"/>
      <c r="KM55" s="172"/>
      <c r="KN55" s="172"/>
      <c r="KO55" s="172"/>
      <c r="KP55" s="172"/>
      <c r="KQ55" s="172"/>
      <c r="KR55" s="172"/>
      <c r="KS55" s="172"/>
      <c r="KT55" s="172"/>
      <c r="KU55" s="172"/>
      <c r="KV55" s="172"/>
      <c r="KW55" s="172"/>
      <c r="KX55" s="172"/>
      <c r="KY55" s="172"/>
      <c r="KZ55" s="172"/>
      <c r="LA55" s="172"/>
      <c r="LB55" s="172"/>
      <c r="LC55" s="172"/>
      <c r="LD55" s="172"/>
      <c r="LE55" s="172"/>
      <c r="LF55" s="172"/>
      <c r="LG55" s="172"/>
      <c r="LH55" s="172"/>
      <c r="LI55" s="172"/>
      <c r="LJ55" s="172"/>
      <c r="LK55" s="172"/>
      <c r="LL55" s="172"/>
      <c r="LM55" s="172"/>
      <c r="LN55" s="172"/>
      <c r="LO55" s="172"/>
      <c r="LP55" s="172"/>
      <c r="LQ55" s="172"/>
      <c r="LR55" s="172"/>
      <c r="LS55" s="172"/>
      <c r="LT55" s="172"/>
      <c r="LU55" s="172"/>
      <c r="LV55" s="172"/>
      <c r="LW55" s="172"/>
      <c r="LX55" s="172"/>
      <c r="LY55" s="172"/>
      <c r="LZ55" s="172"/>
      <c r="MA55" s="172"/>
      <c r="MB55" s="172"/>
      <c r="MC55" s="172"/>
      <c r="MD55" s="172"/>
      <c r="ME55" s="172"/>
      <c r="MF55" s="172"/>
      <c r="MG55" s="172"/>
      <c r="MH55" s="172"/>
      <c r="MI55" s="172"/>
      <c r="MJ55" s="172"/>
      <c r="MK55" s="172"/>
      <c r="ML55" s="172"/>
      <c r="MM55" s="172"/>
      <c r="MN55" s="172"/>
      <c r="MO55" s="172"/>
      <c r="MP55" s="172"/>
      <c r="MQ55" s="172"/>
      <c r="MR55" s="172"/>
      <c r="MS55" s="172"/>
      <c r="MT55" s="172"/>
      <c r="MU55" s="172"/>
      <c r="MV55" s="172"/>
      <c r="MW55" s="172"/>
      <c r="MX55" s="172"/>
      <c r="MY55" s="172"/>
      <c r="MZ55" s="172"/>
      <c r="NA55" s="172"/>
      <c r="NB55" s="172"/>
      <c r="NC55" s="172"/>
      <c r="ND55" s="172"/>
      <c r="NE55" s="172"/>
      <c r="NF55" s="172"/>
      <c r="NG55" s="172"/>
      <c r="NH55" s="172"/>
      <c r="NI55" s="172"/>
      <c r="NJ55" s="172"/>
      <c r="NK55" s="172"/>
      <c r="NL55" s="172"/>
      <c r="NM55" s="172"/>
      <c r="NN55" s="172"/>
      <c r="NO55" s="172"/>
      <c r="NP55" s="172"/>
      <c r="NQ55" s="172"/>
      <c r="NR55" s="172"/>
      <c r="NS55" s="172"/>
      <c r="NT55" s="172"/>
      <c r="NU55" s="172"/>
      <c r="NV55" s="172"/>
      <c r="NW55" s="172"/>
      <c r="NX55" s="172"/>
      <c r="NY55" s="172"/>
      <c r="NZ55" s="172"/>
      <c r="OA55" s="172"/>
      <c r="OB55" s="172"/>
      <c r="OC55" s="172"/>
      <c r="OD55" s="172"/>
      <c r="OE55" s="172"/>
      <c r="OF55" s="172"/>
      <c r="OG55" s="172"/>
      <c r="OH55" s="172"/>
      <c r="OI55" s="172"/>
      <c r="OJ55" s="172"/>
      <c r="OK55" s="172"/>
      <c r="OL55" s="172"/>
      <c r="OM55" s="172"/>
      <c r="ON55" s="172"/>
      <c r="OO55" s="172"/>
      <c r="OP55" s="172"/>
      <c r="OQ55" s="172"/>
      <c r="OR55" s="172"/>
      <c r="OS55" s="172"/>
      <c r="OT55" s="172"/>
      <c r="OU55" s="172"/>
      <c r="OV55" s="172"/>
      <c r="OW55" s="172"/>
      <c r="OX55" s="172"/>
      <c r="OY55" s="172"/>
      <c r="OZ55" s="172"/>
      <c r="PA55" s="172"/>
      <c r="PB55" s="172"/>
      <c r="PC55" s="172"/>
      <c r="PD55" s="172"/>
      <c r="PE55" s="172"/>
      <c r="PF55" s="172"/>
      <c r="PG55" s="172"/>
      <c r="PH55" s="172"/>
      <c r="PI55" s="172"/>
      <c r="PJ55" s="172"/>
      <c r="PK55" s="172"/>
      <c r="PL55" s="172"/>
      <c r="PM55" s="172"/>
      <c r="PN55" s="172"/>
      <c r="PO55" s="172"/>
      <c r="PP55" s="172"/>
      <c r="PQ55" s="172"/>
      <c r="PR55" s="172"/>
      <c r="PS55" s="172"/>
      <c r="PT55" s="172"/>
      <c r="PU55" s="172"/>
      <c r="PV55" s="172"/>
      <c r="PW55" s="172"/>
      <c r="PX55" s="172"/>
      <c r="PY55" s="172"/>
      <c r="PZ55" s="172"/>
      <c r="QA55" s="172"/>
      <c r="QB55" s="172"/>
      <c r="QC55" s="172"/>
      <c r="QD55" s="172"/>
      <c r="QE55" s="172"/>
      <c r="QF55" s="172"/>
      <c r="QG55" s="172"/>
      <c r="QH55" s="172"/>
      <c r="QI55" s="172"/>
      <c r="QJ55" s="172"/>
      <c r="QK55" s="172"/>
      <c r="QL55" s="172"/>
      <c r="QM55" s="172"/>
      <c r="QN55" s="172"/>
      <c r="QO55" s="172"/>
      <c r="QP55" s="172"/>
      <c r="QQ55" s="172"/>
      <c r="QR55" s="172"/>
      <c r="QS55" s="172"/>
      <c r="QT55" s="172"/>
      <c r="QU55" s="172"/>
      <c r="QV55" s="172"/>
      <c r="QW55" s="172"/>
      <c r="QX55" s="172"/>
      <c r="QY55" s="172"/>
      <c r="QZ55" s="172"/>
      <c r="RA55" s="172"/>
      <c r="RB55" s="172"/>
      <c r="RC55" s="172"/>
      <c r="RD55" s="172"/>
      <c r="RE55" s="172"/>
      <c r="RF55" s="172"/>
      <c r="RG55" s="172"/>
      <c r="RH55" s="172"/>
      <c r="RI55" s="172"/>
      <c r="RJ55" s="172"/>
      <c r="RK55" s="172"/>
      <c r="RL55" s="172"/>
      <c r="RM55" s="172"/>
      <c r="RN55" s="172"/>
      <c r="RO55" s="172"/>
      <c r="RP55" s="172"/>
      <c r="RQ55" s="172"/>
      <c r="RR55" s="172"/>
      <c r="RS55" s="172"/>
      <c r="RT55" s="172"/>
      <c r="RU55" s="172"/>
      <c r="RV55" s="172"/>
      <c r="RW55" s="172"/>
      <c r="RX55" s="172"/>
      <c r="RY55" s="172"/>
      <c r="RZ55" s="172"/>
      <c r="SA55" s="172"/>
      <c r="SB55" s="172"/>
      <c r="SC55" s="172"/>
      <c r="SD55" s="172"/>
      <c r="SE55" s="172"/>
      <c r="SF55" s="172"/>
      <c r="SG55" s="172"/>
      <c r="SH55" s="172"/>
      <c r="SI55" s="172"/>
      <c r="SJ55" s="172"/>
      <c r="SK55" s="172"/>
      <c r="SL55" s="172"/>
      <c r="SM55" s="172"/>
      <c r="SN55" s="172"/>
      <c r="SO55" s="172"/>
      <c r="SP55" s="172"/>
      <c r="SQ55" s="172"/>
      <c r="SR55" s="172"/>
      <c r="SS55" s="172"/>
      <c r="ST55" s="172"/>
      <c r="SU55" s="172"/>
      <c r="SV55" s="172"/>
      <c r="SW55" s="172"/>
      <c r="SX55" s="172"/>
      <c r="SY55" s="172"/>
      <c r="SZ55" s="172"/>
      <c r="TA55" s="172"/>
      <c r="TB55" s="172"/>
      <c r="TC55" s="172"/>
      <c r="TD55" s="172"/>
      <c r="TE55" s="172"/>
      <c r="TF55" s="172"/>
      <c r="TG55" s="172"/>
      <c r="TH55" s="172"/>
      <c r="TI55" s="172"/>
      <c r="TJ55" s="172"/>
      <c r="TK55" s="172"/>
      <c r="TL55" s="172"/>
      <c r="TM55" s="172"/>
      <c r="TN55" s="172"/>
      <c r="TO55" s="172"/>
      <c r="TP55" s="172"/>
      <c r="TQ55" s="172"/>
      <c r="TR55" s="172"/>
      <c r="TS55" s="172"/>
      <c r="TT55" s="172"/>
      <c r="TU55" s="172"/>
      <c r="TV55" s="172"/>
      <c r="TW55" s="172"/>
      <c r="TX55" s="172"/>
      <c r="TY55" s="172"/>
      <c r="TZ55" s="172"/>
      <c r="UA55" s="172"/>
      <c r="UB55" s="172"/>
      <c r="UC55" s="172"/>
      <c r="UD55" s="172"/>
      <c r="UE55" s="172"/>
      <c r="UF55" s="172"/>
      <c r="UG55" s="172"/>
      <c r="UH55" s="172"/>
      <c r="UI55" s="172"/>
      <c r="UJ55" s="172"/>
      <c r="UK55" s="172"/>
      <c r="UL55" s="172"/>
      <c r="UM55" s="172"/>
      <c r="UN55" s="172"/>
      <c r="UO55" s="172"/>
      <c r="UP55" s="172"/>
      <c r="UQ55" s="172"/>
      <c r="UR55" s="172"/>
      <c r="US55" s="172"/>
      <c r="UT55" s="172"/>
      <c r="UU55" s="172"/>
      <c r="UV55" s="172"/>
      <c r="UW55" s="172"/>
      <c r="UX55" s="172"/>
      <c r="UY55" s="172"/>
      <c r="UZ55" s="172"/>
      <c r="VA55" s="172"/>
      <c r="VB55" s="172"/>
      <c r="VC55" s="172"/>
      <c r="VD55" s="172"/>
      <c r="VE55" s="172"/>
      <c r="VF55" s="172"/>
      <c r="VG55" s="172"/>
      <c r="VH55" s="172"/>
      <c r="VI55" s="172"/>
      <c r="VJ55" s="172"/>
      <c r="VK55" s="172"/>
      <c r="VL55" s="172"/>
      <c r="VM55" s="172"/>
      <c r="VN55" s="172"/>
      <c r="VO55" s="172"/>
      <c r="VP55" s="172"/>
      <c r="VQ55" s="172"/>
      <c r="VR55" s="172"/>
      <c r="VS55" s="172"/>
      <c r="VT55" s="172"/>
      <c r="VU55" s="172"/>
      <c r="VV55" s="172"/>
      <c r="VW55" s="172"/>
      <c r="VX55" s="172"/>
      <c r="VY55" s="172"/>
      <c r="VZ55" s="172"/>
      <c r="WA55" s="172"/>
      <c r="WB55" s="172"/>
      <c r="WC55" s="172"/>
      <c r="WD55" s="172"/>
      <c r="WE55" s="172"/>
      <c r="WF55" s="172"/>
      <c r="WG55" s="172"/>
      <c r="WH55" s="172"/>
      <c r="WI55" s="172"/>
      <c r="WJ55" s="172"/>
      <c r="WK55" s="172"/>
      <c r="WL55" s="172"/>
      <c r="WM55" s="172"/>
      <c r="WN55" s="172"/>
      <c r="WO55" s="172"/>
      <c r="WP55" s="172"/>
      <c r="WQ55" s="172"/>
      <c r="WR55" s="172"/>
      <c r="WS55" s="172"/>
      <c r="WT55" s="172"/>
      <c r="WU55" s="172"/>
      <c r="WV55" s="172"/>
      <c r="WW55" s="172"/>
      <c r="WX55" s="172"/>
      <c r="WY55" s="172"/>
      <c r="WZ55" s="172"/>
      <c r="XA55" s="172"/>
      <c r="XB55" s="172"/>
      <c r="XC55" s="172"/>
      <c r="XD55" s="172"/>
      <c r="XE55" s="172"/>
      <c r="XF55" s="172"/>
      <c r="XG55" s="172"/>
      <c r="XH55" s="172"/>
      <c r="XI55" s="172"/>
      <c r="XJ55" s="172"/>
      <c r="XK55" s="172"/>
      <c r="XL55" s="172"/>
      <c r="XM55" s="172"/>
      <c r="XN55" s="172"/>
      <c r="XO55" s="172"/>
      <c r="XP55" s="172"/>
      <c r="XQ55" s="172"/>
      <c r="XR55" s="172"/>
      <c r="XS55" s="172"/>
      <c r="XT55" s="172"/>
      <c r="XU55" s="172"/>
      <c r="XV55" s="172"/>
      <c r="XW55" s="172"/>
      <c r="XX55" s="172"/>
      <c r="XY55" s="172"/>
      <c r="XZ55" s="172"/>
      <c r="YA55" s="172"/>
      <c r="YB55" s="172"/>
      <c r="YC55" s="172"/>
      <c r="YD55" s="172"/>
      <c r="YE55" s="172"/>
      <c r="YF55" s="172"/>
      <c r="YG55" s="172"/>
      <c r="YH55" s="172"/>
      <c r="YI55" s="172"/>
      <c r="YJ55" s="172"/>
      <c r="YK55" s="172"/>
      <c r="YL55" s="172"/>
      <c r="YM55" s="172"/>
      <c r="YN55" s="172"/>
      <c r="YO55" s="172"/>
      <c r="YP55" s="172"/>
      <c r="YQ55" s="172"/>
      <c r="YR55" s="172"/>
      <c r="YS55" s="172"/>
      <c r="YT55" s="172"/>
      <c r="YU55" s="172"/>
      <c r="YV55" s="172"/>
      <c r="YW55" s="172"/>
      <c r="YX55" s="172"/>
      <c r="YY55" s="172"/>
      <c r="YZ55" s="172"/>
      <c r="ZA55" s="172"/>
      <c r="ZB55" s="172"/>
      <c r="ZC55" s="172"/>
      <c r="ZD55" s="172"/>
      <c r="ZE55" s="172"/>
      <c r="ZF55" s="172"/>
      <c r="ZG55" s="172"/>
      <c r="ZH55" s="172"/>
      <c r="ZI55" s="172"/>
      <c r="ZJ55" s="172"/>
      <c r="ZK55" s="172"/>
      <c r="ZL55" s="172"/>
      <c r="ZM55" s="172"/>
      <c r="ZN55" s="172"/>
      <c r="ZO55" s="172"/>
      <c r="ZP55" s="172"/>
      <c r="ZQ55" s="172"/>
      <c r="ZR55" s="172"/>
      <c r="ZS55" s="172"/>
      <c r="ZT55" s="172"/>
      <c r="ZU55" s="172"/>
      <c r="ZV55" s="172"/>
      <c r="ZW55" s="172"/>
      <c r="ZX55" s="172"/>
      <c r="ZY55" s="172"/>
      <c r="ZZ55" s="172"/>
      <c r="AAA55" s="172"/>
      <c r="AAB55" s="172"/>
      <c r="AAC55" s="172"/>
      <c r="AAD55" s="172"/>
      <c r="AAE55" s="172"/>
      <c r="AAF55" s="172"/>
      <c r="AAG55" s="172"/>
      <c r="AAH55" s="172"/>
      <c r="AAI55" s="172"/>
      <c r="AAJ55" s="172"/>
      <c r="AAK55" s="172"/>
      <c r="AAL55" s="172"/>
      <c r="AAM55" s="172"/>
      <c r="AAN55" s="172"/>
      <c r="AAO55" s="172"/>
      <c r="AAP55" s="172"/>
      <c r="AAQ55" s="172"/>
      <c r="AAR55" s="172"/>
      <c r="AAS55" s="172"/>
      <c r="AAT55" s="172"/>
      <c r="AAU55" s="172"/>
      <c r="AAV55" s="172"/>
      <c r="AAW55" s="172"/>
      <c r="AAX55" s="172"/>
      <c r="AAY55" s="172"/>
      <c r="AAZ55" s="172"/>
      <c r="ABA55" s="172"/>
      <c r="ABB55" s="172"/>
      <c r="ABC55" s="172"/>
      <c r="ABD55" s="172"/>
      <c r="ABE55" s="172"/>
      <c r="ABF55" s="172"/>
      <c r="ABG55" s="172"/>
      <c r="ABH55" s="172"/>
      <c r="ABI55" s="172"/>
      <c r="ABJ55" s="172"/>
      <c r="ABK55" s="172"/>
      <c r="ABL55" s="172"/>
      <c r="ABM55" s="172"/>
      <c r="ABN55" s="172"/>
      <c r="ABO55" s="172"/>
      <c r="ABP55" s="172"/>
      <c r="ABQ55" s="172"/>
      <c r="ABR55" s="172"/>
      <c r="ABS55" s="172"/>
      <c r="ABT55" s="172"/>
      <c r="ABU55" s="172"/>
      <c r="ABV55" s="172"/>
      <c r="ABW55" s="172"/>
      <c r="ABX55" s="172"/>
      <c r="ABY55" s="172"/>
      <c r="ABZ55" s="172"/>
      <c r="ACA55" s="172"/>
      <c r="ACB55" s="172"/>
      <c r="ACC55" s="172"/>
      <c r="ACD55" s="172"/>
      <c r="ACE55" s="172"/>
      <c r="ACF55" s="172"/>
      <c r="ACG55" s="172"/>
      <c r="ACH55" s="172"/>
      <c r="ACI55" s="172"/>
      <c r="ACJ55" s="172"/>
      <c r="ACK55" s="172"/>
      <c r="ACL55" s="172"/>
      <c r="ACM55" s="172"/>
      <c r="ACN55" s="172"/>
      <c r="ACO55" s="172"/>
      <c r="ACP55" s="172"/>
      <c r="ACQ55" s="172"/>
      <c r="ACR55" s="172"/>
      <c r="ACS55" s="172"/>
      <c r="ACT55" s="172"/>
      <c r="ACU55" s="172"/>
      <c r="ACV55" s="172"/>
      <c r="ACW55" s="172"/>
      <c r="ACX55" s="172"/>
      <c r="ACY55" s="172"/>
      <c r="ACZ55" s="172"/>
      <c r="ADA55" s="172"/>
      <c r="ADB55" s="172"/>
      <c r="ADC55" s="172"/>
      <c r="ADD55" s="172"/>
      <c r="ADE55" s="172"/>
      <c r="ADF55" s="172"/>
      <c r="ADG55" s="172"/>
      <c r="ADH55" s="172"/>
      <c r="ADI55" s="172"/>
      <c r="ADJ55" s="172"/>
      <c r="ADK55" s="172"/>
      <c r="ADL55" s="172"/>
      <c r="ADM55" s="172"/>
      <c r="ADN55" s="172"/>
      <c r="ADO55" s="172"/>
      <c r="ADP55" s="172"/>
      <c r="ADQ55" s="172"/>
      <c r="ADR55" s="172"/>
      <c r="ADS55" s="172"/>
      <c r="ADT55" s="172"/>
      <c r="ADU55" s="172"/>
      <c r="ADV55" s="172"/>
      <c r="ADW55" s="172"/>
      <c r="ADX55" s="172"/>
      <c r="ADY55" s="172"/>
      <c r="ADZ55" s="172"/>
      <c r="AEA55" s="172"/>
      <c r="AEB55" s="172"/>
      <c r="AEC55" s="172"/>
      <c r="AED55" s="172"/>
      <c r="AEE55" s="172"/>
      <c r="AEF55" s="172"/>
      <c r="AEG55" s="172"/>
      <c r="AEH55" s="172"/>
      <c r="AEI55" s="172"/>
      <c r="AEJ55" s="172"/>
      <c r="AEK55" s="172"/>
      <c r="AEL55" s="172"/>
      <c r="AEM55" s="172"/>
      <c r="AEN55" s="172"/>
      <c r="AEO55" s="172"/>
      <c r="AEP55" s="172"/>
      <c r="AEQ55" s="172"/>
      <c r="AER55" s="172"/>
      <c r="AES55" s="172"/>
      <c r="AET55" s="172"/>
      <c r="AEU55" s="172"/>
      <c r="AEV55" s="172"/>
      <c r="AEW55" s="172"/>
      <c r="AEX55" s="172"/>
      <c r="AEY55" s="172"/>
      <c r="AEZ55" s="172"/>
      <c r="AFA55" s="172"/>
      <c r="AFB55" s="172"/>
      <c r="AFC55" s="172"/>
      <c r="AFD55" s="172"/>
      <c r="AFE55" s="172"/>
      <c r="AFF55" s="172"/>
      <c r="AFG55" s="172"/>
      <c r="AFH55" s="172"/>
      <c r="AFI55" s="172"/>
      <c r="AFJ55" s="172"/>
      <c r="AFK55" s="172"/>
      <c r="AFL55" s="172"/>
      <c r="AFM55" s="172"/>
      <c r="AFN55" s="172"/>
      <c r="AFO55" s="172"/>
      <c r="AFP55" s="172"/>
      <c r="AFQ55" s="172"/>
      <c r="AFR55" s="172"/>
      <c r="AFS55" s="172"/>
      <c r="AFT55" s="172"/>
      <c r="AFU55" s="172"/>
      <c r="AFV55" s="172"/>
      <c r="AFW55" s="172"/>
      <c r="AFX55" s="172"/>
      <c r="AFY55" s="172"/>
      <c r="AFZ55" s="172"/>
      <c r="AGA55" s="172"/>
      <c r="AGB55" s="172"/>
      <c r="AGC55" s="172"/>
      <c r="AGD55" s="172"/>
      <c r="AGE55" s="172"/>
      <c r="AGF55" s="172"/>
      <c r="AGG55" s="172"/>
      <c r="AGH55" s="172"/>
      <c r="AGI55" s="172"/>
      <c r="AGJ55" s="172"/>
      <c r="AGK55" s="172"/>
      <c r="AGL55" s="172"/>
      <c r="AGM55" s="172"/>
      <c r="AGN55" s="172"/>
      <c r="AGO55" s="172"/>
      <c r="AGP55" s="172"/>
      <c r="AGQ55" s="172"/>
      <c r="AGR55" s="172"/>
      <c r="AGS55" s="172"/>
      <c r="AGT55" s="172"/>
      <c r="AGU55" s="172"/>
      <c r="AGV55" s="172"/>
      <c r="AGW55" s="172"/>
      <c r="AGX55" s="172"/>
      <c r="AGY55" s="172"/>
      <c r="AGZ55" s="172"/>
      <c r="AHA55" s="172"/>
      <c r="AHB55" s="172"/>
      <c r="AHC55" s="172"/>
      <c r="AHD55" s="172"/>
      <c r="AHE55" s="172"/>
      <c r="AHF55" s="172"/>
      <c r="AHG55" s="172"/>
      <c r="AHH55" s="172"/>
      <c r="AHI55" s="172"/>
      <c r="AHJ55" s="172"/>
      <c r="AHK55" s="172"/>
      <c r="AHL55" s="172"/>
      <c r="AHM55" s="172"/>
      <c r="AHN55" s="172"/>
      <c r="AHO55" s="172"/>
      <c r="AHP55" s="172"/>
      <c r="AHQ55" s="172"/>
      <c r="AHR55" s="172"/>
      <c r="AHS55" s="172"/>
      <c r="AHT55" s="172"/>
      <c r="AHU55" s="172"/>
      <c r="AHV55" s="172"/>
      <c r="AHW55" s="172"/>
      <c r="AHX55" s="172"/>
      <c r="AHY55" s="172"/>
      <c r="AHZ55" s="172"/>
      <c r="AIA55" s="172"/>
      <c r="AIB55" s="172"/>
      <c r="AIC55" s="172"/>
      <c r="AID55" s="172"/>
      <c r="AIE55" s="172"/>
      <c r="AIF55" s="172"/>
      <c r="AIG55" s="172"/>
      <c r="AIH55" s="172"/>
      <c r="AII55" s="172"/>
      <c r="AIJ55" s="172"/>
      <c r="AIK55" s="172"/>
      <c r="AIL55" s="172"/>
      <c r="AIM55" s="172"/>
      <c r="AIN55" s="172"/>
      <c r="AIO55" s="172"/>
      <c r="AIP55" s="172"/>
      <c r="AIQ55" s="172"/>
      <c r="AIR55" s="172"/>
      <c r="AIS55" s="172"/>
      <c r="AIT55" s="172"/>
      <c r="AIU55" s="172"/>
      <c r="AIV55" s="172"/>
      <c r="AIW55" s="172"/>
      <c r="AIX55" s="172"/>
      <c r="AIY55" s="172"/>
      <c r="AIZ55" s="172"/>
      <c r="AJA55" s="172"/>
      <c r="AJB55" s="172"/>
      <c r="AJC55" s="172"/>
      <c r="AJD55" s="172"/>
      <c r="AJE55" s="172"/>
      <c r="AJF55" s="172"/>
      <c r="AJG55" s="172"/>
      <c r="AJH55" s="172"/>
      <c r="AJI55" s="172"/>
      <c r="AJJ55" s="172"/>
      <c r="AJK55" s="172"/>
      <c r="AJL55" s="172"/>
      <c r="AJM55" s="172"/>
      <c r="AJN55" s="172"/>
      <c r="AJO55" s="172"/>
      <c r="AJP55" s="172"/>
      <c r="AJQ55" s="172"/>
      <c r="AJR55" s="172"/>
      <c r="AJS55" s="172"/>
      <c r="AJT55" s="172"/>
      <c r="AJU55" s="172"/>
      <c r="AJV55" s="172"/>
      <c r="AJW55" s="172"/>
      <c r="AJX55" s="172"/>
      <c r="AJY55" s="172"/>
      <c r="AJZ55" s="172"/>
      <c r="AKA55" s="172"/>
      <c r="AKB55" s="172"/>
      <c r="AKC55" s="172"/>
      <c r="AKD55" s="172"/>
      <c r="AKE55" s="172"/>
      <c r="AKF55" s="172"/>
      <c r="AKG55" s="172"/>
      <c r="AKH55" s="172"/>
      <c r="AKI55" s="172"/>
      <c r="AKJ55" s="172"/>
      <c r="AKK55" s="172"/>
      <c r="AKL55" s="172"/>
      <c r="AKM55" s="172"/>
      <c r="AKN55" s="172"/>
      <c r="AKO55" s="172"/>
      <c r="AKP55" s="172"/>
      <c r="AKQ55" s="172"/>
      <c r="AKR55" s="172"/>
      <c r="AKS55" s="172"/>
      <c r="AKT55" s="172"/>
      <c r="AKU55" s="172"/>
      <c r="AKV55" s="172"/>
      <c r="AKW55" s="172"/>
      <c r="AKX55" s="172"/>
      <c r="AKY55" s="172"/>
      <c r="AKZ55" s="172"/>
      <c r="ALA55" s="172"/>
      <c r="ALB55" s="172"/>
      <c r="ALC55" s="172"/>
      <c r="ALD55" s="172"/>
      <c r="ALE55" s="172"/>
      <c r="ALF55" s="172"/>
      <c r="ALG55" s="172"/>
      <c r="ALH55" s="172"/>
      <c r="ALI55" s="172"/>
      <c r="ALJ55" s="172"/>
      <c r="ALK55" s="172"/>
      <c r="ALL55" s="172"/>
      <c r="ALM55" s="172"/>
      <c r="ALN55" s="172"/>
      <c r="ALO55" s="172"/>
      <c r="ALP55" s="172"/>
      <c r="ALQ55" s="172"/>
      <c r="ALR55" s="172"/>
      <c r="ALS55" s="172"/>
      <c r="ALT55" s="172"/>
      <c r="ALU55" s="172"/>
      <c r="ALV55" s="172"/>
      <c r="ALW55" s="172"/>
      <c r="ALX55" s="172"/>
      <c r="ALY55" s="172"/>
      <c r="ALZ55" s="172"/>
      <c r="AMA55" s="172"/>
      <c r="AMB55" s="172"/>
      <c r="AMC55" s="172"/>
      <c r="AMD55" s="172"/>
    </row>
    <row r="56" spans="1:1019" ht="15" customHeight="1">
      <c r="A56" s="168">
        <f t="shared" si="2"/>
        <v>49</v>
      </c>
      <c r="B56" s="175">
        <v>638</v>
      </c>
      <c r="C56" s="168" t="s">
        <v>63</v>
      </c>
      <c r="D56" s="169">
        <f>'הנדסה '!D14</f>
        <v>7000000</v>
      </c>
      <c r="E56" s="169">
        <f>'הנדסה '!E14</f>
        <v>7000000</v>
      </c>
      <c r="F56" s="169">
        <f>'הנדסה '!F14</f>
        <v>0</v>
      </c>
      <c r="G56" s="169">
        <f>'הנדסה '!G14</f>
        <v>4600000</v>
      </c>
      <c r="H56" s="169">
        <f>'הנדסה '!H14</f>
        <v>3454838.96</v>
      </c>
      <c r="I56" s="169">
        <f>'הנדסה '!I14</f>
        <v>74548.7</v>
      </c>
      <c r="J56" s="169">
        <f>'הנדסה '!J14</f>
        <v>0</v>
      </c>
      <c r="K56" s="169">
        <f>'הנדסה '!K14</f>
        <v>74548.7</v>
      </c>
      <c r="L56" s="169">
        <f>'הנדסה '!L14</f>
        <v>3529387.66</v>
      </c>
      <c r="M56" s="169">
        <f>'הנדסה '!M14</f>
        <v>70612.339999999851</v>
      </c>
      <c r="N56" s="169">
        <f>'הנדסה '!N14</f>
        <v>1500000</v>
      </c>
      <c r="O56" s="169">
        <f>'הנדסה '!O14</f>
        <v>1900000</v>
      </c>
      <c r="P56" s="169">
        <f>'הנדסה '!P14</f>
        <v>1070612.3399999999</v>
      </c>
      <c r="Q56" s="169">
        <f>'הנדסה '!Q14</f>
        <v>0</v>
      </c>
      <c r="R56" s="169">
        <f>'הנדסה '!R14</f>
        <v>0</v>
      </c>
      <c r="S56" s="169">
        <f>'הנדסה '!S14</f>
        <v>0</v>
      </c>
      <c r="T56" s="169">
        <f>'הנדסה '!T14</f>
        <v>1000000</v>
      </c>
      <c r="U56" s="169">
        <f>'הנדסה '!U14</f>
        <v>500000</v>
      </c>
      <c r="V56" s="169">
        <f>'הנדסה '!V14</f>
        <v>500000</v>
      </c>
      <c r="W56" s="169">
        <f>'הנדסה '!W14</f>
        <v>0</v>
      </c>
      <c r="X56" s="169">
        <f>'הנדסה '!X14</f>
        <v>0</v>
      </c>
      <c r="Y56" s="169">
        <f>'הנדסה '!Y14</f>
        <v>0</v>
      </c>
      <c r="Z56" s="169">
        <f>'הנדסה '!Z14</f>
        <v>0</v>
      </c>
      <c r="AA56" s="659">
        <f>'הנדסה '!AA14</f>
        <v>742000</v>
      </c>
      <c r="AB56" s="157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  <c r="DZ56" s="172"/>
      <c r="EA56" s="172"/>
      <c r="EB56" s="172"/>
      <c r="EC56" s="172"/>
      <c r="ED56" s="172"/>
      <c r="EE56" s="172"/>
      <c r="EF56" s="172"/>
      <c r="EG56" s="172"/>
      <c r="EH56" s="172"/>
      <c r="EI56" s="172"/>
      <c r="EJ56" s="172"/>
      <c r="EK56" s="172"/>
      <c r="EL56" s="172"/>
      <c r="EM56" s="172"/>
      <c r="EN56" s="172"/>
      <c r="EO56" s="172"/>
      <c r="EP56" s="172"/>
      <c r="EQ56" s="172"/>
      <c r="ER56" s="172"/>
      <c r="ES56" s="172"/>
      <c r="ET56" s="172"/>
      <c r="EU56" s="172"/>
      <c r="EV56" s="172"/>
      <c r="EW56" s="172"/>
      <c r="EX56" s="172"/>
      <c r="EY56" s="172"/>
      <c r="EZ56" s="172"/>
      <c r="FA56" s="172"/>
      <c r="FB56" s="172"/>
      <c r="FC56" s="172"/>
      <c r="FD56" s="172"/>
      <c r="FE56" s="172"/>
      <c r="FF56" s="172"/>
      <c r="FG56" s="172"/>
      <c r="FH56" s="172"/>
      <c r="FI56" s="172"/>
      <c r="FJ56" s="172"/>
      <c r="FK56" s="172"/>
      <c r="FL56" s="172"/>
      <c r="FM56" s="172"/>
      <c r="FN56" s="172"/>
      <c r="FO56" s="172"/>
      <c r="FP56" s="172"/>
      <c r="FQ56" s="172"/>
      <c r="FR56" s="172"/>
      <c r="FS56" s="172"/>
      <c r="FT56" s="172"/>
      <c r="FU56" s="172"/>
      <c r="FV56" s="172"/>
      <c r="FW56" s="172"/>
      <c r="FX56" s="172"/>
      <c r="FY56" s="172"/>
      <c r="FZ56" s="172"/>
      <c r="GA56" s="172"/>
      <c r="GB56" s="172"/>
      <c r="GC56" s="172"/>
      <c r="GD56" s="172"/>
      <c r="GE56" s="172"/>
      <c r="GF56" s="172"/>
      <c r="GG56" s="172"/>
      <c r="GH56" s="172"/>
      <c r="GI56" s="172"/>
      <c r="GJ56" s="172"/>
      <c r="GK56" s="172"/>
      <c r="GL56" s="172"/>
      <c r="GM56" s="172"/>
      <c r="GN56" s="172"/>
      <c r="GO56" s="172"/>
      <c r="GP56" s="172"/>
      <c r="GQ56" s="172"/>
      <c r="GR56" s="172"/>
      <c r="GS56" s="172"/>
      <c r="GT56" s="172"/>
      <c r="GU56" s="172"/>
      <c r="GV56" s="172"/>
      <c r="GW56" s="172"/>
      <c r="GX56" s="172"/>
      <c r="GY56" s="172"/>
      <c r="GZ56" s="172"/>
      <c r="HA56" s="172"/>
      <c r="HB56" s="172"/>
      <c r="HC56" s="172"/>
      <c r="HD56" s="172"/>
      <c r="HE56" s="172"/>
      <c r="HF56" s="172"/>
      <c r="HG56" s="172"/>
      <c r="HH56" s="172"/>
      <c r="HI56" s="172"/>
      <c r="HJ56" s="172"/>
      <c r="HK56" s="172"/>
      <c r="HL56" s="172"/>
      <c r="HM56" s="172"/>
      <c r="HN56" s="172"/>
      <c r="HO56" s="172"/>
      <c r="HP56" s="172"/>
      <c r="HQ56" s="172"/>
      <c r="HR56" s="172"/>
      <c r="HS56" s="172"/>
      <c r="HT56" s="172"/>
      <c r="HU56" s="172"/>
      <c r="HV56" s="172"/>
      <c r="HW56" s="172"/>
      <c r="HX56" s="172"/>
      <c r="HY56" s="172"/>
      <c r="HZ56" s="172"/>
      <c r="IA56" s="172"/>
      <c r="IB56" s="172"/>
      <c r="IC56" s="172"/>
      <c r="ID56" s="172"/>
      <c r="IE56" s="172"/>
      <c r="IF56" s="172"/>
      <c r="IG56" s="172"/>
      <c r="IH56" s="172"/>
      <c r="II56" s="172"/>
      <c r="IJ56" s="172"/>
      <c r="IK56" s="172"/>
      <c r="IL56" s="172"/>
      <c r="IM56" s="172"/>
      <c r="IN56" s="172"/>
      <c r="IO56" s="172"/>
      <c r="IP56" s="172"/>
      <c r="IQ56" s="172"/>
      <c r="IR56" s="172"/>
      <c r="IS56" s="172"/>
      <c r="IT56" s="172"/>
      <c r="IU56" s="172"/>
      <c r="IV56" s="172"/>
      <c r="IW56" s="172"/>
      <c r="IX56" s="172"/>
      <c r="IY56" s="172"/>
      <c r="IZ56" s="172"/>
      <c r="JA56" s="172"/>
      <c r="JB56" s="172"/>
      <c r="JC56" s="172"/>
      <c r="JD56" s="172"/>
      <c r="JE56" s="172"/>
      <c r="JF56" s="172"/>
      <c r="JG56" s="172"/>
      <c r="JH56" s="172"/>
      <c r="JI56" s="172"/>
      <c r="JJ56" s="172"/>
      <c r="JK56" s="172"/>
      <c r="JL56" s="172"/>
      <c r="JM56" s="172"/>
      <c r="JN56" s="172"/>
      <c r="JO56" s="172"/>
      <c r="JP56" s="172"/>
      <c r="JQ56" s="172"/>
      <c r="JR56" s="172"/>
      <c r="JS56" s="172"/>
      <c r="JT56" s="172"/>
      <c r="JU56" s="172"/>
      <c r="JV56" s="172"/>
      <c r="JW56" s="172"/>
      <c r="JX56" s="172"/>
      <c r="JY56" s="172"/>
      <c r="JZ56" s="172"/>
      <c r="KA56" s="172"/>
      <c r="KB56" s="172"/>
      <c r="KC56" s="172"/>
      <c r="KD56" s="172"/>
      <c r="KE56" s="172"/>
      <c r="KF56" s="172"/>
      <c r="KG56" s="172"/>
      <c r="KH56" s="172"/>
      <c r="KI56" s="172"/>
      <c r="KJ56" s="172"/>
      <c r="KK56" s="172"/>
      <c r="KL56" s="172"/>
      <c r="KM56" s="172"/>
      <c r="KN56" s="172"/>
      <c r="KO56" s="172"/>
      <c r="KP56" s="172"/>
      <c r="KQ56" s="172"/>
      <c r="KR56" s="172"/>
      <c r="KS56" s="172"/>
      <c r="KT56" s="172"/>
      <c r="KU56" s="172"/>
      <c r="KV56" s="172"/>
      <c r="KW56" s="172"/>
      <c r="KX56" s="172"/>
      <c r="KY56" s="172"/>
      <c r="KZ56" s="172"/>
      <c r="LA56" s="172"/>
      <c r="LB56" s="172"/>
      <c r="LC56" s="172"/>
      <c r="LD56" s="172"/>
      <c r="LE56" s="172"/>
      <c r="LF56" s="172"/>
      <c r="LG56" s="172"/>
      <c r="LH56" s="172"/>
      <c r="LI56" s="172"/>
      <c r="LJ56" s="172"/>
      <c r="LK56" s="172"/>
      <c r="LL56" s="172"/>
      <c r="LM56" s="172"/>
      <c r="LN56" s="172"/>
      <c r="LO56" s="172"/>
      <c r="LP56" s="172"/>
      <c r="LQ56" s="172"/>
      <c r="LR56" s="172"/>
      <c r="LS56" s="172"/>
      <c r="LT56" s="172"/>
      <c r="LU56" s="172"/>
      <c r="LV56" s="172"/>
      <c r="LW56" s="172"/>
      <c r="LX56" s="172"/>
      <c r="LY56" s="172"/>
      <c r="LZ56" s="172"/>
      <c r="MA56" s="172"/>
      <c r="MB56" s="172"/>
      <c r="MC56" s="172"/>
      <c r="MD56" s="172"/>
      <c r="ME56" s="172"/>
      <c r="MF56" s="172"/>
      <c r="MG56" s="172"/>
      <c r="MH56" s="172"/>
      <c r="MI56" s="172"/>
      <c r="MJ56" s="172"/>
      <c r="MK56" s="172"/>
      <c r="ML56" s="172"/>
      <c r="MM56" s="172"/>
      <c r="MN56" s="172"/>
      <c r="MO56" s="172"/>
      <c r="MP56" s="172"/>
      <c r="MQ56" s="172"/>
      <c r="MR56" s="172"/>
      <c r="MS56" s="172"/>
      <c r="MT56" s="172"/>
      <c r="MU56" s="172"/>
      <c r="MV56" s="172"/>
      <c r="MW56" s="172"/>
      <c r="MX56" s="172"/>
      <c r="MY56" s="172"/>
      <c r="MZ56" s="172"/>
      <c r="NA56" s="172"/>
      <c r="NB56" s="172"/>
      <c r="NC56" s="172"/>
      <c r="ND56" s="172"/>
      <c r="NE56" s="172"/>
      <c r="NF56" s="172"/>
      <c r="NG56" s="172"/>
      <c r="NH56" s="172"/>
      <c r="NI56" s="172"/>
      <c r="NJ56" s="172"/>
      <c r="NK56" s="172"/>
      <c r="NL56" s="172"/>
      <c r="NM56" s="172"/>
      <c r="NN56" s="172"/>
      <c r="NO56" s="172"/>
      <c r="NP56" s="172"/>
      <c r="NQ56" s="172"/>
      <c r="NR56" s="172"/>
      <c r="NS56" s="172"/>
      <c r="NT56" s="172"/>
      <c r="NU56" s="172"/>
      <c r="NV56" s="172"/>
      <c r="NW56" s="172"/>
      <c r="NX56" s="172"/>
      <c r="NY56" s="172"/>
      <c r="NZ56" s="172"/>
      <c r="OA56" s="172"/>
      <c r="OB56" s="172"/>
      <c r="OC56" s="172"/>
      <c r="OD56" s="172"/>
      <c r="OE56" s="172"/>
      <c r="OF56" s="172"/>
      <c r="OG56" s="172"/>
      <c r="OH56" s="172"/>
      <c r="OI56" s="172"/>
      <c r="OJ56" s="172"/>
      <c r="OK56" s="172"/>
      <c r="OL56" s="172"/>
      <c r="OM56" s="172"/>
      <c r="ON56" s="172"/>
      <c r="OO56" s="172"/>
      <c r="OP56" s="172"/>
      <c r="OQ56" s="172"/>
      <c r="OR56" s="172"/>
      <c r="OS56" s="172"/>
      <c r="OT56" s="172"/>
      <c r="OU56" s="172"/>
      <c r="OV56" s="172"/>
      <c r="OW56" s="172"/>
      <c r="OX56" s="172"/>
      <c r="OY56" s="172"/>
      <c r="OZ56" s="172"/>
      <c r="PA56" s="172"/>
      <c r="PB56" s="172"/>
      <c r="PC56" s="172"/>
      <c r="PD56" s="172"/>
      <c r="PE56" s="172"/>
      <c r="PF56" s="172"/>
      <c r="PG56" s="172"/>
      <c r="PH56" s="172"/>
      <c r="PI56" s="172"/>
      <c r="PJ56" s="172"/>
      <c r="PK56" s="172"/>
      <c r="PL56" s="172"/>
      <c r="PM56" s="172"/>
      <c r="PN56" s="172"/>
      <c r="PO56" s="172"/>
      <c r="PP56" s="172"/>
      <c r="PQ56" s="172"/>
      <c r="PR56" s="172"/>
      <c r="PS56" s="172"/>
      <c r="PT56" s="172"/>
      <c r="PU56" s="172"/>
      <c r="PV56" s="172"/>
      <c r="PW56" s="172"/>
      <c r="PX56" s="172"/>
      <c r="PY56" s="172"/>
      <c r="PZ56" s="172"/>
      <c r="QA56" s="172"/>
      <c r="QB56" s="172"/>
      <c r="QC56" s="172"/>
      <c r="QD56" s="172"/>
      <c r="QE56" s="172"/>
      <c r="QF56" s="172"/>
      <c r="QG56" s="172"/>
      <c r="QH56" s="172"/>
      <c r="QI56" s="172"/>
      <c r="QJ56" s="172"/>
      <c r="QK56" s="172"/>
      <c r="QL56" s="172"/>
      <c r="QM56" s="172"/>
      <c r="QN56" s="172"/>
      <c r="QO56" s="172"/>
      <c r="QP56" s="172"/>
      <c r="QQ56" s="172"/>
      <c r="QR56" s="172"/>
      <c r="QS56" s="172"/>
      <c r="QT56" s="172"/>
      <c r="QU56" s="172"/>
      <c r="QV56" s="172"/>
      <c r="QW56" s="172"/>
      <c r="QX56" s="172"/>
      <c r="QY56" s="172"/>
      <c r="QZ56" s="172"/>
      <c r="RA56" s="172"/>
      <c r="RB56" s="172"/>
      <c r="RC56" s="172"/>
      <c r="RD56" s="172"/>
      <c r="RE56" s="172"/>
      <c r="RF56" s="172"/>
      <c r="RG56" s="172"/>
      <c r="RH56" s="172"/>
      <c r="RI56" s="172"/>
      <c r="RJ56" s="172"/>
      <c r="RK56" s="172"/>
      <c r="RL56" s="172"/>
      <c r="RM56" s="172"/>
      <c r="RN56" s="172"/>
      <c r="RO56" s="172"/>
      <c r="RP56" s="172"/>
      <c r="RQ56" s="172"/>
      <c r="RR56" s="172"/>
      <c r="RS56" s="172"/>
      <c r="RT56" s="172"/>
      <c r="RU56" s="172"/>
      <c r="RV56" s="172"/>
      <c r="RW56" s="172"/>
      <c r="RX56" s="172"/>
      <c r="RY56" s="172"/>
      <c r="RZ56" s="172"/>
      <c r="SA56" s="172"/>
      <c r="SB56" s="172"/>
      <c r="SC56" s="172"/>
      <c r="SD56" s="172"/>
      <c r="SE56" s="172"/>
      <c r="SF56" s="172"/>
      <c r="SG56" s="172"/>
      <c r="SH56" s="172"/>
      <c r="SI56" s="172"/>
      <c r="SJ56" s="172"/>
      <c r="SK56" s="172"/>
      <c r="SL56" s="172"/>
      <c r="SM56" s="172"/>
      <c r="SN56" s="172"/>
      <c r="SO56" s="172"/>
      <c r="SP56" s="172"/>
      <c r="SQ56" s="172"/>
      <c r="SR56" s="172"/>
      <c r="SS56" s="172"/>
      <c r="ST56" s="172"/>
      <c r="SU56" s="172"/>
      <c r="SV56" s="172"/>
      <c r="SW56" s="172"/>
      <c r="SX56" s="172"/>
      <c r="SY56" s="172"/>
      <c r="SZ56" s="172"/>
      <c r="TA56" s="172"/>
      <c r="TB56" s="172"/>
      <c r="TC56" s="172"/>
      <c r="TD56" s="172"/>
      <c r="TE56" s="172"/>
      <c r="TF56" s="172"/>
      <c r="TG56" s="172"/>
      <c r="TH56" s="172"/>
      <c r="TI56" s="172"/>
      <c r="TJ56" s="172"/>
      <c r="TK56" s="172"/>
      <c r="TL56" s="172"/>
      <c r="TM56" s="172"/>
      <c r="TN56" s="172"/>
      <c r="TO56" s="172"/>
      <c r="TP56" s="172"/>
      <c r="TQ56" s="172"/>
      <c r="TR56" s="172"/>
      <c r="TS56" s="172"/>
      <c r="TT56" s="172"/>
      <c r="TU56" s="172"/>
      <c r="TV56" s="172"/>
      <c r="TW56" s="172"/>
      <c r="TX56" s="172"/>
      <c r="TY56" s="172"/>
      <c r="TZ56" s="172"/>
      <c r="UA56" s="172"/>
      <c r="UB56" s="172"/>
      <c r="UC56" s="172"/>
      <c r="UD56" s="172"/>
      <c r="UE56" s="172"/>
      <c r="UF56" s="172"/>
      <c r="UG56" s="172"/>
      <c r="UH56" s="172"/>
      <c r="UI56" s="172"/>
      <c r="UJ56" s="172"/>
      <c r="UK56" s="172"/>
      <c r="UL56" s="172"/>
      <c r="UM56" s="172"/>
      <c r="UN56" s="172"/>
      <c r="UO56" s="172"/>
      <c r="UP56" s="172"/>
      <c r="UQ56" s="172"/>
      <c r="UR56" s="172"/>
      <c r="US56" s="172"/>
      <c r="UT56" s="172"/>
      <c r="UU56" s="172"/>
      <c r="UV56" s="172"/>
      <c r="UW56" s="172"/>
      <c r="UX56" s="172"/>
      <c r="UY56" s="172"/>
      <c r="UZ56" s="172"/>
      <c r="VA56" s="172"/>
      <c r="VB56" s="172"/>
      <c r="VC56" s="172"/>
      <c r="VD56" s="172"/>
      <c r="VE56" s="172"/>
      <c r="VF56" s="172"/>
      <c r="VG56" s="172"/>
      <c r="VH56" s="172"/>
      <c r="VI56" s="172"/>
      <c r="VJ56" s="172"/>
      <c r="VK56" s="172"/>
      <c r="VL56" s="172"/>
      <c r="VM56" s="172"/>
      <c r="VN56" s="172"/>
      <c r="VO56" s="172"/>
      <c r="VP56" s="172"/>
      <c r="VQ56" s="172"/>
      <c r="VR56" s="172"/>
      <c r="VS56" s="172"/>
      <c r="VT56" s="172"/>
      <c r="VU56" s="172"/>
      <c r="VV56" s="172"/>
      <c r="VW56" s="172"/>
      <c r="VX56" s="172"/>
      <c r="VY56" s="172"/>
      <c r="VZ56" s="172"/>
      <c r="WA56" s="172"/>
      <c r="WB56" s="172"/>
      <c r="WC56" s="172"/>
      <c r="WD56" s="172"/>
      <c r="WE56" s="172"/>
      <c r="WF56" s="172"/>
      <c r="WG56" s="172"/>
      <c r="WH56" s="172"/>
      <c r="WI56" s="172"/>
      <c r="WJ56" s="172"/>
      <c r="WK56" s="172"/>
      <c r="WL56" s="172"/>
      <c r="WM56" s="172"/>
      <c r="WN56" s="172"/>
      <c r="WO56" s="172"/>
      <c r="WP56" s="172"/>
      <c r="WQ56" s="172"/>
      <c r="WR56" s="172"/>
      <c r="WS56" s="172"/>
      <c r="WT56" s="172"/>
      <c r="WU56" s="172"/>
      <c r="WV56" s="172"/>
      <c r="WW56" s="172"/>
      <c r="WX56" s="172"/>
      <c r="WY56" s="172"/>
      <c r="WZ56" s="172"/>
      <c r="XA56" s="172"/>
      <c r="XB56" s="172"/>
      <c r="XC56" s="172"/>
      <c r="XD56" s="172"/>
      <c r="XE56" s="172"/>
      <c r="XF56" s="172"/>
      <c r="XG56" s="172"/>
      <c r="XH56" s="172"/>
      <c r="XI56" s="172"/>
      <c r="XJ56" s="172"/>
      <c r="XK56" s="172"/>
      <c r="XL56" s="172"/>
      <c r="XM56" s="172"/>
      <c r="XN56" s="172"/>
      <c r="XO56" s="172"/>
      <c r="XP56" s="172"/>
      <c r="XQ56" s="172"/>
      <c r="XR56" s="172"/>
      <c r="XS56" s="172"/>
      <c r="XT56" s="172"/>
      <c r="XU56" s="172"/>
      <c r="XV56" s="172"/>
      <c r="XW56" s="172"/>
      <c r="XX56" s="172"/>
      <c r="XY56" s="172"/>
      <c r="XZ56" s="172"/>
      <c r="YA56" s="172"/>
      <c r="YB56" s="172"/>
      <c r="YC56" s="172"/>
      <c r="YD56" s="172"/>
      <c r="YE56" s="172"/>
      <c r="YF56" s="172"/>
      <c r="YG56" s="172"/>
      <c r="YH56" s="172"/>
      <c r="YI56" s="172"/>
      <c r="YJ56" s="172"/>
      <c r="YK56" s="172"/>
      <c r="YL56" s="172"/>
      <c r="YM56" s="172"/>
      <c r="YN56" s="172"/>
      <c r="YO56" s="172"/>
      <c r="YP56" s="172"/>
      <c r="YQ56" s="172"/>
      <c r="YR56" s="172"/>
      <c r="YS56" s="172"/>
      <c r="YT56" s="172"/>
      <c r="YU56" s="172"/>
      <c r="YV56" s="172"/>
      <c r="YW56" s="172"/>
      <c r="YX56" s="172"/>
      <c r="YY56" s="172"/>
      <c r="YZ56" s="172"/>
      <c r="ZA56" s="172"/>
      <c r="ZB56" s="172"/>
      <c r="ZC56" s="172"/>
      <c r="ZD56" s="172"/>
      <c r="ZE56" s="172"/>
      <c r="ZF56" s="172"/>
      <c r="ZG56" s="172"/>
      <c r="ZH56" s="172"/>
      <c r="ZI56" s="172"/>
      <c r="ZJ56" s="172"/>
      <c r="ZK56" s="172"/>
      <c r="ZL56" s="172"/>
      <c r="ZM56" s="172"/>
      <c r="ZN56" s="172"/>
      <c r="ZO56" s="172"/>
      <c r="ZP56" s="172"/>
      <c r="ZQ56" s="172"/>
      <c r="ZR56" s="172"/>
      <c r="ZS56" s="172"/>
      <c r="ZT56" s="172"/>
      <c r="ZU56" s="172"/>
      <c r="ZV56" s="172"/>
      <c r="ZW56" s="172"/>
      <c r="ZX56" s="172"/>
      <c r="ZY56" s="172"/>
      <c r="ZZ56" s="172"/>
      <c r="AAA56" s="172"/>
      <c r="AAB56" s="172"/>
      <c r="AAC56" s="172"/>
      <c r="AAD56" s="172"/>
      <c r="AAE56" s="172"/>
      <c r="AAF56" s="172"/>
      <c r="AAG56" s="172"/>
      <c r="AAH56" s="172"/>
      <c r="AAI56" s="172"/>
      <c r="AAJ56" s="172"/>
      <c r="AAK56" s="172"/>
      <c r="AAL56" s="172"/>
      <c r="AAM56" s="172"/>
      <c r="AAN56" s="172"/>
      <c r="AAO56" s="172"/>
      <c r="AAP56" s="172"/>
      <c r="AAQ56" s="172"/>
      <c r="AAR56" s="172"/>
      <c r="AAS56" s="172"/>
      <c r="AAT56" s="172"/>
      <c r="AAU56" s="172"/>
      <c r="AAV56" s="172"/>
      <c r="AAW56" s="172"/>
      <c r="AAX56" s="172"/>
      <c r="AAY56" s="172"/>
      <c r="AAZ56" s="172"/>
      <c r="ABA56" s="172"/>
      <c r="ABB56" s="172"/>
      <c r="ABC56" s="172"/>
      <c r="ABD56" s="172"/>
      <c r="ABE56" s="172"/>
      <c r="ABF56" s="172"/>
      <c r="ABG56" s="172"/>
      <c r="ABH56" s="172"/>
      <c r="ABI56" s="172"/>
      <c r="ABJ56" s="172"/>
      <c r="ABK56" s="172"/>
      <c r="ABL56" s="172"/>
      <c r="ABM56" s="172"/>
      <c r="ABN56" s="172"/>
      <c r="ABO56" s="172"/>
      <c r="ABP56" s="172"/>
      <c r="ABQ56" s="172"/>
      <c r="ABR56" s="172"/>
      <c r="ABS56" s="172"/>
      <c r="ABT56" s="172"/>
      <c r="ABU56" s="172"/>
      <c r="ABV56" s="172"/>
      <c r="ABW56" s="172"/>
      <c r="ABX56" s="172"/>
      <c r="ABY56" s="172"/>
      <c r="ABZ56" s="172"/>
      <c r="ACA56" s="172"/>
      <c r="ACB56" s="172"/>
      <c r="ACC56" s="172"/>
      <c r="ACD56" s="172"/>
      <c r="ACE56" s="172"/>
      <c r="ACF56" s="172"/>
      <c r="ACG56" s="172"/>
      <c r="ACH56" s="172"/>
      <c r="ACI56" s="172"/>
      <c r="ACJ56" s="172"/>
      <c r="ACK56" s="172"/>
      <c r="ACL56" s="172"/>
      <c r="ACM56" s="172"/>
      <c r="ACN56" s="172"/>
      <c r="ACO56" s="172"/>
      <c r="ACP56" s="172"/>
      <c r="ACQ56" s="172"/>
      <c r="ACR56" s="172"/>
      <c r="ACS56" s="172"/>
      <c r="ACT56" s="172"/>
      <c r="ACU56" s="172"/>
      <c r="ACV56" s="172"/>
      <c r="ACW56" s="172"/>
      <c r="ACX56" s="172"/>
      <c r="ACY56" s="172"/>
      <c r="ACZ56" s="172"/>
      <c r="ADA56" s="172"/>
      <c r="ADB56" s="172"/>
      <c r="ADC56" s="172"/>
      <c r="ADD56" s="172"/>
      <c r="ADE56" s="172"/>
      <c r="ADF56" s="172"/>
      <c r="ADG56" s="172"/>
      <c r="ADH56" s="172"/>
      <c r="ADI56" s="172"/>
      <c r="ADJ56" s="172"/>
      <c r="ADK56" s="172"/>
      <c r="ADL56" s="172"/>
      <c r="ADM56" s="172"/>
      <c r="ADN56" s="172"/>
      <c r="ADO56" s="172"/>
      <c r="ADP56" s="172"/>
      <c r="ADQ56" s="172"/>
      <c r="ADR56" s="172"/>
      <c r="ADS56" s="172"/>
      <c r="ADT56" s="172"/>
      <c r="ADU56" s="172"/>
      <c r="ADV56" s="172"/>
      <c r="ADW56" s="172"/>
      <c r="ADX56" s="172"/>
      <c r="ADY56" s="172"/>
      <c r="ADZ56" s="172"/>
      <c r="AEA56" s="172"/>
      <c r="AEB56" s="172"/>
      <c r="AEC56" s="172"/>
      <c r="AED56" s="172"/>
      <c r="AEE56" s="172"/>
      <c r="AEF56" s="172"/>
      <c r="AEG56" s="172"/>
      <c r="AEH56" s="172"/>
      <c r="AEI56" s="172"/>
      <c r="AEJ56" s="172"/>
      <c r="AEK56" s="172"/>
      <c r="AEL56" s="172"/>
      <c r="AEM56" s="172"/>
      <c r="AEN56" s="172"/>
      <c r="AEO56" s="172"/>
      <c r="AEP56" s="172"/>
      <c r="AEQ56" s="172"/>
      <c r="AER56" s="172"/>
      <c r="AES56" s="172"/>
      <c r="AET56" s="172"/>
      <c r="AEU56" s="172"/>
      <c r="AEV56" s="172"/>
      <c r="AEW56" s="172"/>
      <c r="AEX56" s="172"/>
      <c r="AEY56" s="172"/>
      <c r="AEZ56" s="172"/>
      <c r="AFA56" s="172"/>
      <c r="AFB56" s="172"/>
      <c r="AFC56" s="172"/>
      <c r="AFD56" s="172"/>
      <c r="AFE56" s="172"/>
      <c r="AFF56" s="172"/>
      <c r="AFG56" s="172"/>
      <c r="AFH56" s="172"/>
      <c r="AFI56" s="172"/>
      <c r="AFJ56" s="172"/>
      <c r="AFK56" s="172"/>
      <c r="AFL56" s="172"/>
      <c r="AFM56" s="172"/>
      <c r="AFN56" s="172"/>
      <c r="AFO56" s="172"/>
      <c r="AFP56" s="172"/>
      <c r="AFQ56" s="172"/>
      <c r="AFR56" s="172"/>
      <c r="AFS56" s="172"/>
      <c r="AFT56" s="172"/>
      <c r="AFU56" s="172"/>
      <c r="AFV56" s="172"/>
      <c r="AFW56" s="172"/>
      <c r="AFX56" s="172"/>
      <c r="AFY56" s="172"/>
      <c r="AFZ56" s="172"/>
      <c r="AGA56" s="172"/>
      <c r="AGB56" s="172"/>
      <c r="AGC56" s="172"/>
      <c r="AGD56" s="172"/>
      <c r="AGE56" s="172"/>
      <c r="AGF56" s="172"/>
      <c r="AGG56" s="172"/>
      <c r="AGH56" s="172"/>
      <c r="AGI56" s="172"/>
      <c r="AGJ56" s="172"/>
      <c r="AGK56" s="172"/>
      <c r="AGL56" s="172"/>
      <c r="AGM56" s="172"/>
      <c r="AGN56" s="172"/>
      <c r="AGO56" s="172"/>
      <c r="AGP56" s="172"/>
      <c r="AGQ56" s="172"/>
      <c r="AGR56" s="172"/>
      <c r="AGS56" s="172"/>
      <c r="AGT56" s="172"/>
      <c r="AGU56" s="172"/>
      <c r="AGV56" s="172"/>
      <c r="AGW56" s="172"/>
      <c r="AGX56" s="172"/>
      <c r="AGY56" s="172"/>
      <c r="AGZ56" s="172"/>
      <c r="AHA56" s="172"/>
      <c r="AHB56" s="172"/>
      <c r="AHC56" s="172"/>
      <c r="AHD56" s="172"/>
      <c r="AHE56" s="172"/>
      <c r="AHF56" s="172"/>
      <c r="AHG56" s="172"/>
      <c r="AHH56" s="172"/>
      <c r="AHI56" s="172"/>
      <c r="AHJ56" s="172"/>
      <c r="AHK56" s="172"/>
      <c r="AHL56" s="172"/>
      <c r="AHM56" s="172"/>
      <c r="AHN56" s="172"/>
      <c r="AHO56" s="172"/>
      <c r="AHP56" s="172"/>
      <c r="AHQ56" s="172"/>
      <c r="AHR56" s="172"/>
      <c r="AHS56" s="172"/>
      <c r="AHT56" s="172"/>
      <c r="AHU56" s="172"/>
      <c r="AHV56" s="172"/>
      <c r="AHW56" s="172"/>
      <c r="AHX56" s="172"/>
      <c r="AHY56" s="172"/>
      <c r="AHZ56" s="172"/>
      <c r="AIA56" s="172"/>
      <c r="AIB56" s="172"/>
      <c r="AIC56" s="172"/>
      <c r="AID56" s="172"/>
      <c r="AIE56" s="172"/>
      <c r="AIF56" s="172"/>
      <c r="AIG56" s="172"/>
      <c r="AIH56" s="172"/>
      <c r="AII56" s="172"/>
      <c r="AIJ56" s="172"/>
      <c r="AIK56" s="172"/>
      <c r="AIL56" s="172"/>
      <c r="AIM56" s="172"/>
      <c r="AIN56" s="172"/>
      <c r="AIO56" s="172"/>
      <c r="AIP56" s="172"/>
      <c r="AIQ56" s="172"/>
      <c r="AIR56" s="172"/>
      <c r="AIS56" s="172"/>
      <c r="AIT56" s="172"/>
      <c r="AIU56" s="172"/>
      <c r="AIV56" s="172"/>
      <c r="AIW56" s="172"/>
      <c r="AIX56" s="172"/>
      <c r="AIY56" s="172"/>
      <c r="AIZ56" s="172"/>
      <c r="AJA56" s="172"/>
      <c r="AJB56" s="172"/>
      <c r="AJC56" s="172"/>
      <c r="AJD56" s="172"/>
      <c r="AJE56" s="172"/>
      <c r="AJF56" s="172"/>
      <c r="AJG56" s="172"/>
      <c r="AJH56" s="172"/>
      <c r="AJI56" s="172"/>
      <c r="AJJ56" s="172"/>
      <c r="AJK56" s="172"/>
      <c r="AJL56" s="172"/>
      <c r="AJM56" s="172"/>
      <c r="AJN56" s="172"/>
      <c r="AJO56" s="172"/>
      <c r="AJP56" s="172"/>
      <c r="AJQ56" s="172"/>
      <c r="AJR56" s="172"/>
      <c r="AJS56" s="172"/>
      <c r="AJT56" s="172"/>
      <c r="AJU56" s="172"/>
      <c r="AJV56" s="172"/>
      <c r="AJW56" s="172"/>
      <c r="AJX56" s="172"/>
      <c r="AJY56" s="172"/>
      <c r="AJZ56" s="172"/>
      <c r="AKA56" s="172"/>
      <c r="AKB56" s="172"/>
      <c r="AKC56" s="172"/>
      <c r="AKD56" s="172"/>
      <c r="AKE56" s="172"/>
      <c r="AKF56" s="172"/>
      <c r="AKG56" s="172"/>
      <c r="AKH56" s="172"/>
      <c r="AKI56" s="172"/>
      <c r="AKJ56" s="172"/>
      <c r="AKK56" s="172"/>
      <c r="AKL56" s="172"/>
      <c r="AKM56" s="172"/>
      <c r="AKN56" s="172"/>
      <c r="AKO56" s="172"/>
      <c r="AKP56" s="172"/>
      <c r="AKQ56" s="172"/>
      <c r="AKR56" s="172"/>
      <c r="AKS56" s="172"/>
      <c r="AKT56" s="172"/>
      <c r="AKU56" s="172"/>
      <c r="AKV56" s="172"/>
      <c r="AKW56" s="172"/>
      <c r="AKX56" s="172"/>
      <c r="AKY56" s="172"/>
      <c r="AKZ56" s="172"/>
      <c r="ALA56" s="172"/>
      <c r="ALB56" s="172"/>
      <c r="ALC56" s="172"/>
      <c r="ALD56" s="172"/>
      <c r="ALE56" s="172"/>
      <c r="ALF56" s="172"/>
      <c r="ALG56" s="172"/>
      <c r="ALH56" s="172"/>
      <c r="ALI56" s="172"/>
      <c r="ALJ56" s="172"/>
      <c r="ALK56" s="172"/>
      <c r="ALL56" s="172"/>
      <c r="ALM56" s="172"/>
      <c r="ALN56" s="172"/>
      <c r="ALO56" s="172"/>
      <c r="ALP56" s="172"/>
      <c r="ALQ56" s="172"/>
      <c r="ALR56" s="172"/>
      <c r="ALS56" s="172"/>
      <c r="ALT56" s="172"/>
      <c r="ALU56" s="172"/>
      <c r="ALV56" s="172"/>
      <c r="ALW56" s="172"/>
      <c r="ALX56" s="172"/>
      <c r="ALY56" s="172"/>
      <c r="ALZ56" s="172"/>
      <c r="AMA56" s="172"/>
      <c r="AMB56" s="172"/>
      <c r="AMC56" s="172"/>
      <c r="AMD56" s="172"/>
    </row>
    <row r="57" spans="1:1019" ht="15" customHeight="1">
      <c r="A57" s="168">
        <f t="shared" si="2"/>
        <v>50</v>
      </c>
      <c r="B57" s="175">
        <v>1018</v>
      </c>
      <c r="C57" s="168" t="s">
        <v>35</v>
      </c>
      <c r="D57" s="169">
        <f>'הנדסה '!D15</f>
        <v>31900000</v>
      </c>
      <c r="E57" s="169">
        <f>'הנדסה '!E15</f>
        <v>31900000</v>
      </c>
      <c r="F57" s="169">
        <f>'הנדסה '!F15</f>
        <v>0</v>
      </c>
      <c r="G57" s="169">
        <f>'הנדסה '!G15</f>
        <v>6100000</v>
      </c>
      <c r="H57" s="169">
        <f>'הנדסה '!H15</f>
        <v>3059081.79</v>
      </c>
      <c r="I57" s="169">
        <f>'הנדסה '!I15</f>
        <v>84192.99</v>
      </c>
      <c r="J57" s="169">
        <f>'הנדסה '!J15</f>
        <v>4969.17</v>
      </c>
      <c r="K57" s="169">
        <f>'הנדסה '!K15</f>
        <v>89162.16</v>
      </c>
      <c r="L57" s="169">
        <f>'הנדסה '!L15</f>
        <v>3148243.95</v>
      </c>
      <c r="M57" s="169">
        <f>'הנדסה '!M15</f>
        <v>951756.04999999981</v>
      </c>
      <c r="N57" s="169">
        <f>'הנדסה '!N15</f>
        <v>1000000</v>
      </c>
      <c r="O57" s="169">
        <f>'הנדסה '!O15</f>
        <v>26800000</v>
      </c>
      <c r="P57" s="169">
        <f>'הנדסה '!P15</f>
        <v>2951756.05</v>
      </c>
      <c r="Q57" s="169">
        <f>'הנדסה '!Q15</f>
        <v>0</v>
      </c>
      <c r="R57" s="169">
        <f>'הנדסה '!R15</f>
        <v>0</v>
      </c>
      <c r="S57" s="169">
        <f>'הנדסה '!S15</f>
        <v>0</v>
      </c>
      <c r="T57" s="169">
        <f>'הנדסה '!T15</f>
        <v>2000000</v>
      </c>
      <c r="U57" s="169">
        <f>'הנדסה '!U15</f>
        <v>-1000000</v>
      </c>
      <c r="V57" s="169">
        <f>'הנדסה '!V15</f>
        <v>-1000000</v>
      </c>
      <c r="W57" s="169">
        <f>'הנדסה '!W15</f>
        <v>0</v>
      </c>
      <c r="X57" s="169">
        <f>'הנדסה '!X15</f>
        <v>0</v>
      </c>
      <c r="Y57" s="169">
        <f>'הנדסה '!Y15</f>
        <v>0</v>
      </c>
      <c r="Z57" s="169">
        <f>'הנדסה '!Z15</f>
        <v>0</v>
      </c>
      <c r="AA57" s="659">
        <f>'הנדסה '!AA15</f>
        <v>742000</v>
      </c>
      <c r="AB57" s="157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  <c r="DZ57" s="172"/>
      <c r="EA57" s="172"/>
      <c r="EB57" s="172"/>
      <c r="EC57" s="172"/>
      <c r="ED57" s="172"/>
      <c r="EE57" s="172"/>
      <c r="EF57" s="172"/>
      <c r="EG57" s="172"/>
      <c r="EH57" s="172"/>
      <c r="EI57" s="172"/>
      <c r="EJ57" s="172"/>
      <c r="EK57" s="172"/>
      <c r="EL57" s="172"/>
      <c r="EM57" s="172"/>
      <c r="EN57" s="172"/>
      <c r="EO57" s="172"/>
      <c r="EP57" s="172"/>
      <c r="EQ57" s="172"/>
      <c r="ER57" s="172"/>
      <c r="ES57" s="172"/>
      <c r="ET57" s="172"/>
      <c r="EU57" s="172"/>
      <c r="EV57" s="172"/>
      <c r="EW57" s="172"/>
      <c r="EX57" s="172"/>
      <c r="EY57" s="172"/>
      <c r="EZ57" s="172"/>
      <c r="FA57" s="172"/>
      <c r="FB57" s="172"/>
      <c r="FC57" s="172"/>
      <c r="FD57" s="172"/>
      <c r="FE57" s="172"/>
      <c r="FF57" s="172"/>
      <c r="FG57" s="172"/>
      <c r="FH57" s="172"/>
      <c r="FI57" s="172"/>
      <c r="FJ57" s="172"/>
      <c r="FK57" s="172"/>
      <c r="FL57" s="172"/>
      <c r="FM57" s="172"/>
      <c r="FN57" s="172"/>
      <c r="FO57" s="172"/>
      <c r="FP57" s="172"/>
      <c r="FQ57" s="172"/>
      <c r="FR57" s="172"/>
      <c r="FS57" s="172"/>
      <c r="FT57" s="172"/>
      <c r="FU57" s="172"/>
      <c r="FV57" s="172"/>
      <c r="FW57" s="172"/>
      <c r="FX57" s="172"/>
      <c r="FY57" s="172"/>
      <c r="FZ57" s="172"/>
      <c r="GA57" s="172"/>
      <c r="GB57" s="172"/>
      <c r="GC57" s="172"/>
      <c r="GD57" s="172"/>
      <c r="GE57" s="172"/>
      <c r="GF57" s="172"/>
      <c r="GG57" s="172"/>
      <c r="GH57" s="172"/>
      <c r="GI57" s="172"/>
      <c r="GJ57" s="172"/>
      <c r="GK57" s="172"/>
      <c r="GL57" s="172"/>
      <c r="GM57" s="172"/>
      <c r="GN57" s="172"/>
      <c r="GO57" s="172"/>
      <c r="GP57" s="172"/>
      <c r="GQ57" s="172"/>
      <c r="GR57" s="172"/>
      <c r="GS57" s="172"/>
      <c r="GT57" s="172"/>
      <c r="GU57" s="172"/>
      <c r="GV57" s="172"/>
      <c r="GW57" s="172"/>
      <c r="GX57" s="172"/>
      <c r="GY57" s="172"/>
      <c r="GZ57" s="172"/>
      <c r="HA57" s="172"/>
      <c r="HB57" s="172"/>
      <c r="HC57" s="172"/>
      <c r="HD57" s="172"/>
      <c r="HE57" s="172"/>
      <c r="HF57" s="172"/>
      <c r="HG57" s="172"/>
      <c r="HH57" s="172"/>
      <c r="HI57" s="172"/>
      <c r="HJ57" s="172"/>
      <c r="HK57" s="172"/>
      <c r="HL57" s="172"/>
      <c r="HM57" s="172"/>
      <c r="HN57" s="172"/>
      <c r="HO57" s="172"/>
      <c r="HP57" s="172"/>
      <c r="HQ57" s="172"/>
      <c r="HR57" s="172"/>
      <c r="HS57" s="172"/>
      <c r="HT57" s="172"/>
      <c r="HU57" s="172"/>
      <c r="HV57" s="172"/>
      <c r="HW57" s="172"/>
      <c r="HX57" s="172"/>
      <c r="HY57" s="172"/>
      <c r="HZ57" s="172"/>
      <c r="IA57" s="172"/>
      <c r="IB57" s="172"/>
      <c r="IC57" s="172"/>
      <c r="ID57" s="172"/>
      <c r="IE57" s="172"/>
      <c r="IF57" s="172"/>
      <c r="IG57" s="172"/>
      <c r="IH57" s="172"/>
      <c r="II57" s="172"/>
      <c r="IJ57" s="172"/>
      <c r="IK57" s="172"/>
      <c r="IL57" s="172"/>
      <c r="IM57" s="172"/>
      <c r="IN57" s="172"/>
      <c r="IO57" s="172"/>
      <c r="IP57" s="172"/>
      <c r="IQ57" s="172"/>
      <c r="IR57" s="172"/>
      <c r="IS57" s="172"/>
      <c r="IT57" s="172"/>
      <c r="IU57" s="172"/>
      <c r="IV57" s="172"/>
      <c r="IW57" s="172"/>
      <c r="IX57" s="172"/>
      <c r="IY57" s="172"/>
      <c r="IZ57" s="172"/>
      <c r="JA57" s="172"/>
      <c r="JB57" s="172"/>
      <c r="JC57" s="172"/>
      <c r="JD57" s="172"/>
      <c r="JE57" s="172"/>
      <c r="JF57" s="172"/>
      <c r="JG57" s="172"/>
      <c r="JH57" s="172"/>
      <c r="JI57" s="172"/>
      <c r="JJ57" s="172"/>
      <c r="JK57" s="172"/>
      <c r="JL57" s="172"/>
      <c r="JM57" s="172"/>
      <c r="JN57" s="172"/>
      <c r="JO57" s="172"/>
      <c r="JP57" s="172"/>
      <c r="JQ57" s="172"/>
      <c r="JR57" s="172"/>
      <c r="JS57" s="172"/>
      <c r="JT57" s="172"/>
      <c r="JU57" s="172"/>
      <c r="JV57" s="172"/>
      <c r="JW57" s="172"/>
      <c r="JX57" s="172"/>
      <c r="JY57" s="172"/>
      <c r="JZ57" s="172"/>
      <c r="KA57" s="172"/>
      <c r="KB57" s="172"/>
      <c r="KC57" s="172"/>
      <c r="KD57" s="172"/>
      <c r="KE57" s="172"/>
      <c r="KF57" s="172"/>
      <c r="KG57" s="172"/>
      <c r="KH57" s="172"/>
      <c r="KI57" s="172"/>
      <c r="KJ57" s="172"/>
      <c r="KK57" s="172"/>
      <c r="KL57" s="172"/>
      <c r="KM57" s="172"/>
      <c r="KN57" s="172"/>
      <c r="KO57" s="172"/>
      <c r="KP57" s="172"/>
      <c r="KQ57" s="172"/>
      <c r="KR57" s="172"/>
      <c r="KS57" s="172"/>
      <c r="KT57" s="172"/>
      <c r="KU57" s="172"/>
      <c r="KV57" s="172"/>
      <c r="KW57" s="172"/>
      <c r="KX57" s="172"/>
      <c r="KY57" s="172"/>
      <c r="KZ57" s="172"/>
      <c r="LA57" s="172"/>
      <c r="LB57" s="172"/>
      <c r="LC57" s="172"/>
      <c r="LD57" s="172"/>
      <c r="LE57" s="172"/>
      <c r="LF57" s="172"/>
      <c r="LG57" s="172"/>
      <c r="LH57" s="172"/>
      <c r="LI57" s="172"/>
      <c r="LJ57" s="172"/>
      <c r="LK57" s="172"/>
      <c r="LL57" s="172"/>
      <c r="LM57" s="172"/>
      <c r="LN57" s="172"/>
      <c r="LO57" s="172"/>
      <c r="LP57" s="172"/>
      <c r="LQ57" s="172"/>
      <c r="LR57" s="172"/>
      <c r="LS57" s="172"/>
      <c r="LT57" s="172"/>
      <c r="LU57" s="172"/>
      <c r="LV57" s="172"/>
      <c r="LW57" s="172"/>
      <c r="LX57" s="172"/>
      <c r="LY57" s="172"/>
      <c r="LZ57" s="172"/>
      <c r="MA57" s="172"/>
      <c r="MB57" s="172"/>
      <c r="MC57" s="172"/>
      <c r="MD57" s="172"/>
      <c r="ME57" s="172"/>
      <c r="MF57" s="172"/>
      <c r="MG57" s="172"/>
      <c r="MH57" s="172"/>
      <c r="MI57" s="172"/>
      <c r="MJ57" s="172"/>
      <c r="MK57" s="172"/>
      <c r="ML57" s="172"/>
      <c r="MM57" s="172"/>
      <c r="MN57" s="172"/>
      <c r="MO57" s="172"/>
      <c r="MP57" s="172"/>
      <c r="MQ57" s="172"/>
      <c r="MR57" s="172"/>
      <c r="MS57" s="172"/>
      <c r="MT57" s="172"/>
      <c r="MU57" s="172"/>
      <c r="MV57" s="172"/>
      <c r="MW57" s="172"/>
      <c r="MX57" s="172"/>
      <c r="MY57" s="172"/>
      <c r="MZ57" s="172"/>
      <c r="NA57" s="172"/>
      <c r="NB57" s="172"/>
      <c r="NC57" s="172"/>
      <c r="ND57" s="172"/>
      <c r="NE57" s="172"/>
      <c r="NF57" s="172"/>
      <c r="NG57" s="172"/>
      <c r="NH57" s="172"/>
      <c r="NI57" s="172"/>
      <c r="NJ57" s="172"/>
      <c r="NK57" s="172"/>
      <c r="NL57" s="172"/>
      <c r="NM57" s="172"/>
      <c r="NN57" s="172"/>
      <c r="NO57" s="172"/>
      <c r="NP57" s="172"/>
      <c r="NQ57" s="172"/>
      <c r="NR57" s="172"/>
      <c r="NS57" s="172"/>
      <c r="NT57" s="172"/>
      <c r="NU57" s="172"/>
      <c r="NV57" s="172"/>
      <c r="NW57" s="172"/>
      <c r="NX57" s="172"/>
      <c r="NY57" s="172"/>
      <c r="NZ57" s="172"/>
      <c r="OA57" s="172"/>
      <c r="OB57" s="172"/>
      <c r="OC57" s="172"/>
      <c r="OD57" s="172"/>
      <c r="OE57" s="172"/>
      <c r="OF57" s="172"/>
      <c r="OG57" s="172"/>
      <c r="OH57" s="172"/>
      <c r="OI57" s="172"/>
      <c r="OJ57" s="172"/>
      <c r="OK57" s="172"/>
      <c r="OL57" s="172"/>
      <c r="OM57" s="172"/>
      <c r="ON57" s="172"/>
      <c r="OO57" s="172"/>
      <c r="OP57" s="172"/>
      <c r="OQ57" s="172"/>
      <c r="OR57" s="172"/>
      <c r="OS57" s="172"/>
      <c r="OT57" s="172"/>
      <c r="OU57" s="172"/>
      <c r="OV57" s="172"/>
      <c r="OW57" s="172"/>
      <c r="OX57" s="172"/>
      <c r="OY57" s="172"/>
      <c r="OZ57" s="172"/>
      <c r="PA57" s="172"/>
      <c r="PB57" s="172"/>
      <c r="PC57" s="172"/>
      <c r="PD57" s="172"/>
      <c r="PE57" s="172"/>
      <c r="PF57" s="172"/>
      <c r="PG57" s="172"/>
      <c r="PH57" s="172"/>
      <c r="PI57" s="172"/>
      <c r="PJ57" s="172"/>
      <c r="PK57" s="172"/>
      <c r="PL57" s="172"/>
      <c r="PM57" s="172"/>
      <c r="PN57" s="172"/>
      <c r="PO57" s="172"/>
      <c r="PP57" s="172"/>
      <c r="PQ57" s="172"/>
      <c r="PR57" s="172"/>
      <c r="PS57" s="172"/>
      <c r="PT57" s="172"/>
      <c r="PU57" s="172"/>
      <c r="PV57" s="172"/>
      <c r="PW57" s="172"/>
      <c r="PX57" s="172"/>
      <c r="PY57" s="172"/>
      <c r="PZ57" s="172"/>
      <c r="QA57" s="172"/>
      <c r="QB57" s="172"/>
      <c r="QC57" s="172"/>
      <c r="QD57" s="172"/>
      <c r="QE57" s="172"/>
      <c r="QF57" s="172"/>
      <c r="QG57" s="172"/>
      <c r="QH57" s="172"/>
      <c r="QI57" s="172"/>
      <c r="QJ57" s="172"/>
      <c r="QK57" s="172"/>
      <c r="QL57" s="172"/>
      <c r="QM57" s="172"/>
      <c r="QN57" s="172"/>
      <c r="QO57" s="172"/>
      <c r="QP57" s="172"/>
      <c r="QQ57" s="172"/>
      <c r="QR57" s="172"/>
      <c r="QS57" s="172"/>
      <c r="QT57" s="172"/>
      <c r="QU57" s="172"/>
      <c r="QV57" s="172"/>
      <c r="QW57" s="172"/>
      <c r="QX57" s="172"/>
      <c r="QY57" s="172"/>
      <c r="QZ57" s="172"/>
      <c r="RA57" s="172"/>
      <c r="RB57" s="172"/>
      <c r="RC57" s="172"/>
      <c r="RD57" s="172"/>
      <c r="RE57" s="172"/>
      <c r="RF57" s="172"/>
      <c r="RG57" s="172"/>
      <c r="RH57" s="172"/>
      <c r="RI57" s="172"/>
      <c r="RJ57" s="172"/>
      <c r="RK57" s="172"/>
      <c r="RL57" s="172"/>
      <c r="RM57" s="172"/>
      <c r="RN57" s="172"/>
      <c r="RO57" s="172"/>
      <c r="RP57" s="172"/>
      <c r="RQ57" s="172"/>
      <c r="RR57" s="172"/>
      <c r="RS57" s="172"/>
      <c r="RT57" s="172"/>
      <c r="RU57" s="172"/>
      <c r="RV57" s="172"/>
      <c r="RW57" s="172"/>
      <c r="RX57" s="172"/>
      <c r="RY57" s="172"/>
      <c r="RZ57" s="172"/>
      <c r="SA57" s="172"/>
      <c r="SB57" s="172"/>
      <c r="SC57" s="172"/>
      <c r="SD57" s="172"/>
      <c r="SE57" s="172"/>
      <c r="SF57" s="172"/>
      <c r="SG57" s="172"/>
      <c r="SH57" s="172"/>
      <c r="SI57" s="172"/>
      <c r="SJ57" s="172"/>
      <c r="SK57" s="172"/>
      <c r="SL57" s="172"/>
      <c r="SM57" s="172"/>
      <c r="SN57" s="172"/>
      <c r="SO57" s="172"/>
      <c r="SP57" s="172"/>
      <c r="SQ57" s="172"/>
      <c r="SR57" s="172"/>
      <c r="SS57" s="172"/>
      <c r="ST57" s="172"/>
      <c r="SU57" s="172"/>
      <c r="SV57" s="172"/>
      <c r="SW57" s="172"/>
      <c r="SX57" s="172"/>
      <c r="SY57" s="172"/>
      <c r="SZ57" s="172"/>
      <c r="TA57" s="172"/>
      <c r="TB57" s="172"/>
      <c r="TC57" s="172"/>
      <c r="TD57" s="172"/>
      <c r="TE57" s="172"/>
      <c r="TF57" s="172"/>
      <c r="TG57" s="172"/>
      <c r="TH57" s="172"/>
      <c r="TI57" s="172"/>
      <c r="TJ57" s="172"/>
      <c r="TK57" s="172"/>
      <c r="TL57" s="172"/>
      <c r="TM57" s="172"/>
      <c r="TN57" s="172"/>
      <c r="TO57" s="172"/>
      <c r="TP57" s="172"/>
      <c r="TQ57" s="172"/>
      <c r="TR57" s="172"/>
      <c r="TS57" s="172"/>
      <c r="TT57" s="172"/>
      <c r="TU57" s="172"/>
      <c r="TV57" s="172"/>
      <c r="TW57" s="172"/>
      <c r="TX57" s="172"/>
      <c r="TY57" s="172"/>
      <c r="TZ57" s="172"/>
      <c r="UA57" s="172"/>
      <c r="UB57" s="172"/>
      <c r="UC57" s="172"/>
      <c r="UD57" s="172"/>
      <c r="UE57" s="172"/>
      <c r="UF57" s="172"/>
      <c r="UG57" s="172"/>
      <c r="UH57" s="172"/>
      <c r="UI57" s="172"/>
      <c r="UJ57" s="172"/>
      <c r="UK57" s="172"/>
      <c r="UL57" s="172"/>
      <c r="UM57" s="172"/>
      <c r="UN57" s="172"/>
      <c r="UO57" s="172"/>
      <c r="UP57" s="172"/>
      <c r="UQ57" s="172"/>
      <c r="UR57" s="172"/>
      <c r="US57" s="172"/>
      <c r="UT57" s="172"/>
      <c r="UU57" s="172"/>
      <c r="UV57" s="172"/>
      <c r="UW57" s="172"/>
      <c r="UX57" s="172"/>
      <c r="UY57" s="172"/>
      <c r="UZ57" s="172"/>
      <c r="VA57" s="172"/>
      <c r="VB57" s="172"/>
      <c r="VC57" s="172"/>
      <c r="VD57" s="172"/>
      <c r="VE57" s="172"/>
      <c r="VF57" s="172"/>
      <c r="VG57" s="172"/>
      <c r="VH57" s="172"/>
      <c r="VI57" s="172"/>
      <c r="VJ57" s="172"/>
      <c r="VK57" s="172"/>
      <c r="VL57" s="172"/>
      <c r="VM57" s="172"/>
      <c r="VN57" s="172"/>
      <c r="VO57" s="172"/>
      <c r="VP57" s="172"/>
      <c r="VQ57" s="172"/>
      <c r="VR57" s="172"/>
      <c r="VS57" s="172"/>
      <c r="VT57" s="172"/>
      <c r="VU57" s="172"/>
      <c r="VV57" s="172"/>
      <c r="VW57" s="172"/>
      <c r="VX57" s="172"/>
      <c r="VY57" s="172"/>
      <c r="VZ57" s="172"/>
      <c r="WA57" s="172"/>
      <c r="WB57" s="172"/>
      <c r="WC57" s="172"/>
      <c r="WD57" s="172"/>
      <c r="WE57" s="172"/>
      <c r="WF57" s="172"/>
      <c r="WG57" s="172"/>
      <c r="WH57" s="172"/>
      <c r="WI57" s="172"/>
      <c r="WJ57" s="172"/>
      <c r="WK57" s="172"/>
      <c r="WL57" s="172"/>
      <c r="WM57" s="172"/>
      <c r="WN57" s="172"/>
      <c r="WO57" s="172"/>
      <c r="WP57" s="172"/>
      <c r="WQ57" s="172"/>
      <c r="WR57" s="172"/>
      <c r="WS57" s="172"/>
      <c r="WT57" s="172"/>
      <c r="WU57" s="172"/>
      <c r="WV57" s="172"/>
      <c r="WW57" s="172"/>
      <c r="WX57" s="172"/>
      <c r="WY57" s="172"/>
      <c r="WZ57" s="172"/>
      <c r="XA57" s="172"/>
      <c r="XB57" s="172"/>
      <c r="XC57" s="172"/>
      <c r="XD57" s="172"/>
      <c r="XE57" s="172"/>
      <c r="XF57" s="172"/>
      <c r="XG57" s="172"/>
      <c r="XH57" s="172"/>
      <c r="XI57" s="172"/>
      <c r="XJ57" s="172"/>
      <c r="XK57" s="172"/>
      <c r="XL57" s="172"/>
      <c r="XM57" s="172"/>
      <c r="XN57" s="172"/>
      <c r="XO57" s="172"/>
      <c r="XP57" s="172"/>
      <c r="XQ57" s="172"/>
      <c r="XR57" s="172"/>
      <c r="XS57" s="172"/>
      <c r="XT57" s="172"/>
      <c r="XU57" s="172"/>
      <c r="XV57" s="172"/>
      <c r="XW57" s="172"/>
      <c r="XX57" s="172"/>
      <c r="XY57" s="172"/>
      <c r="XZ57" s="172"/>
      <c r="YA57" s="172"/>
      <c r="YB57" s="172"/>
      <c r="YC57" s="172"/>
      <c r="YD57" s="172"/>
      <c r="YE57" s="172"/>
      <c r="YF57" s="172"/>
      <c r="YG57" s="172"/>
      <c r="YH57" s="172"/>
      <c r="YI57" s="172"/>
      <c r="YJ57" s="172"/>
      <c r="YK57" s="172"/>
      <c r="YL57" s="172"/>
      <c r="YM57" s="172"/>
      <c r="YN57" s="172"/>
      <c r="YO57" s="172"/>
      <c r="YP57" s="172"/>
      <c r="YQ57" s="172"/>
      <c r="YR57" s="172"/>
      <c r="YS57" s="172"/>
      <c r="YT57" s="172"/>
      <c r="YU57" s="172"/>
      <c r="YV57" s="172"/>
      <c r="YW57" s="172"/>
      <c r="YX57" s="172"/>
      <c r="YY57" s="172"/>
      <c r="YZ57" s="172"/>
      <c r="ZA57" s="172"/>
      <c r="ZB57" s="172"/>
      <c r="ZC57" s="172"/>
      <c r="ZD57" s="172"/>
      <c r="ZE57" s="172"/>
      <c r="ZF57" s="172"/>
      <c r="ZG57" s="172"/>
      <c r="ZH57" s="172"/>
      <c r="ZI57" s="172"/>
      <c r="ZJ57" s="172"/>
      <c r="ZK57" s="172"/>
      <c r="ZL57" s="172"/>
      <c r="ZM57" s="172"/>
      <c r="ZN57" s="172"/>
      <c r="ZO57" s="172"/>
      <c r="ZP57" s="172"/>
      <c r="ZQ57" s="172"/>
      <c r="ZR57" s="172"/>
      <c r="ZS57" s="172"/>
      <c r="ZT57" s="172"/>
      <c r="ZU57" s="172"/>
      <c r="ZV57" s="172"/>
      <c r="ZW57" s="172"/>
      <c r="ZX57" s="172"/>
      <c r="ZY57" s="172"/>
      <c r="ZZ57" s="172"/>
      <c r="AAA57" s="172"/>
      <c r="AAB57" s="172"/>
      <c r="AAC57" s="172"/>
      <c r="AAD57" s="172"/>
      <c r="AAE57" s="172"/>
      <c r="AAF57" s="172"/>
      <c r="AAG57" s="172"/>
      <c r="AAH57" s="172"/>
      <c r="AAI57" s="172"/>
      <c r="AAJ57" s="172"/>
      <c r="AAK57" s="172"/>
      <c r="AAL57" s="172"/>
      <c r="AAM57" s="172"/>
      <c r="AAN57" s="172"/>
      <c r="AAO57" s="172"/>
      <c r="AAP57" s="172"/>
      <c r="AAQ57" s="172"/>
      <c r="AAR57" s="172"/>
      <c r="AAS57" s="172"/>
      <c r="AAT57" s="172"/>
      <c r="AAU57" s="172"/>
      <c r="AAV57" s="172"/>
      <c r="AAW57" s="172"/>
      <c r="AAX57" s="172"/>
      <c r="AAY57" s="172"/>
      <c r="AAZ57" s="172"/>
      <c r="ABA57" s="172"/>
      <c r="ABB57" s="172"/>
      <c r="ABC57" s="172"/>
      <c r="ABD57" s="172"/>
      <c r="ABE57" s="172"/>
      <c r="ABF57" s="172"/>
      <c r="ABG57" s="172"/>
      <c r="ABH57" s="172"/>
      <c r="ABI57" s="172"/>
      <c r="ABJ57" s="172"/>
      <c r="ABK57" s="172"/>
      <c r="ABL57" s="172"/>
      <c r="ABM57" s="172"/>
      <c r="ABN57" s="172"/>
      <c r="ABO57" s="172"/>
      <c r="ABP57" s="172"/>
      <c r="ABQ57" s="172"/>
      <c r="ABR57" s="172"/>
      <c r="ABS57" s="172"/>
      <c r="ABT57" s="172"/>
      <c r="ABU57" s="172"/>
      <c r="ABV57" s="172"/>
      <c r="ABW57" s="172"/>
      <c r="ABX57" s="172"/>
      <c r="ABY57" s="172"/>
      <c r="ABZ57" s="172"/>
      <c r="ACA57" s="172"/>
      <c r="ACB57" s="172"/>
      <c r="ACC57" s="172"/>
      <c r="ACD57" s="172"/>
      <c r="ACE57" s="172"/>
      <c r="ACF57" s="172"/>
      <c r="ACG57" s="172"/>
      <c r="ACH57" s="172"/>
      <c r="ACI57" s="172"/>
      <c r="ACJ57" s="172"/>
      <c r="ACK57" s="172"/>
      <c r="ACL57" s="172"/>
      <c r="ACM57" s="172"/>
      <c r="ACN57" s="172"/>
      <c r="ACO57" s="172"/>
      <c r="ACP57" s="172"/>
      <c r="ACQ57" s="172"/>
      <c r="ACR57" s="172"/>
      <c r="ACS57" s="172"/>
      <c r="ACT57" s="172"/>
      <c r="ACU57" s="172"/>
      <c r="ACV57" s="172"/>
      <c r="ACW57" s="172"/>
      <c r="ACX57" s="172"/>
      <c r="ACY57" s="172"/>
      <c r="ACZ57" s="172"/>
      <c r="ADA57" s="172"/>
      <c r="ADB57" s="172"/>
      <c r="ADC57" s="172"/>
      <c r="ADD57" s="172"/>
      <c r="ADE57" s="172"/>
      <c r="ADF57" s="172"/>
      <c r="ADG57" s="172"/>
      <c r="ADH57" s="172"/>
      <c r="ADI57" s="172"/>
      <c r="ADJ57" s="172"/>
      <c r="ADK57" s="172"/>
      <c r="ADL57" s="172"/>
      <c r="ADM57" s="172"/>
      <c r="ADN57" s="172"/>
      <c r="ADO57" s="172"/>
      <c r="ADP57" s="172"/>
      <c r="ADQ57" s="172"/>
      <c r="ADR57" s="172"/>
      <c r="ADS57" s="172"/>
      <c r="ADT57" s="172"/>
      <c r="ADU57" s="172"/>
      <c r="ADV57" s="172"/>
      <c r="ADW57" s="172"/>
      <c r="ADX57" s="172"/>
      <c r="ADY57" s="172"/>
      <c r="ADZ57" s="172"/>
      <c r="AEA57" s="172"/>
      <c r="AEB57" s="172"/>
      <c r="AEC57" s="172"/>
      <c r="AED57" s="172"/>
      <c r="AEE57" s="172"/>
      <c r="AEF57" s="172"/>
      <c r="AEG57" s="172"/>
      <c r="AEH57" s="172"/>
      <c r="AEI57" s="172"/>
      <c r="AEJ57" s="172"/>
      <c r="AEK57" s="172"/>
      <c r="AEL57" s="172"/>
      <c r="AEM57" s="172"/>
      <c r="AEN57" s="172"/>
      <c r="AEO57" s="172"/>
      <c r="AEP57" s="172"/>
      <c r="AEQ57" s="172"/>
      <c r="AER57" s="172"/>
      <c r="AES57" s="172"/>
      <c r="AET57" s="172"/>
      <c r="AEU57" s="172"/>
      <c r="AEV57" s="172"/>
      <c r="AEW57" s="172"/>
      <c r="AEX57" s="172"/>
      <c r="AEY57" s="172"/>
      <c r="AEZ57" s="172"/>
      <c r="AFA57" s="172"/>
      <c r="AFB57" s="172"/>
      <c r="AFC57" s="172"/>
      <c r="AFD57" s="172"/>
      <c r="AFE57" s="172"/>
      <c r="AFF57" s="172"/>
      <c r="AFG57" s="172"/>
      <c r="AFH57" s="172"/>
      <c r="AFI57" s="172"/>
      <c r="AFJ57" s="172"/>
      <c r="AFK57" s="172"/>
      <c r="AFL57" s="172"/>
      <c r="AFM57" s="172"/>
      <c r="AFN57" s="172"/>
      <c r="AFO57" s="172"/>
      <c r="AFP57" s="172"/>
      <c r="AFQ57" s="172"/>
      <c r="AFR57" s="172"/>
      <c r="AFS57" s="172"/>
      <c r="AFT57" s="172"/>
      <c r="AFU57" s="172"/>
      <c r="AFV57" s="172"/>
      <c r="AFW57" s="172"/>
      <c r="AFX57" s="172"/>
      <c r="AFY57" s="172"/>
      <c r="AFZ57" s="172"/>
      <c r="AGA57" s="172"/>
      <c r="AGB57" s="172"/>
      <c r="AGC57" s="172"/>
      <c r="AGD57" s="172"/>
      <c r="AGE57" s="172"/>
      <c r="AGF57" s="172"/>
      <c r="AGG57" s="172"/>
      <c r="AGH57" s="172"/>
      <c r="AGI57" s="172"/>
      <c r="AGJ57" s="172"/>
      <c r="AGK57" s="172"/>
      <c r="AGL57" s="172"/>
      <c r="AGM57" s="172"/>
      <c r="AGN57" s="172"/>
      <c r="AGO57" s="172"/>
      <c r="AGP57" s="172"/>
      <c r="AGQ57" s="172"/>
      <c r="AGR57" s="172"/>
      <c r="AGS57" s="172"/>
      <c r="AGT57" s="172"/>
      <c r="AGU57" s="172"/>
      <c r="AGV57" s="172"/>
      <c r="AGW57" s="172"/>
      <c r="AGX57" s="172"/>
      <c r="AGY57" s="172"/>
      <c r="AGZ57" s="172"/>
      <c r="AHA57" s="172"/>
      <c r="AHB57" s="172"/>
      <c r="AHC57" s="172"/>
      <c r="AHD57" s="172"/>
      <c r="AHE57" s="172"/>
      <c r="AHF57" s="172"/>
      <c r="AHG57" s="172"/>
      <c r="AHH57" s="172"/>
      <c r="AHI57" s="172"/>
      <c r="AHJ57" s="172"/>
      <c r="AHK57" s="172"/>
      <c r="AHL57" s="172"/>
      <c r="AHM57" s="172"/>
      <c r="AHN57" s="172"/>
      <c r="AHO57" s="172"/>
      <c r="AHP57" s="172"/>
      <c r="AHQ57" s="172"/>
      <c r="AHR57" s="172"/>
      <c r="AHS57" s="172"/>
      <c r="AHT57" s="172"/>
      <c r="AHU57" s="172"/>
      <c r="AHV57" s="172"/>
      <c r="AHW57" s="172"/>
      <c r="AHX57" s="172"/>
      <c r="AHY57" s="172"/>
      <c r="AHZ57" s="172"/>
      <c r="AIA57" s="172"/>
      <c r="AIB57" s="172"/>
      <c r="AIC57" s="172"/>
      <c r="AID57" s="172"/>
      <c r="AIE57" s="172"/>
      <c r="AIF57" s="172"/>
      <c r="AIG57" s="172"/>
      <c r="AIH57" s="172"/>
      <c r="AII57" s="172"/>
      <c r="AIJ57" s="172"/>
      <c r="AIK57" s="172"/>
      <c r="AIL57" s="172"/>
      <c r="AIM57" s="172"/>
      <c r="AIN57" s="172"/>
      <c r="AIO57" s="172"/>
      <c r="AIP57" s="172"/>
      <c r="AIQ57" s="172"/>
      <c r="AIR57" s="172"/>
      <c r="AIS57" s="172"/>
      <c r="AIT57" s="172"/>
      <c r="AIU57" s="172"/>
      <c r="AIV57" s="172"/>
      <c r="AIW57" s="172"/>
      <c r="AIX57" s="172"/>
      <c r="AIY57" s="172"/>
      <c r="AIZ57" s="172"/>
      <c r="AJA57" s="172"/>
      <c r="AJB57" s="172"/>
      <c r="AJC57" s="172"/>
      <c r="AJD57" s="172"/>
      <c r="AJE57" s="172"/>
      <c r="AJF57" s="172"/>
      <c r="AJG57" s="172"/>
      <c r="AJH57" s="172"/>
      <c r="AJI57" s="172"/>
      <c r="AJJ57" s="172"/>
      <c r="AJK57" s="172"/>
      <c r="AJL57" s="172"/>
      <c r="AJM57" s="172"/>
      <c r="AJN57" s="172"/>
      <c r="AJO57" s="172"/>
      <c r="AJP57" s="172"/>
      <c r="AJQ57" s="172"/>
      <c r="AJR57" s="172"/>
      <c r="AJS57" s="172"/>
      <c r="AJT57" s="172"/>
      <c r="AJU57" s="172"/>
      <c r="AJV57" s="172"/>
      <c r="AJW57" s="172"/>
      <c r="AJX57" s="172"/>
      <c r="AJY57" s="172"/>
      <c r="AJZ57" s="172"/>
      <c r="AKA57" s="172"/>
      <c r="AKB57" s="172"/>
      <c r="AKC57" s="172"/>
      <c r="AKD57" s="172"/>
      <c r="AKE57" s="172"/>
      <c r="AKF57" s="172"/>
      <c r="AKG57" s="172"/>
      <c r="AKH57" s="172"/>
      <c r="AKI57" s="172"/>
      <c r="AKJ57" s="172"/>
      <c r="AKK57" s="172"/>
      <c r="AKL57" s="172"/>
      <c r="AKM57" s="172"/>
      <c r="AKN57" s="172"/>
      <c r="AKO57" s="172"/>
      <c r="AKP57" s="172"/>
      <c r="AKQ57" s="172"/>
      <c r="AKR57" s="172"/>
      <c r="AKS57" s="172"/>
      <c r="AKT57" s="172"/>
      <c r="AKU57" s="172"/>
      <c r="AKV57" s="172"/>
      <c r="AKW57" s="172"/>
      <c r="AKX57" s="172"/>
      <c r="AKY57" s="172"/>
      <c r="AKZ57" s="172"/>
      <c r="ALA57" s="172"/>
      <c r="ALB57" s="172"/>
      <c r="ALC57" s="172"/>
      <c r="ALD57" s="172"/>
      <c r="ALE57" s="172"/>
      <c r="ALF57" s="172"/>
      <c r="ALG57" s="172"/>
      <c r="ALH57" s="172"/>
      <c r="ALI57" s="172"/>
      <c r="ALJ57" s="172"/>
      <c r="ALK57" s="172"/>
      <c r="ALL57" s="172"/>
      <c r="ALM57" s="172"/>
      <c r="ALN57" s="172"/>
      <c r="ALO57" s="172"/>
      <c r="ALP57" s="172"/>
      <c r="ALQ57" s="172"/>
      <c r="ALR57" s="172"/>
      <c r="ALS57" s="172"/>
      <c r="ALT57" s="172"/>
      <c r="ALU57" s="172"/>
      <c r="ALV57" s="172"/>
      <c r="ALW57" s="172"/>
      <c r="ALX57" s="172"/>
      <c r="ALY57" s="172"/>
      <c r="ALZ57" s="172"/>
      <c r="AMA57" s="172"/>
      <c r="AMB57" s="172"/>
      <c r="AMC57" s="172"/>
      <c r="AMD57" s="172"/>
    </row>
    <row r="58" spans="1:1019" ht="15" customHeight="1">
      <c r="A58" s="168">
        <f t="shared" si="2"/>
        <v>51</v>
      </c>
      <c r="B58" s="175">
        <v>1097</v>
      </c>
      <c r="C58" s="175" t="s">
        <v>64</v>
      </c>
      <c r="D58" s="169">
        <f>'הנדסה '!D17</f>
        <v>1630000</v>
      </c>
      <c r="E58" s="169">
        <f>'הנדסה '!E17</f>
        <v>1630000</v>
      </c>
      <c r="F58" s="169">
        <f>'הנדסה '!F17</f>
        <v>0</v>
      </c>
      <c r="G58" s="169">
        <f>'הנדסה '!G17</f>
        <v>1630000</v>
      </c>
      <c r="H58" s="169">
        <f>'הנדסה '!H17</f>
        <v>1566884.61</v>
      </c>
      <c r="I58" s="169">
        <f>'הנדסה '!I17</f>
        <v>0</v>
      </c>
      <c r="J58" s="169">
        <f>'הנדסה '!J17</f>
        <v>63113.34</v>
      </c>
      <c r="K58" s="169">
        <f>'הנדסה '!K17</f>
        <v>63113.34</v>
      </c>
      <c r="L58" s="169">
        <f>'הנדסה '!L17</f>
        <v>1629997.9500000002</v>
      </c>
      <c r="M58" s="169">
        <f>'הנדסה '!M17</f>
        <v>2.0499999998137355</v>
      </c>
      <c r="N58" s="169">
        <f>'הנדסה '!N17</f>
        <v>0</v>
      </c>
      <c r="O58" s="169">
        <f>'הנדסה '!O17</f>
        <v>0</v>
      </c>
      <c r="P58" s="169">
        <f>'הנדסה '!P17</f>
        <v>2.0499999998137355</v>
      </c>
      <c r="Q58" s="169">
        <f>'הנדסה '!Q17</f>
        <v>0</v>
      </c>
      <c r="R58" s="169">
        <f>'הנדסה '!R17</f>
        <v>0</v>
      </c>
      <c r="S58" s="169">
        <f>'הנדסה '!S17</f>
        <v>0</v>
      </c>
      <c r="T58" s="169">
        <f>'הנדסה '!T17</f>
        <v>0</v>
      </c>
      <c r="U58" s="169">
        <f>'הנדסה '!U17</f>
        <v>0</v>
      </c>
      <c r="V58" s="169">
        <f>'הנדסה '!V17</f>
        <v>0</v>
      </c>
      <c r="W58" s="169">
        <f>'הנדסה '!W17</f>
        <v>0</v>
      </c>
      <c r="X58" s="169">
        <f>'הנדסה '!X17</f>
        <v>0</v>
      </c>
      <c r="Y58" s="169">
        <f>'הנדסה '!Y17</f>
        <v>0</v>
      </c>
      <c r="Z58" s="169">
        <f>'הנדסה '!Z17</f>
        <v>0</v>
      </c>
      <c r="AA58" s="659">
        <f>'הנדסה '!AA17</f>
        <v>742000</v>
      </c>
      <c r="AB58" s="157"/>
      <c r="AF58" s="172"/>
      <c r="AG58" s="174"/>
      <c r="AH58" s="174"/>
      <c r="AI58" s="174"/>
      <c r="AJ58" s="174"/>
      <c r="AK58" s="174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  <c r="DZ58" s="172"/>
      <c r="EA58" s="172"/>
      <c r="EB58" s="172"/>
      <c r="EC58" s="172"/>
      <c r="ED58" s="172"/>
      <c r="EE58" s="172"/>
      <c r="EF58" s="172"/>
      <c r="EG58" s="172"/>
      <c r="EH58" s="172"/>
      <c r="EI58" s="172"/>
      <c r="EJ58" s="172"/>
      <c r="EK58" s="172"/>
      <c r="EL58" s="172"/>
      <c r="EM58" s="172"/>
      <c r="EN58" s="172"/>
      <c r="EO58" s="172"/>
      <c r="EP58" s="172"/>
      <c r="EQ58" s="172"/>
      <c r="ER58" s="172"/>
      <c r="ES58" s="172"/>
      <c r="ET58" s="172"/>
      <c r="EU58" s="172"/>
      <c r="EV58" s="172"/>
      <c r="EW58" s="172"/>
      <c r="EX58" s="172"/>
      <c r="EY58" s="172"/>
      <c r="EZ58" s="172"/>
      <c r="FA58" s="172"/>
      <c r="FB58" s="172"/>
      <c r="FC58" s="172"/>
      <c r="FD58" s="172"/>
      <c r="FE58" s="172"/>
      <c r="FF58" s="172"/>
      <c r="FG58" s="172"/>
      <c r="FH58" s="172"/>
      <c r="FI58" s="172"/>
      <c r="FJ58" s="172"/>
      <c r="FK58" s="172"/>
      <c r="FL58" s="172"/>
      <c r="FM58" s="172"/>
      <c r="FN58" s="172"/>
      <c r="FO58" s="172"/>
      <c r="FP58" s="172"/>
      <c r="FQ58" s="172"/>
      <c r="FR58" s="172"/>
      <c r="FS58" s="172"/>
      <c r="FT58" s="172"/>
      <c r="FU58" s="172"/>
      <c r="FV58" s="172"/>
      <c r="FW58" s="172"/>
      <c r="FX58" s="172"/>
      <c r="FY58" s="172"/>
      <c r="FZ58" s="172"/>
      <c r="GA58" s="172"/>
      <c r="GB58" s="172"/>
      <c r="GC58" s="172"/>
      <c r="GD58" s="172"/>
      <c r="GE58" s="172"/>
      <c r="GF58" s="172"/>
      <c r="GG58" s="172"/>
      <c r="GH58" s="172"/>
      <c r="GI58" s="172"/>
      <c r="GJ58" s="172"/>
      <c r="GK58" s="172"/>
      <c r="GL58" s="172"/>
      <c r="GM58" s="172"/>
      <c r="GN58" s="172"/>
      <c r="GO58" s="172"/>
      <c r="GP58" s="172"/>
      <c r="GQ58" s="172"/>
      <c r="GR58" s="172"/>
      <c r="GS58" s="172"/>
      <c r="GT58" s="172"/>
      <c r="GU58" s="172"/>
      <c r="GV58" s="172"/>
      <c r="GW58" s="172"/>
      <c r="GX58" s="172"/>
      <c r="GY58" s="172"/>
      <c r="GZ58" s="172"/>
      <c r="HA58" s="172"/>
      <c r="HB58" s="172"/>
      <c r="HC58" s="172"/>
      <c r="HD58" s="172"/>
      <c r="HE58" s="172"/>
      <c r="HF58" s="172"/>
      <c r="HG58" s="172"/>
      <c r="HH58" s="172"/>
      <c r="HI58" s="172"/>
      <c r="HJ58" s="172"/>
      <c r="HK58" s="172"/>
      <c r="HL58" s="172"/>
      <c r="HM58" s="172"/>
      <c r="HN58" s="172"/>
      <c r="HO58" s="172"/>
      <c r="HP58" s="172"/>
      <c r="HQ58" s="172"/>
      <c r="HR58" s="172"/>
      <c r="HS58" s="172"/>
      <c r="HT58" s="172"/>
      <c r="HU58" s="172"/>
      <c r="HV58" s="172"/>
      <c r="HW58" s="172"/>
      <c r="HX58" s="172"/>
      <c r="HY58" s="172"/>
      <c r="HZ58" s="172"/>
      <c r="IA58" s="172"/>
      <c r="IB58" s="172"/>
      <c r="IC58" s="172"/>
      <c r="ID58" s="172"/>
      <c r="IE58" s="172"/>
      <c r="IF58" s="172"/>
      <c r="IG58" s="172"/>
      <c r="IH58" s="172"/>
      <c r="II58" s="172"/>
      <c r="IJ58" s="172"/>
      <c r="IK58" s="172"/>
      <c r="IL58" s="172"/>
      <c r="IM58" s="172"/>
      <c r="IN58" s="172"/>
      <c r="IO58" s="172"/>
      <c r="IP58" s="172"/>
      <c r="IQ58" s="172"/>
      <c r="IR58" s="172"/>
      <c r="IS58" s="172"/>
      <c r="IT58" s="172"/>
      <c r="IU58" s="172"/>
      <c r="IV58" s="172"/>
      <c r="IW58" s="172"/>
      <c r="IX58" s="172"/>
      <c r="IY58" s="172"/>
      <c r="IZ58" s="172"/>
      <c r="JA58" s="172"/>
      <c r="JB58" s="172"/>
      <c r="JC58" s="172"/>
      <c r="JD58" s="172"/>
      <c r="JE58" s="172"/>
      <c r="JF58" s="172"/>
      <c r="JG58" s="172"/>
      <c r="JH58" s="172"/>
      <c r="JI58" s="172"/>
      <c r="JJ58" s="172"/>
      <c r="JK58" s="172"/>
      <c r="JL58" s="172"/>
      <c r="JM58" s="172"/>
      <c r="JN58" s="172"/>
      <c r="JO58" s="172"/>
      <c r="JP58" s="172"/>
      <c r="JQ58" s="172"/>
      <c r="JR58" s="172"/>
      <c r="JS58" s="172"/>
      <c r="JT58" s="172"/>
      <c r="JU58" s="172"/>
      <c r="JV58" s="172"/>
      <c r="JW58" s="172"/>
      <c r="JX58" s="172"/>
      <c r="JY58" s="172"/>
      <c r="JZ58" s="172"/>
      <c r="KA58" s="172"/>
      <c r="KB58" s="172"/>
      <c r="KC58" s="172"/>
      <c r="KD58" s="172"/>
      <c r="KE58" s="172"/>
      <c r="KF58" s="172"/>
      <c r="KG58" s="172"/>
      <c r="KH58" s="172"/>
      <c r="KI58" s="172"/>
      <c r="KJ58" s="172"/>
      <c r="KK58" s="172"/>
      <c r="KL58" s="172"/>
      <c r="KM58" s="172"/>
      <c r="KN58" s="172"/>
      <c r="KO58" s="172"/>
      <c r="KP58" s="172"/>
      <c r="KQ58" s="172"/>
      <c r="KR58" s="172"/>
      <c r="KS58" s="172"/>
      <c r="KT58" s="172"/>
      <c r="KU58" s="172"/>
      <c r="KV58" s="172"/>
      <c r="KW58" s="172"/>
      <c r="KX58" s="172"/>
      <c r="KY58" s="172"/>
      <c r="KZ58" s="172"/>
      <c r="LA58" s="172"/>
      <c r="LB58" s="172"/>
      <c r="LC58" s="172"/>
      <c r="LD58" s="172"/>
      <c r="LE58" s="172"/>
      <c r="LF58" s="172"/>
      <c r="LG58" s="172"/>
      <c r="LH58" s="172"/>
      <c r="LI58" s="172"/>
      <c r="LJ58" s="172"/>
      <c r="LK58" s="172"/>
      <c r="LL58" s="172"/>
      <c r="LM58" s="172"/>
      <c r="LN58" s="172"/>
      <c r="LO58" s="172"/>
      <c r="LP58" s="172"/>
      <c r="LQ58" s="172"/>
      <c r="LR58" s="172"/>
      <c r="LS58" s="172"/>
      <c r="LT58" s="172"/>
      <c r="LU58" s="172"/>
      <c r="LV58" s="172"/>
      <c r="LW58" s="172"/>
      <c r="LX58" s="172"/>
      <c r="LY58" s="172"/>
      <c r="LZ58" s="172"/>
      <c r="MA58" s="172"/>
      <c r="MB58" s="172"/>
      <c r="MC58" s="172"/>
      <c r="MD58" s="172"/>
      <c r="ME58" s="172"/>
      <c r="MF58" s="172"/>
      <c r="MG58" s="172"/>
      <c r="MH58" s="172"/>
      <c r="MI58" s="172"/>
      <c r="MJ58" s="172"/>
      <c r="MK58" s="172"/>
      <c r="ML58" s="172"/>
      <c r="MM58" s="172"/>
      <c r="MN58" s="172"/>
      <c r="MO58" s="172"/>
      <c r="MP58" s="172"/>
      <c r="MQ58" s="172"/>
      <c r="MR58" s="172"/>
      <c r="MS58" s="172"/>
      <c r="MT58" s="172"/>
      <c r="MU58" s="172"/>
      <c r="MV58" s="172"/>
      <c r="MW58" s="172"/>
      <c r="MX58" s="172"/>
      <c r="MY58" s="172"/>
      <c r="MZ58" s="172"/>
      <c r="NA58" s="172"/>
      <c r="NB58" s="172"/>
      <c r="NC58" s="172"/>
      <c r="ND58" s="172"/>
      <c r="NE58" s="172"/>
      <c r="NF58" s="172"/>
      <c r="NG58" s="172"/>
      <c r="NH58" s="172"/>
      <c r="NI58" s="172"/>
      <c r="NJ58" s="172"/>
      <c r="NK58" s="172"/>
      <c r="NL58" s="172"/>
      <c r="NM58" s="172"/>
      <c r="NN58" s="172"/>
      <c r="NO58" s="172"/>
      <c r="NP58" s="172"/>
      <c r="NQ58" s="172"/>
      <c r="NR58" s="172"/>
      <c r="NS58" s="172"/>
      <c r="NT58" s="172"/>
      <c r="NU58" s="172"/>
      <c r="NV58" s="172"/>
      <c r="NW58" s="172"/>
      <c r="NX58" s="172"/>
      <c r="NY58" s="172"/>
      <c r="NZ58" s="172"/>
      <c r="OA58" s="172"/>
      <c r="OB58" s="172"/>
      <c r="OC58" s="172"/>
      <c r="OD58" s="172"/>
      <c r="OE58" s="172"/>
      <c r="OF58" s="172"/>
      <c r="OG58" s="172"/>
      <c r="OH58" s="172"/>
      <c r="OI58" s="172"/>
      <c r="OJ58" s="172"/>
      <c r="OK58" s="172"/>
      <c r="OL58" s="172"/>
      <c r="OM58" s="172"/>
      <c r="ON58" s="172"/>
      <c r="OO58" s="172"/>
      <c r="OP58" s="172"/>
      <c r="OQ58" s="172"/>
      <c r="OR58" s="172"/>
      <c r="OS58" s="172"/>
      <c r="OT58" s="172"/>
      <c r="OU58" s="172"/>
      <c r="OV58" s="172"/>
      <c r="OW58" s="172"/>
      <c r="OX58" s="172"/>
      <c r="OY58" s="172"/>
      <c r="OZ58" s="172"/>
      <c r="PA58" s="172"/>
      <c r="PB58" s="172"/>
      <c r="PC58" s="172"/>
      <c r="PD58" s="172"/>
      <c r="PE58" s="172"/>
      <c r="PF58" s="172"/>
      <c r="PG58" s="172"/>
      <c r="PH58" s="172"/>
      <c r="PI58" s="172"/>
      <c r="PJ58" s="172"/>
      <c r="PK58" s="172"/>
      <c r="PL58" s="172"/>
      <c r="PM58" s="172"/>
      <c r="PN58" s="172"/>
      <c r="PO58" s="172"/>
      <c r="PP58" s="172"/>
      <c r="PQ58" s="172"/>
      <c r="PR58" s="172"/>
      <c r="PS58" s="172"/>
      <c r="PT58" s="172"/>
      <c r="PU58" s="172"/>
      <c r="PV58" s="172"/>
      <c r="PW58" s="172"/>
      <c r="PX58" s="172"/>
      <c r="PY58" s="172"/>
      <c r="PZ58" s="172"/>
      <c r="QA58" s="172"/>
      <c r="QB58" s="172"/>
      <c r="QC58" s="172"/>
      <c r="QD58" s="172"/>
      <c r="QE58" s="172"/>
      <c r="QF58" s="172"/>
      <c r="QG58" s="172"/>
      <c r="QH58" s="172"/>
      <c r="QI58" s="172"/>
      <c r="QJ58" s="172"/>
      <c r="QK58" s="172"/>
      <c r="QL58" s="172"/>
      <c r="QM58" s="172"/>
      <c r="QN58" s="172"/>
      <c r="QO58" s="172"/>
      <c r="QP58" s="172"/>
      <c r="QQ58" s="172"/>
      <c r="QR58" s="172"/>
      <c r="QS58" s="172"/>
      <c r="QT58" s="172"/>
      <c r="QU58" s="172"/>
      <c r="QV58" s="172"/>
      <c r="QW58" s="172"/>
      <c r="QX58" s="172"/>
      <c r="QY58" s="172"/>
      <c r="QZ58" s="172"/>
      <c r="RA58" s="172"/>
      <c r="RB58" s="172"/>
      <c r="RC58" s="172"/>
      <c r="RD58" s="172"/>
      <c r="RE58" s="172"/>
      <c r="RF58" s="172"/>
      <c r="RG58" s="172"/>
      <c r="RH58" s="172"/>
      <c r="RI58" s="172"/>
      <c r="RJ58" s="172"/>
      <c r="RK58" s="172"/>
      <c r="RL58" s="172"/>
      <c r="RM58" s="172"/>
      <c r="RN58" s="172"/>
      <c r="RO58" s="172"/>
      <c r="RP58" s="172"/>
      <c r="RQ58" s="172"/>
      <c r="RR58" s="172"/>
      <c r="RS58" s="172"/>
      <c r="RT58" s="172"/>
      <c r="RU58" s="172"/>
      <c r="RV58" s="172"/>
      <c r="RW58" s="172"/>
      <c r="RX58" s="172"/>
      <c r="RY58" s="172"/>
      <c r="RZ58" s="172"/>
      <c r="SA58" s="172"/>
      <c r="SB58" s="172"/>
      <c r="SC58" s="172"/>
      <c r="SD58" s="172"/>
      <c r="SE58" s="172"/>
      <c r="SF58" s="172"/>
      <c r="SG58" s="172"/>
      <c r="SH58" s="172"/>
      <c r="SI58" s="172"/>
      <c r="SJ58" s="172"/>
      <c r="SK58" s="172"/>
      <c r="SL58" s="172"/>
      <c r="SM58" s="172"/>
      <c r="SN58" s="172"/>
      <c r="SO58" s="172"/>
      <c r="SP58" s="172"/>
      <c r="SQ58" s="172"/>
      <c r="SR58" s="172"/>
      <c r="SS58" s="172"/>
      <c r="ST58" s="172"/>
      <c r="SU58" s="172"/>
      <c r="SV58" s="172"/>
      <c r="SW58" s="172"/>
      <c r="SX58" s="172"/>
      <c r="SY58" s="172"/>
      <c r="SZ58" s="172"/>
      <c r="TA58" s="172"/>
      <c r="TB58" s="172"/>
      <c r="TC58" s="172"/>
      <c r="TD58" s="172"/>
      <c r="TE58" s="172"/>
      <c r="TF58" s="172"/>
      <c r="TG58" s="172"/>
      <c r="TH58" s="172"/>
      <c r="TI58" s="172"/>
      <c r="TJ58" s="172"/>
      <c r="TK58" s="172"/>
      <c r="TL58" s="172"/>
      <c r="TM58" s="172"/>
      <c r="TN58" s="172"/>
      <c r="TO58" s="172"/>
      <c r="TP58" s="172"/>
      <c r="TQ58" s="172"/>
      <c r="TR58" s="172"/>
      <c r="TS58" s="172"/>
      <c r="TT58" s="172"/>
      <c r="TU58" s="172"/>
      <c r="TV58" s="172"/>
      <c r="TW58" s="172"/>
      <c r="TX58" s="172"/>
      <c r="TY58" s="172"/>
      <c r="TZ58" s="172"/>
      <c r="UA58" s="172"/>
      <c r="UB58" s="172"/>
      <c r="UC58" s="172"/>
      <c r="UD58" s="172"/>
      <c r="UE58" s="172"/>
      <c r="UF58" s="172"/>
      <c r="UG58" s="172"/>
      <c r="UH58" s="172"/>
      <c r="UI58" s="172"/>
      <c r="UJ58" s="172"/>
      <c r="UK58" s="172"/>
      <c r="UL58" s="172"/>
      <c r="UM58" s="172"/>
      <c r="UN58" s="172"/>
      <c r="UO58" s="172"/>
      <c r="UP58" s="172"/>
      <c r="UQ58" s="172"/>
      <c r="UR58" s="172"/>
      <c r="US58" s="172"/>
      <c r="UT58" s="172"/>
      <c r="UU58" s="172"/>
      <c r="UV58" s="172"/>
      <c r="UW58" s="172"/>
      <c r="UX58" s="172"/>
      <c r="UY58" s="172"/>
      <c r="UZ58" s="172"/>
      <c r="VA58" s="172"/>
      <c r="VB58" s="172"/>
      <c r="VC58" s="172"/>
      <c r="VD58" s="172"/>
      <c r="VE58" s="172"/>
      <c r="VF58" s="172"/>
      <c r="VG58" s="172"/>
      <c r="VH58" s="172"/>
      <c r="VI58" s="172"/>
      <c r="VJ58" s="172"/>
      <c r="VK58" s="172"/>
      <c r="VL58" s="172"/>
      <c r="VM58" s="172"/>
      <c r="VN58" s="172"/>
      <c r="VO58" s="172"/>
      <c r="VP58" s="172"/>
      <c r="VQ58" s="172"/>
      <c r="VR58" s="172"/>
      <c r="VS58" s="172"/>
      <c r="VT58" s="172"/>
      <c r="VU58" s="172"/>
      <c r="VV58" s="172"/>
      <c r="VW58" s="172"/>
      <c r="VX58" s="172"/>
      <c r="VY58" s="172"/>
      <c r="VZ58" s="172"/>
      <c r="WA58" s="172"/>
      <c r="WB58" s="172"/>
      <c r="WC58" s="172"/>
      <c r="WD58" s="172"/>
      <c r="WE58" s="172"/>
      <c r="WF58" s="172"/>
      <c r="WG58" s="172"/>
      <c r="WH58" s="172"/>
      <c r="WI58" s="172"/>
      <c r="WJ58" s="172"/>
      <c r="WK58" s="172"/>
      <c r="WL58" s="172"/>
      <c r="WM58" s="172"/>
      <c r="WN58" s="172"/>
      <c r="WO58" s="172"/>
      <c r="WP58" s="172"/>
      <c r="WQ58" s="172"/>
      <c r="WR58" s="172"/>
      <c r="WS58" s="172"/>
      <c r="WT58" s="172"/>
      <c r="WU58" s="172"/>
      <c r="WV58" s="172"/>
      <c r="WW58" s="172"/>
      <c r="WX58" s="172"/>
      <c r="WY58" s="172"/>
      <c r="WZ58" s="172"/>
      <c r="XA58" s="172"/>
      <c r="XB58" s="172"/>
      <c r="XC58" s="172"/>
      <c r="XD58" s="172"/>
      <c r="XE58" s="172"/>
      <c r="XF58" s="172"/>
      <c r="XG58" s="172"/>
      <c r="XH58" s="172"/>
      <c r="XI58" s="172"/>
      <c r="XJ58" s="172"/>
      <c r="XK58" s="172"/>
      <c r="XL58" s="172"/>
      <c r="XM58" s="172"/>
      <c r="XN58" s="172"/>
      <c r="XO58" s="172"/>
      <c r="XP58" s="172"/>
      <c r="XQ58" s="172"/>
      <c r="XR58" s="172"/>
      <c r="XS58" s="172"/>
      <c r="XT58" s="172"/>
      <c r="XU58" s="172"/>
      <c r="XV58" s="172"/>
      <c r="XW58" s="172"/>
      <c r="XX58" s="172"/>
      <c r="XY58" s="172"/>
      <c r="XZ58" s="172"/>
      <c r="YA58" s="172"/>
      <c r="YB58" s="172"/>
      <c r="YC58" s="172"/>
      <c r="YD58" s="172"/>
      <c r="YE58" s="172"/>
      <c r="YF58" s="172"/>
      <c r="YG58" s="172"/>
      <c r="YH58" s="172"/>
      <c r="YI58" s="172"/>
      <c r="YJ58" s="172"/>
      <c r="YK58" s="172"/>
      <c r="YL58" s="172"/>
      <c r="YM58" s="172"/>
      <c r="YN58" s="172"/>
      <c r="YO58" s="172"/>
      <c r="YP58" s="172"/>
      <c r="YQ58" s="172"/>
      <c r="YR58" s="172"/>
      <c r="YS58" s="172"/>
      <c r="YT58" s="172"/>
      <c r="YU58" s="172"/>
      <c r="YV58" s="172"/>
      <c r="YW58" s="172"/>
      <c r="YX58" s="172"/>
      <c r="YY58" s="172"/>
      <c r="YZ58" s="172"/>
      <c r="ZA58" s="172"/>
      <c r="ZB58" s="172"/>
      <c r="ZC58" s="172"/>
      <c r="ZD58" s="172"/>
      <c r="ZE58" s="172"/>
      <c r="ZF58" s="172"/>
      <c r="ZG58" s="172"/>
      <c r="ZH58" s="172"/>
      <c r="ZI58" s="172"/>
      <c r="ZJ58" s="172"/>
      <c r="ZK58" s="172"/>
      <c r="ZL58" s="172"/>
      <c r="ZM58" s="172"/>
      <c r="ZN58" s="172"/>
      <c r="ZO58" s="172"/>
      <c r="ZP58" s="172"/>
      <c r="ZQ58" s="172"/>
      <c r="ZR58" s="172"/>
      <c r="ZS58" s="172"/>
      <c r="ZT58" s="172"/>
      <c r="ZU58" s="172"/>
      <c r="ZV58" s="172"/>
      <c r="ZW58" s="172"/>
      <c r="ZX58" s="172"/>
      <c r="ZY58" s="172"/>
      <c r="ZZ58" s="172"/>
      <c r="AAA58" s="172"/>
      <c r="AAB58" s="172"/>
      <c r="AAC58" s="172"/>
      <c r="AAD58" s="172"/>
      <c r="AAE58" s="172"/>
      <c r="AAF58" s="172"/>
      <c r="AAG58" s="172"/>
      <c r="AAH58" s="172"/>
      <c r="AAI58" s="172"/>
      <c r="AAJ58" s="172"/>
      <c r="AAK58" s="172"/>
      <c r="AAL58" s="172"/>
      <c r="AAM58" s="172"/>
      <c r="AAN58" s="172"/>
      <c r="AAO58" s="172"/>
      <c r="AAP58" s="172"/>
      <c r="AAQ58" s="172"/>
      <c r="AAR58" s="172"/>
      <c r="AAS58" s="172"/>
      <c r="AAT58" s="172"/>
      <c r="AAU58" s="172"/>
      <c r="AAV58" s="172"/>
      <c r="AAW58" s="172"/>
      <c r="AAX58" s="172"/>
      <c r="AAY58" s="172"/>
      <c r="AAZ58" s="172"/>
      <c r="ABA58" s="172"/>
      <c r="ABB58" s="172"/>
      <c r="ABC58" s="172"/>
      <c r="ABD58" s="172"/>
      <c r="ABE58" s="172"/>
      <c r="ABF58" s="172"/>
      <c r="ABG58" s="172"/>
      <c r="ABH58" s="172"/>
      <c r="ABI58" s="172"/>
      <c r="ABJ58" s="172"/>
      <c r="ABK58" s="172"/>
      <c r="ABL58" s="172"/>
      <c r="ABM58" s="172"/>
      <c r="ABN58" s="172"/>
      <c r="ABO58" s="172"/>
      <c r="ABP58" s="172"/>
      <c r="ABQ58" s="172"/>
      <c r="ABR58" s="172"/>
      <c r="ABS58" s="172"/>
      <c r="ABT58" s="172"/>
      <c r="ABU58" s="172"/>
      <c r="ABV58" s="172"/>
      <c r="ABW58" s="172"/>
      <c r="ABX58" s="172"/>
      <c r="ABY58" s="172"/>
      <c r="ABZ58" s="172"/>
      <c r="ACA58" s="172"/>
      <c r="ACB58" s="172"/>
      <c r="ACC58" s="172"/>
      <c r="ACD58" s="172"/>
      <c r="ACE58" s="172"/>
      <c r="ACF58" s="172"/>
      <c r="ACG58" s="172"/>
      <c r="ACH58" s="172"/>
      <c r="ACI58" s="172"/>
      <c r="ACJ58" s="172"/>
      <c r="ACK58" s="172"/>
      <c r="ACL58" s="172"/>
      <c r="ACM58" s="172"/>
      <c r="ACN58" s="172"/>
      <c r="ACO58" s="172"/>
      <c r="ACP58" s="172"/>
      <c r="ACQ58" s="172"/>
      <c r="ACR58" s="172"/>
      <c r="ACS58" s="172"/>
      <c r="ACT58" s="172"/>
      <c r="ACU58" s="172"/>
      <c r="ACV58" s="172"/>
      <c r="ACW58" s="172"/>
      <c r="ACX58" s="172"/>
      <c r="ACY58" s="172"/>
      <c r="ACZ58" s="172"/>
      <c r="ADA58" s="172"/>
      <c r="ADB58" s="172"/>
      <c r="ADC58" s="172"/>
      <c r="ADD58" s="172"/>
      <c r="ADE58" s="172"/>
      <c r="ADF58" s="172"/>
      <c r="ADG58" s="172"/>
      <c r="ADH58" s="172"/>
      <c r="ADI58" s="172"/>
      <c r="ADJ58" s="172"/>
      <c r="ADK58" s="172"/>
      <c r="ADL58" s="172"/>
      <c r="ADM58" s="172"/>
      <c r="ADN58" s="172"/>
      <c r="ADO58" s="172"/>
      <c r="ADP58" s="172"/>
      <c r="ADQ58" s="172"/>
      <c r="ADR58" s="172"/>
      <c r="ADS58" s="172"/>
      <c r="ADT58" s="172"/>
      <c r="ADU58" s="172"/>
      <c r="ADV58" s="172"/>
      <c r="ADW58" s="172"/>
      <c r="ADX58" s="172"/>
      <c r="ADY58" s="172"/>
      <c r="ADZ58" s="172"/>
      <c r="AEA58" s="172"/>
      <c r="AEB58" s="172"/>
      <c r="AEC58" s="172"/>
      <c r="AED58" s="172"/>
      <c r="AEE58" s="172"/>
      <c r="AEF58" s="172"/>
      <c r="AEG58" s="172"/>
      <c r="AEH58" s="172"/>
      <c r="AEI58" s="172"/>
      <c r="AEJ58" s="172"/>
      <c r="AEK58" s="172"/>
      <c r="AEL58" s="172"/>
      <c r="AEM58" s="172"/>
      <c r="AEN58" s="172"/>
      <c r="AEO58" s="172"/>
      <c r="AEP58" s="172"/>
      <c r="AEQ58" s="172"/>
      <c r="AER58" s="172"/>
      <c r="AES58" s="172"/>
      <c r="AET58" s="172"/>
      <c r="AEU58" s="172"/>
      <c r="AEV58" s="172"/>
      <c r="AEW58" s="172"/>
      <c r="AEX58" s="172"/>
      <c r="AEY58" s="172"/>
      <c r="AEZ58" s="172"/>
      <c r="AFA58" s="172"/>
      <c r="AFB58" s="172"/>
      <c r="AFC58" s="172"/>
      <c r="AFD58" s="172"/>
      <c r="AFE58" s="172"/>
      <c r="AFF58" s="172"/>
      <c r="AFG58" s="172"/>
      <c r="AFH58" s="172"/>
      <c r="AFI58" s="172"/>
      <c r="AFJ58" s="172"/>
      <c r="AFK58" s="172"/>
      <c r="AFL58" s="172"/>
      <c r="AFM58" s="172"/>
      <c r="AFN58" s="172"/>
      <c r="AFO58" s="172"/>
      <c r="AFP58" s="172"/>
      <c r="AFQ58" s="172"/>
      <c r="AFR58" s="172"/>
      <c r="AFS58" s="172"/>
      <c r="AFT58" s="172"/>
      <c r="AFU58" s="172"/>
      <c r="AFV58" s="172"/>
      <c r="AFW58" s="172"/>
      <c r="AFX58" s="172"/>
      <c r="AFY58" s="172"/>
      <c r="AFZ58" s="172"/>
      <c r="AGA58" s="172"/>
      <c r="AGB58" s="172"/>
      <c r="AGC58" s="172"/>
      <c r="AGD58" s="172"/>
      <c r="AGE58" s="172"/>
      <c r="AGF58" s="172"/>
      <c r="AGG58" s="172"/>
      <c r="AGH58" s="172"/>
      <c r="AGI58" s="172"/>
      <c r="AGJ58" s="172"/>
      <c r="AGK58" s="172"/>
      <c r="AGL58" s="172"/>
      <c r="AGM58" s="172"/>
      <c r="AGN58" s="172"/>
      <c r="AGO58" s="172"/>
      <c r="AGP58" s="172"/>
      <c r="AGQ58" s="172"/>
      <c r="AGR58" s="172"/>
      <c r="AGS58" s="172"/>
      <c r="AGT58" s="172"/>
      <c r="AGU58" s="172"/>
      <c r="AGV58" s="172"/>
      <c r="AGW58" s="172"/>
      <c r="AGX58" s="172"/>
      <c r="AGY58" s="172"/>
      <c r="AGZ58" s="172"/>
      <c r="AHA58" s="172"/>
      <c r="AHB58" s="172"/>
      <c r="AHC58" s="172"/>
      <c r="AHD58" s="172"/>
      <c r="AHE58" s="172"/>
      <c r="AHF58" s="172"/>
      <c r="AHG58" s="172"/>
      <c r="AHH58" s="172"/>
      <c r="AHI58" s="172"/>
      <c r="AHJ58" s="172"/>
      <c r="AHK58" s="172"/>
      <c r="AHL58" s="172"/>
      <c r="AHM58" s="172"/>
      <c r="AHN58" s="172"/>
      <c r="AHO58" s="172"/>
      <c r="AHP58" s="172"/>
      <c r="AHQ58" s="172"/>
      <c r="AHR58" s="172"/>
      <c r="AHS58" s="172"/>
      <c r="AHT58" s="172"/>
      <c r="AHU58" s="172"/>
      <c r="AHV58" s="172"/>
      <c r="AHW58" s="172"/>
      <c r="AHX58" s="172"/>
      <c r="AHY58" s="172"/>
      <c r="AHZ58" s="172"/>
      <c r="AIA58" s="172"/>
      <c r="AIB58" s="172"/>
      <c r="AIC58" s="172"/>
      <c r="AID58" s="172"/>
      <c r="AIE58" s="172"/>
      <c r="AIF58" s="172"/>
      <c r="AIG58" s="172"/>
      <c r="AIH58" s="172"/>
      <c r="AII58" s="172"/>
      <c r="AIJ58" s="172"/>
      <c r="AIK58" s="172"/>
      <c r="AIL58" s="172"/>
      <c r="AIM58" s="172"/>
      <c r="AIN58" s="172"/>
      <c r="AIO58" s="172"/>
      <c r="AIP58" s="172"/>
      <c r="AIQ58" s="172"/>
      <c r="AIR58" s="172"/>
      <c r="AIS58" s="172"/>
      <c r="AIT58" s="172"/>
      <c r="AIU58" s="172"/>
      <c r="AIV58" s="172"/>
      <c r="AIW58" s="172"/>
      <c r="AIX58" s="172"/>
      <c r="AIY58" s="172"/>
      <c r="AIZ58" s="172"/>
      <c r="AJA58" s="172"/>
      <c r="AJB58" s="172"/>
      <c r="AJC58" s="172"/>
      <c r="AJD58" s="172"/>
      <c r="AJE58" s="172"/>
      <c r="AJF58" s="172"/>
      <c r="AJG58" s="172"/>
      <c r="AJH58" s="172"/>
      <c r="AJI58" s="172"/>
      <c r="AJJ58" s="172"/>
      <c r="AJK58" s="172"/>
      <c r="AJL58" s="172"/>
      <c r="AJM58" s="172"/>
      <c r="AJN58" s="172"/>
      <c r="AJO58" s="172"/>
      <c r="AJP58" s="172"/>
      <c r="AJQ58" s="172"/>
      <c r="AJR58" s="172"/>
      <c r="AJS58" s="172"/>
      <c r="AJT58" s="172"/>
      <c r="AJU58" s="172"/>
      <c r="AJV58" s="172"/>
      <c r="AJW58" s="172"/>
      <c r="AJX58" s="172"/>
      <c r="AJY58" s="172"/>
      <c r="AJZ58" s="172"/>
      <c r="AKA58" s="172"/>
      <c r="AKB58" s="172"/>
      <c r="AKC58" s="172"/>
      <c r="AKD58" s="172"/>
      <c r="AKE58" s="172"/>
      <c r="AKF58" s="172"/>
      <c r="AKG58" s="172"/>
      <c r="AKH58" s="172"/>
      <c r="AKI58" s="172"/>
      <c r="AKJ58" s="172"/>
      <c r="AKK58" s="172"/>
      <c r="AKL58" s="172"/>
      <c r="AKM58" s="172"/>
      <c r="AKN58" s="172"/>
      <c r="AKO58" s="172"/>
      <c r="AKP58" s="172"/>
      <c r="AKQ58" s="172"/>
      <c r="AKR58" s="172"/>
      <c r="AKS58" s="172"/>
      <c r="AKT58" s="172"/>
      <c r="AKU58" s="172"/>
      <c r="AKV58" s="172"/>
      <c r="AKW58" s="172"/>
      <c r="AKX58" s="172"/>
      <c r="AKY58" s="172"/>
      <c r="AKZ58" s="172"/>
      <c r="ALA58" s="172"/>
      <c r="ALB58" s="172"/>
      <c r="ALC58" s="172"/>
      <c r="ALD58" s="172"/>
      <c r="ALE58" s="172"/>
      <c r="ALF58" s="172"/>
      <c r="ALG58" s="172"/>
      <c r="ALH58" s="172"/>
      <c r="ALI58" s="172"/>
      <c r="ALJ58" s="172"/>
      <c r="ALK58" s="172"/>
      <c r="ALL58" s="172"/>
      <c r="ALM58" s="172"/>
      <c r="ALN58" s="172"/>
      <c r="ALO58" s="172"/>
      <c r="ALP58" s="172"/>
      <c r="ALQ58" s="172"/>
      <c r="ALR58" s="172"/>
      <c r="ALS58" s="172"/>
      <c r="ALT58" s="172"/>
      <c r="ALU58" s="172"/>
      <c r="ALV58" s="172"/>
      <c r="ALW58" s="172"/>
      <c r="ALX58" s="172"/>
      <c r="ALY58" s="172"/>
      <c r="ALZ58" s="172"/>
      <c r="AMA58" s="172"/>
      <c r="AMB58" s="172"/>
      <c r="AMC58" s="172"/>
      <c r="AMD58" s="172"/>
    </row>
    <row r="59" spans="1:1019" ht="15" customHeight="1">
      <c r="A59" s="168">
        <f t="shared" si="2"/>
        <v>52</v>
      </c>
      <c r="B59" s="175">
        <v>1129</v>
      </c>
      <c r="C59" s="175" t="s">
        <v>43</v>
      </c>
      <c r="D59" s="169">
        <f>'הנדסה '!D18</f>
        <v>7000000</v>
      </c>
      <c r="E59" s="169">
        <f>'הנדסה '!E18</f>
        <v>5500000</v>
      </c>
      <c r="F59" s="169">
        <f>'הנדסה '!F18</f>
        <v>1500000</v>
      </c>
      <c r="G59" s="169">
        <f>'הנדסה '!G18</f>
        <v>5491771</v>
      </c>
      <c r="H59" s="169">
        <f>'הנדסה '!H18</f>
        <v>5015424.54</v>
      </c>
      <c r="I59" s="169">
        <f>'הנדסה '!I18</f>
        <v>0</v>
      </c>
      <c r="J59" s="169">
        <f>'הנדסה '!J18</f>
        <v>108575.5</v>
      </c>
      <c r="K59" s="169">
        <f>'הנדסה '!K18</f>
        <v>108575.5</v>
      </c>
      <c r="L59" s="169">
        <f>'הנדסה '!L18</f>
        <v>5124000.04</v>
      </c>
      <c r="M59" s="169">
        <f>'הנדסה '!M18</f>
        <v>367770.95999999996</v>
      </c>
      <c r="N59" s="169">
        <f>'הנדסה '!N18</f>
        <v>500000</v>
      </c>
      <c r="O59" s="169">
        <f>'הנדסה '!O18</f>
        <v>1008229</v>
      </c>
      <c r="P59" s="169">
        <f>'הנדסה '!P18</f>
        <v>367770.95999999996</v>
      </c>
      <c r="Q59" s="169">
        <f>'הנדסה '!Q18</f>
        <v>0</v>
      </c>
      <c r="R59" s="169">
        <f>'הנדסה '!R18</f>
        <v>0</v>
      </c>
      <c r="S59" s="169">
        <f>'הנדסה '!S18</f>
        <v>0</v>
      </c>
      <c r="T59" s="169">
        <f>'הנדסה '!T18</f>
        <v>0</v>
      </c>
      <c r="U59" s="169">
        <f>'הנדסה '!U18</f>
        <v>500000</v>
      </c>
      <c r="V59" s="169">
        <f>'הנדסה '!V18</f>
        <v>500000</v>
      </c>
      <c r="W59" s="169">
        <f>'הנדסה '!W18</f>
        <v>0</v>
      </c>
      <c r="X59" s="169">
        <f>'הנדסה '!X18</f>
        <v>0</v>
      </c>
      <c r="Y59" s="169">
        <f>'הנדסה '!Y18</f>
        <v>0</v>
      </c>
      <c r="Z59" s="169">
        <f>'הנדסה '!Z18</f>
        <v>0</v>
      </c>
      <c r="AA59" s="659">
        <f>'הנדסה '!AA18</f>
        <v>742000</v>
      </c>
      <c r="AB59" s="157"/>
      <c r="AF59" s="172"/>
    </row>
    <row r="60" spans="1:1019" s="174" customFormat="1">
      <c r="A60" s="168">
        <f t="shared" si="2"/>
        <v>53</v>
      </c>
      <c r="B60" s="175">
        <v>1130</v>
      </c>
      <c r="C60" s="175" t="s">
        <v>44</v>
      </c>
      <c r="D60" s="169">
        <f>'הנדסה '!D19</f>
        <v>16000000</v>
      </c>
      <c r="E60" s="169">
        <f>'הנדסה '!E19</f>
        <v>13881894</v>
      </c>
      <c r="F60" s="169">
        <f>'הנדסה '!F19</f>
        <v>2118106</v>
      </c>
      <c r="G60" s="169">
        <f>'הנדסה '!G19</f>
        <v>12881894</v>
      </c>
      <c r="H60" s="169">
        <f>'הנדסה '!H19</f>
        <v>10175732.01</v>
      </c>
      <c r="I60" s="169">
        <f>'הנדסה '!I19</f>
        <v>4625</v>
      </c>
      <c r="J60" s="169">
        <f>'הנדסה '!J19</f>
        <v>1688007.72</v>
      </c>
      <c r="K60" s="169">
        <f>'הנדסה '!K19</f>
        <v>1692632.72</v>
      </c>
      <c r="L60" s="169">
        <f>'הנדסה '!L19</f>
        <v>11868364.73</v>
      </c>
      <c r="M60" s="169">
        <f>'הנדסה '!M19</f>
        <v>1013529.2699999996</v>
      </c>
      <c r="N60" s="169">
        <f>'הנדסה '!N19</f>
        <v>1000000</v>
      </c>
      <c r="O60" s="169">
        <f>'הנדסה '!O19</f>
        <v>2118106</v>
      </c>
      <c r="P60" s="169">
        <f>'הנדסה '!P19</f>
        <v>1013529.2699999996</v>
      </c>
      <c r="Q60" s="169">
        <f>'הנדסה '!Q19</f>
        <v>0</v>
      </c>
      <c r="R60" s="169">
        <f>'הנדסה '!R19</f>
        <v>0</v>
      </c>
      <c r="S60" s="169">
        <f>'הנדסה '!S19</f>
        <v>0</v>
      </c>
      <c r="T60" s="169">
        <f>'הנדסה '!T19</f>
        <v>0</v>
      </c>
      <c r="U60" s="169">
        <f>'הנדסה '!U19</f>
        <v>1000000</v>
      </c>
      <c r="V60" s="169">
        <f>'הנדסה '!V19</f>
        <v>1000000</v>
      </c>
      <c r="W60" s="169">
        <f>'הנדסה '!W19</f>
        <v>0</v>
      </c>
      <c r="X60" s="169">
        <f>'הנדסה '!X19</f>
        <v>0</v>
      </c>
      <c r="Y60" s="169">
        <f>'הנדסה '!Y19</f>
        <v>0</v>
      </c>
      <c r="Z60" s="169">
        <f>'הנדסה '!Z19</f>
        <v>0</v>
      </c>
      <c r="AA60" s="659">
        <f>'הנדסה '!AA19</f>
        <v>742000</v>
      </c>
      <c r="AB60" s="157"/>
      <c r="AC60" s="157"/>
      <c r="AD60" s="157"/>
      <c r="AE60" s="157"/>
      <c r="AF60" s="164"/>
      <c r="AG60" s="172"/>
      <c r="AH60" s="172"/>
      <c r="AI60" s="172"/>
      <c r="AJ60" s="172"/>
      <c r="AK60" s="172"/>
      <c r="AME60" s="158"/>
    </row>
    <row r="61" spans="1:1019" ht="15" customHeight="1">
      <c r="A61" s="168">
        <f t="shared" si="2"/>
        <v>54</v>
      </c>
      <c r="B61" s="175">
        <v>1314</v>
      </c>
      <c r="C61" s="168" t="s">
        <v>66</v>
      </c>
      <c r="D61" s="169">
        <f>'הנדסה '!D22</f>
        <v>3200000</v>
      </c>
      <c r="E61" s="169">
        <f>'הנדסה '!E22</f>
        <v>3200000</v>
      </c>
      <c r="F61" s="169">
        <f>'הנדסה '!F22</f>
        <v>0</v>
      </c>
      <c r="G61" s="169">
        <f>'הנדסה '!G22</f>
        <v>400000</v>
      </c>
      <c r="H61" s="169">
        <f>'הנדסה '!H22</f>
        <v>359314.49</v>
      </c>
      <c r="I61" s="169">
        <f>'הנדסה '!I22</f>
        <v>0</v>
      </c>
      <c r="J61" s="169">
        <f>'הנדסה '!J22</f>
        <v>0</v>
      </c>
      <c r="K61" s="169">
        <f>'הנדסה '!K22</f>
        <v>0</v>
      </c>
      <c r="L61" s="169">
        <f>'הנדסה '!L22</f>
        <v>359314.49</v>
      </c>
      <c r="M61" s="169">
        <f>'הנדסה '!M22</f>
        <v>40685.510000000009</v>
      </c>
      <c r="N61" s="169">
        <f>'הנדסה '!N22</f>
        <v>0</v>
      </c>
      <c r="O61" s="169">
        <f>'הנדסה '!O22</f>
        <v>2800000</v>
      </c>
      <c r="P61" s="169">
        <f>'הנדסה '!P22</f>
        <v>40685.510000000009</v>
      </c>
      <c r="Q61" s="169">
        <f>'הנדסה '!Q22</f>
        <v>0</v>
      </c>
      <c r="R61" s="169">
        <f>'הנדסה '!R22</f>
        <v>0</v>
      </c>
      <c r="S61" s="169">
        <f>'הנדסה '!S22</f>
        <v>0</v>
      </c>
      <c r="T61" s="169">
        <f>'הנדסה '!T22</f>
        <v>0</v>
      </c>
      <c r="U61" s="169">
        <f>'הנדסה '!U22</f>
        <v>0</v>
      </c>
      <c r="V61" s="169">
        <f>'הנדסה '!V22</f>
        <v>0</v>
      </c>
      <c r="W61" s="169">
        <f>'הנדסה '!W22</f>
        <v>0</v>
      </c>
      <c r="X61" s="169">
        <f>'הנדסה '!X22</f>
        <v>0</v>
      </c>
      <c r="Y61" s="169">
        <f>'הנדסה '!Y22</f>
        <v>0</v>
      </c>
      <c r="Z61" s="169">
        <f>'הנדסה '!Z22</f>
        <v>0</v>
      </c>
      <c r="AA61" s="659">
        <f>'הנדסה '!AA22</f>
        <v>742000</v>
      </c>
      <c r="AB61" s="157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  <c r="DZ61" s="172"/>
      <c r="EA61" s="172"/>
      <c r="EB61" s="172"/>
      <c r="EC61" s="172"/>
      <c r="ED61" s="172"/>
      <c r="EE61" s="172"/>
      <c r="EF61" s="172"/>
      <c r="EG61" s="172"/>
      <c r="EH61" s="172"/>
      <c r="EI61" s="172"/>
      <c r="EJ61" s="172"/>
      <c r="EK61" s="172"/>
      <c r="EL61" s="172"/>
      <c r="EM61" s="172"/>
      <c r="EN61" s="172"/>
      <c r="EO61" s="172"/>
      <c r="EP61" s="172"/>
      <c r="EQ61" s="172"/>
      <c r="ER61" s="172"/>
      <c r="ES61" s="172"/>
      <c r="ET61" s="172"/>
      <c r="EU61" s="172"/>
      <c r="EV61" s="172"/>
      <c r="EW61" s="172"/>
      <c r="EX61" s="172"/>
      <c r="EY61" s="172"/>
      <c r="EZ61" s="172"/>
      <c r="FA61" s="172"/>
      <c r="FB61" s="172"/>
      <c r="FC61" s="172"/>
      <c r="FD61" s="172"/>
      <c r="FE61" s="172"/>
      <c r="FF61" s="172"/>
      <c r="FG61" s="172"/>
      <c r="FH61" s="172"/>
      <c r="FI61" s="172"/>
      <c r="FJ61" s="172"/>
      <c r="FK61" s="172"/>
      <c r="FL61" s="172"/>
      <c r="FM61" s="172"/>
      <c r="FN61" s="172"/>
      <c r="FO61" s="172"/>
      <c r="FP61" s="172"/>
      <c r="FQ61" s="172"/>
      <c r="FR61" s="172"/>
      <c r="FS61" s="172"/>
      <c r="FT61" s="172"/>
      <c r="FU61" s="172"/>
      <c r="FV61" s="172"/>
      <c r="FW61" s="172"/>
      <c r="FX61" s="172"/>
      <c r="FY61" s="172"/>
      <c r="FZ61" s="172"/>
      <c r="GA61" s="172"/>
      <c r="GB61" s="172"/>
      <c r="GC61" s="172"/>
      <c r="GD61" s="172"/>
      <c r="GE61" s="172"/>
      <c r="GF61" s="172"/>
      <c r="GG61" s="172"/>
      <c r="GH61" s="172"/>
      <c r="GI61" s="172"/>
      <c r="GJ61" s="172"/>
      <c r="GK61" s="172"/>
      <c r="GL61" s="172"/>
      <c r="GM61" s="172"/>
      <c r="GN61" s="172"/>
      <c r="GO61" s="172"/>
      <c r="GP61" s="172"/>
      <c r="GQ61" s="172"/>
      <c r="GR61" s="172"/>
      <c r="GS61" s="172"/>
      <c r="GT61" s="172"/>
      <c r="GU61" s="172"/>
      <c r="GV61" s="172"/>
      <c r="GW61" s="172"/>
      <c r="GX61" s="172"/>
      <c r="GY61" s="172"/>
      <c r="GZ61" s="172"/>
      <c r="HA61" s="172"/>
      <c r="HB61" s="172"/>
      <c r="HC61" s="172"/>
      <c r="HD61" s="172"/>
      <c r="HE61" s="172"/>
      <c r="HF61" s="172"/>
      <c r="HG61" s="172"/>
      <c r="HH61" s="172"/>
      <c r="HI61" s="172"/>
      <c r="HJ61" s="172"/>
      <c r="HK61" s="172"/>
      <c r="HL61" s="172"/>
      <c r="HM61" s="172"/>
      <c r="HN61" s="172"/>
      <c r="HO61" s="172"/>
      <c r="HP61" s="172"/>
      <c r="HQ61" s="172"/>
      <c r="HR61" s="172"/>
      <c r="HS61" s="172"/>
      <c r="HT61" s="172"/>
      <c r="HU61" s="172"/>
      <c r="HV61" s="172"/>
      <c r="HW61" s="172"/>
      <c r="HX61" s="172"/>
      <c r="HY61" s="172"/>
      <c r="HZ61" s="172"/>
      <c r="IA61" s="172"/>
      <c r="IB61" s="172"/>
      <c r="IC61" s="172"/>
      <c r="ID61" s="172"/>
      <c r="IE61" s="172"/>
      <c r="IF61" s="172"/>
      <c r="IG61" s="172"/>
      <c r="IH61" s="172"/>
      <c r="II61" s="172"/>
      <c r="IJ61" s="172"/>
      <c r="IK61" s="172"/>
      <c r="IL61" s="172"/>
      <c r="IM61" s="172"/>
      <c r="IN61" s="172"/>
      <c r="IO61" s="172"/>
      <c r="IP61" s="172"/>
      <c r="IQ61" s="172"/>
      <c r="IR61" s="172"/>
      <c r="IS61" s="172"/>
      <c r="IT61" s="172"/>
      <c r="IU61" s="172"/>
      <c r="IV61" s="172"/>
      <c r="IW61" s="172"/>
      <c r="IX61" s="172"/>
      <c r="IY61" s="172"/>
      <c r="IZ61" s="172"/>
      <c r="JA61" s="172"/>
      <c r="JB61" s="172"/>
      <c r="JC61" s="172"/>
      <c r="JD61" s="172"/>
      <c r="JE61" s="172"/>
      <c r="JF61" s="172"/>
      <c r="JG61" s="172"/>
      <c r="JH61" s="172"/>
      <c r="JI61" s="172"/>
      <c r="JJ61" s="172"/>
      <c r="JK61" s="172"/>
      <c r="JL61" s="172"/>
      <c r="JM61" s="172"/>
      <c r="JN61" s="172"/>
      <c r="JO61" s="172"/>
      <c r="JP61" s="172"/>
      <c r="JQ61" s="172"/>
      <c r="JR61" s="172"/>
      <c r="JS61" s="172"/>
      <c r="JT61" s="172"/>
      <c r="JU61" s="172"/>
      <c r="JV61" s="172"/>
      <c r="JW61" s="172"/>
      <c r="JX61" s="172"/>
      <c r="JY61" s="172"/>
      <c r="JZ61" s="172"/>
      <c r="KA61" s="172"/>
      <c r="KB61" s="172"/>
      <c r="KC61" s="172"/>
      <c r="KD61" s="172"/>
      <c r="KE61" s="172"/>
      <c r="KF61" s="172"/>
      <c r="KG61" s="172"/>
      <c r="KH61" s="172"/>
      <c r="KI61" s="172"/>
      <c r="KJ61" s="172"/>
      <c r="KK61" s="172"/>
      <c r="KL61" s="172"/>
      <c r="KM61" s="172"/>
      <c r="KN61" s="172"/>
      <c r="KO61" s="172"/>
      <c r="KP61" s="172"/>
      <c r="KQ61" s="172"/>
      <c r="KR61" s="172"/>
      <c r="KS61" s="172"/>
      <c r="KT61" s="172"/>
      <c r="KU61" s="172"/>
      <c r="KV61" s="172"/>
      <c r="KW61" s="172"/>
      <c r="KX61" s="172"/>
      <c r="KY61" s="172"/>
      <c r="KZ61" s="172"/>
      <c r="LA61" s="172"/>
      <c r="LB61" s="172"/>
      <c r="LC61" s="172"/>
      <c r="LD61" s="172"/>
      <c r="LE61" s="172"/>
      <c r="LF61" s="172"/>
      <c r="LG61" s="172"/>
      <c r="LH61" s="172"/>
      <c r="LI61" s="172"/>
      <c r="LJ61" s="172"/>
      <c r="LK61" s="172"/>
      <c r="LL61" s="172"/>
      <c r="LM61" s="172"/>
      <c r="LN61" s="172"/>
      <c r="LO61" s="172"/>
      <c r="LP61" s="172"/>
      <c r="LQ61" s="172"/>
      <c r="LR61" s="172"/>
      <c r="LS61" s="172"/>
      <c r="LT61" s="172"/>
      <c r="LU61" s="172"/>
      <c r="LV61" s="172"/>
      <c r="LW61" s="172"/>
      <c r="LX61" s="172"/>
      <c r="LY61" s="172"/>
      <c r="LZ61" s="172"/>
      <c r="MA61" s="172"/>
      <c r="MB61" s="172"/>
      <c r="MC61" s="172"/>
      <c r="MD61" s="172"/>
      <c r="ME61" s="172"/>
      <c r="MF61" s="172"/>
      <c r="MG61" s="172"/>
      <c r="MH61" s="172"/>
      <c r="MI61" s="172"/>
      <c r="MJ61" s="172"/>
      <c r="MK61" s="172"/>
      <c r="ML61" s="172"/>
      <c r="MM61" s="172"/>
      <c r="MN61" s="172"/>
      <c r="MO61" s="172"/>
      <c r="MP61" s="172"/>
      <c r="MQ61" s="172"/>
      <c r="MR61" s="172"/>
      <c r="MS61" s="172"/>
      <c r="MT61" s="172"/>
      <c r="MU61" s="172"/>
      <c r="MV61" s="172"/>
      <c r="MW61" s="172"/>
      <c r="MX61" s="172"/>
      <c r="MY61" s="172"/>
      <c r="MZ61" s="172"/>
      <c r="NA61" s="172"/>
      <c r="NB61" s="172"/>
      <c r="NC61" s="172"/>
      <c r="ND61" s="172"/>
      <c r="NE61" s="172"/>
      <c r="NF61" s="172"/>
      <c r="NG61" s="172"/>
      <c r="NH61" s="172"/>
      <c r="NI61" s="172"/>
      <c r="NJ61" s="172"/>
      <c r="NK61" s="172"/>
      <c r="NL61" s="172"/>
      <c r="NM61" s="172"/>
      <c r="NN61" s="172"/>
      <c r="NO61" s="172"/>
      <c r="NP61" s="172"/>
      <c r="NQ61" s="172"/>
      <c r="NR61" s="172"/>
      <c r="NS61" s="172"/>
      <c r="NT61" s="172"/>
      <c r="NU61" s="172"/>
      <c r="NV61" s="172"/>
      <c r="NW61" s="172"/>
      <c r="NX61" s="172"/>
      <c r="NY61" s="172"/>
      <c r="NZ61" s="172"/>
      <c r="OA61" s="172"/>
      <c r="OB61" s="172"/>
      <c r="OC61" s="172"/>
      <c r="OD61" s="172"/>
      <c r="OE61" s="172"/>
      <c r="OF61" s="172"/>
      <c r="OG61" s="172"/>
      <c r="OH61" s="172"/>
      <c r="OI61" s="172"/>
      <c r="OJ61" s="172"/>
      <c r="OK61" s="172"/>
      <c r="OL61" s="172"/>
      <c r="OM61" s="172"/>
      <c r="ON61" s="172"/>
      <c r="OO61" s="172"/>
      <c r="OP61" s="172"/>
      <c r="OQ61" s="172"/>
      <c r="OR61" s="172"/>
      <c r="OS61" s="172"/>
      <c r="OT61" s="172"/>
      <c r="OU61" s="172"/>
      <c r="OV61" s="172"/>
      <c r="OW61" s="172"/>
      <c r="OX61" s="172"/>
      <c r="OY61" s="172"/>
      <c r="OZ61" s="172"/>
      <c r="PA61" s="172"/>
      <c r="PB61" s="172"/>
      <c r="PC61" s="172"/>
      <c r="PD61" s="172"/>
      <c r="PE61" s="172"/>
      <c r="PF61" s="172"/>
      <c r="PG61" s="172"/>
      <c r="PH61" s="172"/>
      <c r="PI61" s="172"/>
      <c r="PJ61" s="172"/>
      <c r="PK61" s="172"/>
      <c r="PL61" s="172"/>
      <c r="PM61" s="172"/>
      <c r="PN61" s="172"/>
      <c r="PO61" s="172"/>
      <c r="PP61" s="172"/>
      <c r="PQ61" s="172"/>
      <c r="PR61" s="172"/>
      <c r="PS61" s="172"/>
      <c r="PT61" s="172"/>
      <c r="PU61" s="172"/>
      <c r="PV61" s="172"/>
      <c r="PW61" s="172"/>
      <c r="PX61" s="172"/>
      <c r="PY61" s="172"/>
      <c r="PZ61" s="172"/>
      <c r="QA61" s="172"/>
      <c r="QB61" s="172"/>
      <c r="QC61" s="172"/>
      <c r="QD61" s="172"/>
      <c r="QE61" s="172"/>
      <c r="QF61" s="172"/>
      <c r="QG61" s="172"/>
      <c r="QH61" s="172"/>
      <c r="QI61" s="172"/>
      <c r="QJ61" s="172"/>
      <c r="QK61" s="172"/>
      <c r="QL61" s="172"/>
      <c r="QM61" s="172"/>
      <c r="QN61" s="172"/>
      <c r="QO61" s="172"/>
      <c r="QP61" s="172"/>
      <c r="QQ61" s="172"/>
      <c r="QR61" s="172"/>
      <c r="QS61" s="172"/>
      <c r="QT61" s="172"/>
      <c r="QU61" s="172"/>
      <c r="QV61" s="172"/>
      <c r="QW61" s="172"/>
      <c r="QX61" s="172"/>
      <c r="QY61" s="172"/>
      <c r="QZ61" s="172"/>
      <c r="RA61" s="172"/>
      <c r="RB61" s="172"/>
      <c r="RC61" s="172"/>
      <c r="RD61" s="172"/>
      <c r="RE61" s="172"/>
      <c r="RF61" s="172"/>
      <c r="RG61" s="172"/>
      <c r="RH61" s="172"/>
      <c r="RI61" s="172"/>
      <c r="RJ61" s="172"/>
      <c r="RK61" s="172"/>
      <c r="RL61" s="172"/>
      <c r="RM61" s="172"/>
      <c r="RN61" s="172"/>
      <c r="RO61" s="172"/>
      <c r="RP61" s="172"/>
      <c r="RQ61" s="172"/>
      <c r="RR61" s="172"/>
      <c r="RS61" s="172"/>
      <c r="RT61" s="172"/>
      <c r="RU61" s="172"/>
      <c r="RV61" s="172"/>
      <c r="RW61" s="172"/>
      <c r="RX61" s="172"/>
      <c r="RY61" s="172"/>
      <c r="RZ61" s="172"/>
      <c r="SA61" s="172"/>
      <c r="SB61" s="172"/>
      <c r="SC61" s="172"/>
      <c r="SD61" s="172"/>
      <c r="SE61" s="172"/>
      <c r="SF61" s="172"/>
      <c r="SG61" s="172"/>
      <c r="SH61" s="172"/>
      <c r="SI61" s="172"/>
      <c r="SJ61" s="172"/>
      <c r="SK61" s="172"/>
      <c r="SL61" s="172"/>
      <c r="SM61" s="172"/>
      <c r="SN61" s="172"/>
      <c r="SO61" s="172"/>
      <c r="SP61" s="172"/>
      <c r="SQ61" s="172"/>
      <c r="SR61" s="172"/>
      <c r="SS61" s="172"/>
      <c r="ST61" s="172"/>
      <c r="SU61" s="172"/>
      <c r="SV61" s="172"/>
      <c r="SW61" s="172"/>
      <c r="SX61" s="172"/>
      <c r="SY61" s="172"/>
      <c r="SZ61" s="172"/>
      <c r="TA61" s="172"/>
      <c r="TB61" s="172"/>
      <c r="TC61" s="172"/>
      <c r="TD61" s="172"/>
      <c r="TE61" s="172"/>
      <c r="TF61" s="172"/>
      <c r="TG61" s="172"/>
      <c r="TH61" s="172"/>
      <c r="TI61" s="172"/>
      <c r="TJ61" s="172"/>
      <c r="TK61" s="172"/>
      <c r="TL61" s="172"/>
      <c r="TM61" s="172"/>
      <c r="TN61" s="172"/>
      <c r="TO61" s="172"/>
      <c r="TP61" s="172"/>
      <c r="TQ61" s="172"/>
      <c r="TR61" s="172"/>
      <c r="TS61" s="172"/>
      <c r="TT61" s="172"/>
      <c r="TU61" s="172"/>
      <c r="TV61" s="172"/>
      <c r="TW61" s="172"/>
      <c r="TX61" s="172"/>
      <c r="TY61" s="172"/>
      <c r="TZ61" s="172"/>
      <c r="UA61" s="172"/>
      <c r="UB61" s="172"/>
      <c r="UC61" s="172"/>
      <c r="UD61" s="172"/>
      <c r="UE61" s="172"/>
      <c r="UF61" s="172"/>
      <c r="UG61" s="172"/>
      <c r="UH61" s="172"/>
      <c r="UI61" s="172"/>
      <c r="UJ61" s="172"/>
      <c r="UK61" s="172"/>
      <c r="UL61" s="172"/>
      <c r="UM61" s="172"/>
      <c r="UN61" s="172"/>
      <c r="UO61" s="172"/>
      <c r="UP61" s="172"/>
      <c r="UQ61" s="172"/>
      <c r="UR61" s="172"/>
      <c r="US61" s="172"/>
      <c r="UT61" s="172"/>
      <c r="UU61" s="172"/>
      <c r="UV61" s="172"/>
      <c r="UW61" s="172"/>
      <c r="UX61" s="172"/>
      <c r="UY61" s="172"/>
      <c r="UZ61" s="172"/>
      <c r="VA61" s="172"/>
      <c r="VB61" s="172"/>
      <c r="VC61" s="172"/>
      <c r="VD61" s="172"/>
      <c r="VE61" s="172"/>
      <c r="VF61" s="172"/>
      <c r="VG61" s="172"/>
      <c r="VH61" s="172"/>
      <c r="VI61" s="172"/>
      <c r="VJ61" s="172"/>
      <c r="VK61" s="172"/>
      <c r="VL61" s="172"/>
      <c r="VM61" s="172"/>
      <c r="VN61" s="172"/>
      <c r="VO61" s="172"/>
      <c r="VP61" s="172"/>
      <c r="VQ61" s="172"/>
      <c r="VR61" s="172"/>
      <c r="VS61" s="172"/>
      <c r="VT61" s="172"/>
      <c r="VU61" s="172"/>
      <c r="VV61" s="172"/>
      <c r="VW61" s="172"/>
      <c r="VX61" s="172"/>
      <c r="VY61" s="172"/>
      <c r="VZ61" s="172"/>
      <c r="WA61" s="172"/>
      <c r="WB61" s="172"/>
      <c r="WC61" s="172"/>
      <c r="WD61" s="172"/>
      <c r="WE61" s="172"/>
      <c r="WF61" s="172"/>
      <c r="WG61" s="172"/>
      <c r="WH61" s="172"/>
      <c r="WI61" s="172"/>
      <c r="WJ61" s="172"/>
      <c r="WK61" s="172"/>
      <c r="WL61" s="172"/>
      <c r="WM61" s="172"/>
      <c r="WN61" s="172"/>
      <c r="WO61" s="172"/>
      <c r="WP61" s="172"/>
      <c r="WQ61" s="172"/>
      <c r="WR61" s="172"/>
      <c r="WS61" s="172"/>
      <c r="WT61" s="172"/>
      <c r="WU61" s="172"/>
      <c r="WV61" s="172"/>
      <c r="WW61" s="172"/>
      <c r="WX61" s="172"/>
      <c r="WY61" s="172"/>
      <c r="WZ61" s="172"/>
      <c r="XA61" s="172"/>
      <c r="XB61" s="172"/>
      <c r="XC61" s="172"/>
      <c r="XD61" s="172"/>
      <c r="XE61" s="172"/>
      <c r="XF61" s="172"/>
      <c r="XG61" s="172"/>
      <c r="XH61" s="172"/>
      <c r="XI61" s="172"/>
      <c r="XJ61" s="172"/>
      <c r="XK61" s="172"/>
      <c r="XL61" s="172"/>
      <c r="XM61" s="172"/>
      <c r="XN61" s="172"/>
      <c r="XO61" s="172"/>
      <c r="XP61" s="172"/>
      <c r="XQ61" s="172"/>
      <c r="XR61" s="172"/>
      <c r="XS61" s="172"/>
      <c r="XT61" s="172"/>
      <c r="XU61" s="172"/>
      <c r="XV61" s="172"/>
      <c r="XW61" s="172"/>
      <c r="XX61" s="172"/>
      <c r="XY61" s="172"/>
      <c r="XZ61" s="172"/>
      <c r="YA61" s="172"/>
      <c r="YB61" s="172"/>
      <c r="YC61" s="172"/>
      <c r="YD61" s="172"/>
      <c r="YE61" s="172"/>
      <c r="YF61" s="172"/>
      <c r="YG61" s="172"/>
      <c r="YH61" s="172"/>
      <c r="YI61" s="172"/>
      <c r="YJ61" s="172"/>
      <c r="YK61" s="172"/>
      <c r="YL61" s="172"/>
      <c r="YM61" s="172"/>
      <c r="YN61" s="172"/>
      <c r="YO61" s="172"/>
      <c r="YP61" s="172"/>
      <c r="YQ61" s="172"/>
      <c r="YR61" s="172"/>
      <c r="YS61" s="172"/>
      <c r="YT61" s="172"/>
      <c r="YU61" s="172"/>
      <c r="YV61" s="172"/>
      <c r="YW61" s="172"/>
      <c r="YX61" s="172"/>
      <c r="YY61" s="172"/>
      <c r="YZ61" s="172"/>
      <c r="ZA61" s="172"/>
      <c r="ZB61" s="172"/>
      <c r="ZC61" s="172"/>
      <c r="ZD61" s="172"/>
      <c r="ZE61" s="172"/>
      <c r="ZF61" s="172"/>
      <c r="ZG61" s="172"/>
      <c r="ZH61" s="172"/>
      <c r="ZI61" s="172"/>
      <c r="ZJ61" s="172"/>
      <c r="ZK61" s="172"/>
      <c r="ZL61" s="172"/>
      <c r="ZM61" s="172"/>
      <c r="ZN61" s="172"/>
      <c r="ZO61" s="172"/>
      <c r="ZP61" s="172"/>
      <c r="ZQ61" s="172"/>
      <c r="ZR61" s="172"/>
      <c r="ZS61" s="172"/>
      <c r="ZT61" s="172"/>
      <c r="ZU61" s="172"/>
      <c r="ZV61" s="172"/>
      <c r="ZW61" s="172"/>
      <c r="ZX61" s="172"/>
      <c r="ZY61" s="172"/>
      <c r="ZZ61" s="172"/>
      <c r="AAA61" s="172"/>
      <c r="AAB61" s="172"/>
      <c r="AAC61" s="172"/>
      <c r="AAD61" s="172"/>
      <c r="AAE61" s="172"/>
      <c r="AAF61" s="172"/>
      <c r="AAG61" s="172"/>
      <c r="AAH61" s="172"/>
      <c r="AAI61" s="172"/>
      <c r="AAJ61" s="172"/>
      <c r="AAK61" s="172"/>
      <c r="AAL61" s="172"/>
      <c r="AAM61" s="172"/>
      <c r="AAN61" s="172"/>
      <c r="AAO61" s="172"/>
      <c r="AAP61" s="172"/>
      <c r="AAQ61" s="172"/>
      <c r="AAR61" s="172"/>
      <c r="AAS61" s="172"/>
      <c r="AAT61" s="172"/>
      <c r="AAU61" s="172"/>
      <c r="AAV61" s="172"/>
      <c r="AAW61" s="172"/>
      <c r="AAX61" s="172"/>
      <c r="AAY61" s="172"/>
      <c r="AAZ61" s="172"/>
      <c r="ABA61" s="172"/>
      <c r="ABB61" s="172"/>
      <c r="ABC61" s="172"/>
      <c r="ABD61" s="172"/>
      <c r="ABE61" s="172"/>
      <c r="ABF61" s="172"/>
      <c r="ABG61" s="172"/>
      <c r="ABH61" s="172"/>
      <c r="ABI61" s="172"/>
      <c r="ABJ61" s="172"/>
      <c r="ABK61" s="172"/>
      <c r="ABL61" s="172"/>
      <c r="ABM61" s="172"/>
      <c r="ABN61" s="172"/>
      <c r="ABO61" s="172"/>
      <c r="ABP61" s="172"/>
      <c r="ABQ61" s="172"/>
      <c r="ABR61" s="172"/>
      <c r="ABS61" s="172"/>
      <c r="ABT61" s="172"/>
      <c r="ABU61" s="172"/>
      <c r="ABV61" s="172"/>
      <c r="ABW61" s="172"/>
      <c r="ABX61" s="172"/>
      <c r="ABY61" s="172"/>
      <c r="ABZ61" s="172"/>
      <c r="ACA61" s="172"/>
      <c r="ACB61" s="172"/>
      <c r="ACC61" s="172"/>
      <c r="ACD61" s="172"/>
      <c r="ACE61" s="172"/>
      <c r="ACF61" s="172"/>
      <c r="ACG61" s="172"/>
      <c r="ACH61" s="172"/>
      <c r="ACI61" s="172"/>
      <c r="ACJ61" s="172"/>
      <c r="ACK61" s="172"/>
      <c r="ACL61" s="172"/>
      <c r="ACM61" s="172"/>
      <c r="ACN61" s="172"/>
      <c r="ACO61" s="172"/>
      <c r="ACP61" s="172"/>
      <c r="ACQ61" s="172"/>
      <c r="ACR61" s="172"/>
      <c r="ACS61" s="172"/>
      <c r="ACT61" s="172"/>
      <c r="ACU61" s="172"/>
      <c r="ACV61" s="172"/>
      <c r="ACW61" s="172"/>
      <c r="ACX61" s="172"/>
      <c r="ACY61" s="172"/>
      <c r="ACZ61" s="172"/>
      <c r="ADA61" s="172"/>
      <c r="ADB61" s="172"/>
      <c r="ADC61" s="172"/>
      <c r="ADD61" s="172"/>
      <c r="ADE61" s="172"/>
      <c r="ADF61" s="172"/>
      <c r="ADG61" s="172"/>
      <c r="ADH61" s="172"/>
      <c r="ADI61" s="172"/>
      <c r="ADJ61" s="172"/>
      <c r="ADK61" s="172"/>
      <c r="ADL61" s="172"/>
      <c r="ADM61" s="172"/>
      <c r="ADN61" s="172"/>
      <c r="ADO61" s="172"/>
      <c r="ADP61" s="172"/>
      <c r="ADQ61" s="172"/>
      <c r="ADR61" s="172"/>
      <c r="ADS61" s="172"/>
      <c r="ADT61" s="172"/>
      <c r="ADU61" s="172"/>
      <c r="ADV61" s="172"/>
      <c r="ADW61" s="172"/>
      <c r="ADX61" s="172"/>
      <c r="ADY61" s="172"/>
      <c r="ADZ61" s="172"/>
      <c r="AEA61" s="172"/>
      <c r="AEB61" s="172"/>
      <c r="AEC61" s="172"/>
      <c r="AED61" s="172"/>
      <c r="AEE61" s="172"/>
      <c r="AEF61" s="172"/>
      <c r="AEG61" s="172"/>
      <c r="AEH61" s="172"/>
      <c r="AEI61" s="172"/>
      <c r="AEJ61" s="172"/>
      <c r="AEK61" s="172"/>
      <c r="AEL61" s="172"/>
      <c r="AEM61" s="172"/>
      <c r="AEN61" s="172"/>
      <c r="AEO61" s="172"/>
      <c r="AEP61" s="172"/>
      <c r="AEQ61" s="172"/>
      <c r="AER61" s="172"/>
      <c r="AES61" s="172"/>
      <c r="AET61" s="172"/>
      <c r="AEU61" s="172"/>
      <c r="AEV61" s="172"/>
      <c r="AEW61" s="172"/>
      <c r="AEX61" s="172"/>
      <c r="AEY61" s="172"/>
      <c r="AEZ61" s="172"/>
      <c r="AFA61" s="172"/>
      <c r="AFB61" s="172"/>
      <c r="AFC61" s="172"/>
      <c r="AFD61" s="172"/>
      <c r="AFE61" s="172"/>
      <c r="AFF61" s="172"/>
      <c r="AFG61" s="172"/>
      <c r="AFH61" s="172"/>
      <c r="AFI61" s="172"/>
      <c r="AFJ61" s="172"/>
      <c r="AFK61" s="172"/>
      <c r="AFL61" s="172"/>
      <c r="AFM61" s="172"/>
      <c r="AFN61" s="172"/>
      <c r="AFO61" s="172"/>
      <c r="AFP61" s="172"/>
      <c r="AFQ61" s="172"/>
      <c r="AFR61" s="172"/>
      <c r="AFS61" s="172"/>
      <c r="AFT61" s="172"/>
      <c r="AFU61" s="172"/>
      <c r="AFV61" s="172"/>
      <c r="AFW61" s="172"/>
      <c r="AFX61" s="172"/>
      <c r="AFY61" s="172"/>
      <c r="AFZ61" s="172"/>
      <c r="AGA61" s="172"/>
      <c r="AGB61" s="172"/>
      <c r="AGC61" s="172"/>
      <c r="AGD61" s="172"/>
      <c r="AGE61" s="172"/>
      <c r="AGF61" s="172"/>
      <c r="AGG61" s="172"/>
      <c r="AGH61" s="172"/>
      <c r="AGI61" s="172"/>
      <c r="AGJ61" s="172"/>
      <c r="AGK61" s="172"/>
      <c r="AGL61" s="172"/>
      <c r="AGM61" s="172"/>
      <c r="AGN61" s="172"/>
      <c r="AGO61" s="172"/>
      <c r="AGP61" s="172"/>
      <c r="AGQ61" s="172"/>
      <c r="AGR61" s="172"/>
      <c r="AGS61" s="172"/>
      <c r="AGT61" s="172"/>
      <c r="AGU61" s="172"/>
      <c r="AGV61" s="172"/>
      <c r="AGW61" s="172"/>
      <c r="AGX61" s="172"/>
      <c r="AGY61" s="172"/>
      <c r="AGZ61" s="172"/>
      <c r="AHA61" s="172"/>
      <c r="AHB61" s="172"/>
      <c r="AHC61" s="172"/>
      <c r="AHD61" s="172"/>
      <c r="AHE61" s="172"/>
      <c r="AHF61" s="172"/>
      <c r="AHG61" s="172"/>
      <c r="AHH61" s="172"/>
      <c r="AHI61" s="172"/>
      <c r="AHJ61" s="172"/>
      <c r="AHK61" s="172"/>
      <c r="AHL61" s="172"/>
      <c r="AHM61" s="172"/>
      <c r="AHN61" s="172"/>
      <c r="AHO61" s="172"/>
      <c r="AHP61" s="172"/>
      <c r="AHQ61" s="172"/>
      <c r="AHR61" s="172"/>
      <c r="AHS61" s="172"/>
      <c r="AHT61" s="172"/>
      <c r="AHU61" s="172"/>
      <c r="AHV61" s="172"/>
      <c r="AHW61" s="172"/>
      <c r="AHX61" s="172"/>
      <c r="AHY61" s="172"/>
      <c r="AHZ61" s="172"/>
      <c r="AIA61" s="172"/>
      <c r="AIB61" s="172"/>
      <c r="AIC61" s="172"/>
      <c r="AID61" s="172"/>
      <c r="AIE61" s="172"/>
      <c r="AIF61" s="172"/>
      <c r="AIG61" s="172"/>
      <c r="AIH61" s="172"/>
      <c r="AII61" s="172"/>
      <c r="AIJ61" s="172"/>
      <c r="AIK61" s="172"/>
      <c r="AIL61" s="172"/>
      <c r="AIM61" s="172"/>
      <c r="AIN61" s="172"/>
      <c r="AIO61" s="172"/>
      <c r="AIP61" s="172"/>
      <c r="AIQ61" s="172"/>
      <c r="AIR61" s="172"/>
      <c r="AIS61" s="172"/>
      <c r="AIT61" s="172"/>
      <c r="AIU61" s="172"/>
      <c r="AIV61" s="172"/>
      <c r="AIW61" s="172"/>
      <c r="AIX61" s="172"/>
      <c r="AIY61" s="172"/>
      <c r="AIZ61" s="172"/>
      <c r="AJA61" s="172"/>
      <c r="AJB61" s="172"/>
      <c r="AJC61" s="172"/>
      <c r="AJD61" s="172"/>
      <c r="AJE61" s="172"/>
      <c r="AJF61" s="172"/>
      <c r="AJG61" s="172"/>
      <c r="AJH61" s="172"/>
      <c r="AJI61" s="172"/>
      <c r="AJJ61" s="172"/>
      <c r="AJK61" s="172"/>
      <c r="AJL61" s="172"/>
      <c r="AJM61" s="172"/>
      <c r="AJN61" s="172"/>
      <c r="AJO61" s="172"/>
      <c r="AJP61" s="172"/>
      <c r="AJQ61" s="172"/>
      <c r="AJR61" s="172"/>
      <c r="AJS61" s="172"/>
      <c r="AJT61" s="172"/>
      <c r="AJU61" s="172"/>
      <c r="AJV61" s="172"/>
      <c r="AJW61" s="172"/>
      <c r="AJX61" s="172"/>
      <c r="AJY61" s="172"/>
      <c r="AJZ61" s="172"/>
      <c r="AKA61" s="172"/>
      <c r="AKB61" s="172"/>
      <c r="AKC61" s="172"/>
      <c r="AKD61" s="172"/>
      <c r="AKE61" s="172"/>
      <c r="AKF61" s="172"/>
      <c r="AKG61" s="172"/>
      <c r="AKH61" s="172"/>
      <c r="AKI61" s="172"/>
      <c r="AKJ61" s="172"/>
      <c r="AKK61" s="172"/>
      <c r="AKL61" s="172"/>
      <c r="AKM61" s="172"/>
      <c r="AKN61" s="172"/>
      <c r="AKO61" s="172"/>
      <c r="AKP61" s="172"/>
      <c r="AKQ61" s="172"/>
      <c r="AKR61" s="172"/>
      <c r="AKS61" s="172"/>
      <c r="AKT61" s="172"/>
      <c r="AKU61" s="172"/>
      <c r="AKV61" s="172"/>
      <c r="AKW61" s="172"/>
      <c r="AKX61" s="172"/>
      <c r="AKY61" s="172"/>
      <c r="AKZ61" s="172"/>
      <c r="ALA61" s="172"/>
      <c r="ALB61" s="172"/>
      <c r="ALC61" s="172"/>
      <c r="ALD61" s="172"/>
      <c r="ALE61" s="172"/>
      <c r="ALF61" s="172"/>
      <c r="ALG61" s="172"/>
      <c r="ALH61" s="172"/>
      <c r="ALI61" s="172"/>
      <c r="ALJ61" s="172"/>
      <c r="ALK61" s="172"/>
      <c r="ALL61" s="172"/>
      <c r="ALM61" s="172"/>
      <c r="ALN61" s="172"/>
      <c r="ALO61" s="172"/>
      <c r="ALP61" s="172"/>
      <c r="ALQ61" s="172"/>
      <c r="ALR61" s="172"/>
      <c r="ALS61" s="172"/>
      <c r="ALT61" s="172"/>
      <c r="ALU61" s="172"/>
      <c r="ALV61" s="172"/>
      <c r="ALW61" s="172"/>
      <c r="ALX61" s="172"/>
      <c r="ALY61" s="172"/>
      <c r="ALZ61" s="172"/>
      <c r="AMA61" s="172"/>
      <c r="AMB61" s="172"/>
      <c r="AMC61" s="172"/>
      <c r="AMD61" s="172"/>
    </row>
    <row r="62" spans="1:1019" ht="15" customHeight="1">
      <c r="A62" s="168">
        <f t="shared" si="2"/>
        <v>55</v>
      </c>
      <c r="B62" s="175">
        <v>1320</v>
      </c>
      <c r="C62" s="168" t="s">
        <v>922</v>
      </c>
      <c r="D62" s="169">
        <f>'הנדסה '!D23</f>
        <v>23500000</v>
      </c>
      <c r="E62" s="169">
        <f>'הנדסה '!E23</f>
        <v>23500000</v>
      </c>
      <c r="F62" s="169">
        <f>'הנדסה '!F23</f>
        <v>0</v>
      </c>
      <c r="G62" s="169">
        <f>'הנדסה '!G23</f>
        <v>21700000</v>
      </c>
      <c r="H62" s="169">
        <f>'הנדסה '!H23</f>
        <v>21332933.5</v>
      </c>
      <c r="I62" s="169">
        <f>'הנדסה '!I23</f>
        <v>204226.2</v>
      </c>
      <c r="J62" s="169">
        <f>'הנדסה '!J23</f>
        <v>12607.92</v>
      </c>
      <c r="K62" s="169">
        <f>'הנדסה '!K23</f>
        <v>216834.12000000002</v>
      </c>
      <c r="L62" s="169">
        <f>'הנדסה '!L23</f>
        <v>21549767.620000001</v>
      </c>
      <c r="M62" s="169">
        <f>'הנדסה '!M23</f>
        <v>150232.37999999896</v>
      </c>
      <c r="N62" s="169">
        <f>'הנדסה '!N23</f>
        <v>0</v>
      </c>
      <c r="O62" s="169">
        <f>'הנדסה '!O23</f>
        <v>1800000</v>
      </c>
      <c r="P62" s="169">
        <f>'הנדסה '!P23</f>
        <v>150232.37999999896</v>
      </c>
      <c r="Q62" s="169">
        <f>'הנדסה '!Q23</f>
        <v>0</v>
      </c>
      <c r="R62" s="169">
        <f>'הנדסה '!R23</f>
        <v>0</v>
      </c>
      <c r="S62" s="169">
        <f>'הנדסה '!S23</f>
        <v>0</v>
      </c>
      <c r="T62" s="169">
        <f>'הנדסה '!T23</f>
        <v>0</v>
      </c>
      <c r="U62" s="169">
        <f>'הנדסה '!U23</f>
        <v>0</v>
      </c>
      <c r="V62" s="169">
        <f>'הנדסה '!V23</f>
        <v>0</v>
      </c>
      <c r="W62" s="169">
        <f>'הנדסה '!W23</f>
        <v>0</v>
      </c>
      <c r="X62" s="169">
        <f>'הנדסה '!X23</f>
        <v>0</v>
      </c>
      <c r="Y62" s="169">
        <f>'הנדסה '!Y23</f>
        <v>0</v>
      </c>
      <c r="Z62" s="169">
        <f>'הנדסה '!Z23</f>
        <v>0</v>
      </c>
      <c r="AA62" s="659">
        <f>'הנדסה '!AA23</f>
        <v>746000</v>
      </c>
      <c r="AB62" s="157"/>
      <c r="AF62" s="172"/>
      <c r="AG62" s="174"/>
      <c r="AH62" s="174"/>
      <c r="AI62" s="174"/>
      <c r="AJ62" s="174"/>
      <c r="AK62" s="174"/>
    </row>
    <row r="63" spans="1:1019" ht="15" customHeight="1">
      <c r="A63" s="168">
        <f t="shared" si="2"/>
        <v>56</v>
      </c>
      <c r="B63" s="175">
        <v>1322</v>
      </c>
      <c r="C63" s="168" t="s">
        <v>47</v>
      </c>
      <c r="D63" s="169">
        <f>'הנדסה '!D24</f>
        <v>18500000</v>
      </c>
      <c r="E63" s="169">
        <f>'הנדסה '!E24</f>
        <v>18500000</v>
      </c>
      <c r="F63" s="169">
        <f>'הנדסה '!F24</f>
        <v>0</v>
      </c>
      <c r="G63" s="169">
        <f>'הנדסה '!G24</f>
        <v>11400000</v>
      </c>
      <c r="H63" s="169">
        <f>'הנדסה '!H24</f>
        <v>9625168.5899999999</v>
      </c>
      <c r="I63" s="169">
        <f>'הנדסה '!I24</f>
        <v>133636.75</v>
      </c>
      <c r="J63" s="169">
        <f>'הנדסה '!J24</f>
        <v>13850.62</v>
      </c>
      <c r="K63" s="169">
        <f>'הנדסה '!K24</f>
        <v>147487.37</v>
      </c>
      <c r="L63" s="169">
        <f>'הנדסה '!L24</f>
        <v>9772655.959999999</v>
      </c>
      <c r="M63" s="169">
        <f>'הנדסה '!M24</f>
        <v>127344.04000000097</v>
      </c>
      <c r="N63" s="169">
        <f>'הנדסה '!N24</f>
        <v>1500000</v>
      </c>
      <c r="O63" s="169">
        <f>'הנדסה '!O24</f>
        <v>7100000</v>
      </c>
      <c r="P63" s="169">
        <f>'הנדסה '!P24</f>
        <v>1627344.040000001</v>
      </c>
      <c r="Q63" s="169">
        <f>'הנדסה '!Q24</f>
        <v>0</v>
      </c>
      <c r="R63" s="169">
        <f>'הנדסה '!R24</f>
        <v>0</v>
      </c>
      <c r="S63" s="169">
        <f>'הנדסה '!S24</f>
        <v>0</v>
      </c>
      <c r="T63" s="169">
        <f>'הנדסה '!T24</f>
        <v>1500000</v>
      </c>
      <c r="U63" s="169">
        <f>'הנדסה '!U24</f>
        <v>0</v>
      </c>
      <c r="V63" s="169">
        <f>'הנדסה '!V24</f>
        <v>0</v>
      </c>
      <c r="W63" s="169">
        <f>'הנדסה '!W24</f>
        <v>0</v>
      </c>
      <c r="X63" s="169">
        <f>'הנדסה '!X24</f>
        <v>0</v>
      </c>
      <c r="Y63" s="169">
        <f>'הנדסה '!Y24</f>
        <v>0</v>
      </c>
      <c r="Z63" s="169">
        <f>'הנדסה '!Z24</f>
        <v>0</v>
      </c>
      <c r="AA63" s="659">
        <f>'הנדסה '!AA24</f>
        <v>742000</v>
      </c>
      <c r="AB63" s="157"/>
      <c r="AF63" s="172"/>
      <c r="AG63" s="172"/>
      <c r="AH63" s="172"/>
      <c r="AI63" s="172"/>
      <c r="AJ63" s="172"/>
      <c r="AK63" s="172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/>
      <c r="CX63" s="174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  <c r="ET63" s="174"/>
      <c r="EU63" s="174"/>
      <c r="EV63" s="174"/>
      <c r="EW63" s="174"/>
      <c r="EX63" s="174"/>
      <c r="EY63" s="174"/>
      <c r="EZ63" s="174"/>
      <c r="FA63" s="174"/>
      <c r="FB63" s="174"/>
      <c r="FC63" s="174"/>
      <c r="FD63" s="174"/>
      <c r="FE63" s="174"/>
      <c r="FF63" s="174"/>
      <c r="FG63" s="174"/>
      <c r="FH63" s="174"/>
      <c r="FI63" s="174"/>
      <c r="FJ63" s="174"/>
      <c r="FK63" s="174"/>
      <c r="FL63" s="174"/>
      <c r="FM63" s="174"/>
      <c r="FN63" s="174"/>
      <c r="FO63" s="174"/>
      <c r="FP63" s="174"/>
      <c r="FQ63" s="174"/>
      <c r="FR63" s="174"/>
      <c r="FS63" s="174"/>
      <c r="FT63" s="174"/>
      <c r="FU63" s="174"/>
      <c r="FV63" s="174"/>
      <c r="FW63" s="174"/>
      <c r="FX63" s="174"/>
      <c r="FY63" s="174"/>
      <c r="FZ63" s="174"/>
      <c r="GA63" s="174"/>
      <c r="GB63" s="174"/>
      <c r="GC63" s="174"/>
      <c r="GD63" s="174"/>
      <c r="GE63" s="174"/>
      <c r="GF63" s="174"/>
      <c r="GG63" s="174"/>
      <c r="GH63" s="174"/>
      <c r="GI63" s="174"/>
      <c r="GJ63" s="174"/>
      <c r="GK63" s="174"/>
      <c r="GL63" s="174"/>
      <c r="GM63" s="174"/>
      <c r="GN63" s="174"/>
      <c r="GO63" s="174"/>
      <c r="GP63" s="174"/>
      <c r="GQ63" s="174"/>
      <c r="GR63" s="174"/>
      <c r="GS63" s="174"/>
      <c r="GT63" s="174"/>
      <c r="GU63" s="174"/>
      <c r="GV63" s="174"/>
      <c r="GW63" s="174"/>
      <c r="GX63" s="174"/>
      <c r="GY63" s="174"/>
      <c r="GZ63" s="174"/>
      <c r="HA63" s="174"/>
      <c r="HB63" s="174"/>
      <c r="HC63" s="174"/>
      <c r="HD63" s="174"/>
      <c r="HE63" s="174"/>
      <c r="HF63" s="174"/>
      <c r="HG63" s="174"/>
      <c r="HH63" s="174"/>
      <c r="HI63" s="174"/>
      <c r="HJ63" s="174"/>
      <c r="HK63" s="174"/>
      <c r="HL63" s="174"/>
      <c r="HM63" s="174"/>
      <c r="HN63" s="174"/>
      <c r="HO63" s="174"/>
      <c r="HP63" s="174"/>
      <c r="HQ63" s="174"/>
      <c r="HR63" s="174"/>
      <c r="HS63" s="174"/>
      <c r="HT63" s="174"/>
      <c r="HU63" s="174"/>
      <c r="HV63" s="174"/>
      <c r="HW63" s="174"/>
      <c r="HX63" s="174"/>
      <c r="HY63" s="174"/>
      <c r="HZ63" s="174"/>
      <c r="IA63" s="174"/>
      <c r="IB63" s="174"/>
      <c r="IC63" s="174"/>
      <c r="ID63" s="174"/>
      <c r="IE63" s="174"/>
      <c r="IF63" s="174"/>
      <c r="IG63" s="174"/>
      <c r="IH63" s="174"/>
      <c r="II63" s="174"/>
      <c r="IJ63" s="174"/>
      <c r="IK63" s="174"/>
      <c r="IL63" s="174"/>
      <c r="IM63" s="174"/>
      <c r="IN63" s="174"/>
      <c r="IO63" s="174"/>
      <c r="IP63" s="174"/>
      <c r="IQ63" s="174"/>
      <c r="IR63" s="174"/>
      <c r="IS63" s="174"/>
      <c r="IT63" s="174"/>
      <c r="IU63" s="174"/>
      <c r="IV63" s="174"/>
      <c r="IW63" s="174"/>
      <c r="IX63" s="174"/>
      <c r="IY63" s="174"/>
      <c r="IZ63" s="174"/>
      <c r="JA63" s="174"/>
      <c r="JB63" s="174"/>
      <c r="JC63" s="174"/>
      <c r="JD63" s="174"/>
      <c r="JE63" s="174"/>
      <c r="JF63" s="174"/>
      <c r="JG63" s="174"/>
      <c r="JH63" s="174"/>
      <c r="JI63" s="174"/>
      <c r="JJ63" s="174"/>
      <c r="JK63" s="174"/>
      <c r="JL63" s="174"/>
      <c r="JM63" s="174"/>
      <c r="JN63" s="174"/>
      <c r="JO63" s="174"/>
      <c r="JP63" s="174"/>
      <c r="JQ63" s="174"/>
      <c r="JR63" s="174"/>
      <c r="JS63" s="174"/>
      <c r="JT63" s="174"/>
      <c r="JU63" s="174"/>
      <c r="JV63" s="174"/>
      <c r="JW63" s="174"/>
      <c r="JX63" s="174"/>
      <c r="JY63" s="174"/>
      <c r="JZ63" s="174"/>
      <c r="KA63" s="174"/>
      <c r="KB63" s="174"/>
      <c r="KC63" s="174"/>
      <c r="KD63" s="174"/>
      <c r="KE63" s="174"/>
      <c r="KF63" s="174"/>
      <c r="KG63" s="174"/>
      <c r="KH63" s="174"/>
      <c r="KI63" s="174"/>
      <c r="KJ63" s="174"/>
      <c r="KK63" s="174"/>
      <c r="KL63" s="174"/>
      <c r="KM63" s="174"/>
      <c r="KN63" s="174"/>
      <c r="KO63" s="174"/>
      <c r="KP63" s="174"/>
      <c r="KQ63" s="174"/>
      <c r="KR63" s="174"/>
      <c r="KS63" s="174"/>
      <c r="KT63" s="174"/>
      <c r="KU63" s="174"/>
      <c r="KV63" s="174"/>
      <c r="KW63" s="174"/>
      <c r="KX63" s="174"/>
      <c r="KY63" s="174"/>
      <c r="KZ63" s="174"/>
      <c r="LA63" s="174"/>
      <c r="LB63" s="174"/>
      <c r="LC63" s="174"/>
      <c r="LD63" s="174"/>
      <c r="LE63" s="174"/>
      <c r="LF63" s="174"/>
      <c r="LG63" s="174"/>
      <c r="LH63" s="174"/>
      <c r="LI63" s="174"/>
      <c r="LJ63" s="174"/>
      <c r="LK63" s="174"/>
      <c r="LL63" s="174"/>
      <c r="LM63" s="174"/>
      <c r="LN63" s="174"/>
      <c r="LO63" s="174"/>
      <c r="LP63" s="174"/>
      <c r="LQ63" s="174"/>
      <c r="LR63" s="174"/>
      <c r="LS63" s="174"/>
      <c r="LT63" s="174"/>
      <c r="LU63" s="174"/>
      <c r="LV63" s="174"/>
      <c r="LW63" s="174"/>
      <c r="LX63" s="174"/>
      <c r="LY63" s="174"/>
      <c r="LZ63" s="174"/>
      <c r="MA63" s="174"/>
      <c r="MB63" s="174"/>
      <c r="MC63" s="174"/>
      <c r="MD63" s="174"/>
      <c r="ME63" s="174"/>
      <c r="MF63" s="174"/>
      <c r="MG63" s="174"/>
      <c r="MH63" s="174"/>
      <c r="MI63" s="174"/>
      <c r="MJ63" s="174"/>
      <c r="MK63" s="174"/>
      <c r="ML63" s="174"/>
      <c r="MM63" s="174"/>
      <c r="MN63" s="174"/>
      <c r="MO63" s="174"/>
      <c r="MP63" s="174"/>
      <c r="MQ63" s="174"/>
      <c r="MR63" s="174"/>
      <c r="MS63" s="174"/>
      <c r="MT63" s="174"/>
      <c r="MU63" s="174"/>
      <c r="MV63" s="174"/>
      <c r="MW63" s="174"/>
      <c r="MX63" s="174"/>
      <c r="MY63" s="174"/>
      <c r="MZ63" s="174"/>
      <c r="NA63" s="174"/>
      <c r="NB63" s="174"/>
      <c r="NC63" s="174"/>
      <c r="ND63" s="174"/>
      <c r="NE63" s="174"/>
      <c r="NF63" s="174"/>
      <c r="NG63" s="174"/>
      <c r="NH63" s="174"/>
      <c r="NI63" s="174"/>
      <c r="NJ63" s="174"/>
      <c r="NK63" s="174"/>
      <c r="NL63" s="174"/>
      <c r="NM63" s="174"/>
      <c r="NN63" s="174"/>
      <c r="NO63" s="174"/>
      <c r="NP63" s="174"/>
      <c r="NQ63" s="174"/>
      <c r="NR63" s="174"/>
      <c r="NS63" s="174"/>
      <c r="NT63" s="174"/>
      <c r="NU63" s="174"/>
      <c r="NV63" s="174"/>
      <c r="NW63" s="174"/>
      <c r="NX63" s="174"/>
      <c r="NY63" s="174"/>
      <c r="NZ63" s="174"/>
      <c r="OA63" s="174"/>
      <c r="OB63" s="174"/>
      <c r="OC63" s="174"/>
      <c r="OD63" s="174"/>
      <c r="OE63" s="174"/>
      <c r="OF63" s="174"/>
      <c r="OG63" s="174"/>
      <c r="OH63" s="174"/>
      <c r="OI63" s="174"/>
      <c r="OJ63" s="174"/>
      <c r="OK63" s="174"/>
      <c r="OL63" s="174"/>
      <c r="OM63" s="174"/>
      <c r="ON63" s="174"/>
      <c r="OO63" s="174"/>
      <c r="OP63" s="174"/>
      <c r="OQ63" s="174"/>
      <c r="OR63" s="174"/>
      <c r="OS63" s="174"/>
      <c r="OT63" s="174"/>
      <c r="OU63" s="174"/>
      <c r="OV63" s="174"/>
      <c r="OW63" s="174"/>
      <c r="OX63" s="174"/>
      <c r="OY63" s="174"/>
      <c r="OZ63" s="174"/>
      <c r="PA63" s="174"/>
      <c r="PB63" s="174"/>
      <c r="PC63" s="174"/>
      <c r="PD63" s="174"/>
      <c r="PE63" s="174"/>
      <c r="PF63" s="174"/>
      <c r="PG63" s="174"/>
      <c r="PH63" s="174"/>
      <c r="PI63" s="174"/>
      <c r="PJ63" s="174"/>
      <c r="PK63" s="174"/>
      <c r="PL63" s="174"/>
      <c r="PM63" s="174"/>
      <c r="PN63" s="174"/>
      <c r="PO63" s="174"/>
      <c r="PP63" s="174"/>
      <c r="PQ63" s="174"/>
      <c r="PR63" s="174"/>
      <c r="PS63" s="174"/>
      <c r="PT63" s="174"/>
      <c r="PU63" s="174"/>
      <c r="PV63" s="174"/>
      <c r="PW63" s="174"/>
      <c r="PX63" s="174"/>
      <c r="PY63" s="174"/>
      <c r="PZ63" s="174"/>
      <c r="QA63" s="174"/>
      <c r="QB63" s="174"/>
      <c r="QC63" s="174"/>
      <c r="QD63" s="174"/>
      <c r="QE63" s="174"/>
      <c r="QF63" s="174"/>
      <c r="QG63" s="174"/>
      <c r="QH63" s="174"/>
      <c r="QI63" s="174"/>
      <c r="QJ63" s="174"/>
      <c r="QK63" s="174"/>
      <c r="QL63" s="174"/>
      <c r="QM63" s="174"/>
      <c r="QN63" s="174"/>
      <c r="QO63" s="174"/>
      <c r="QP63" s="174"/>
      <c r="QQ63" s="174"/>
      <c r="QR63" s="174"/>
      <c r="QS63" s="174"/>
      <c r="QT63" s="174"/>
      <c r="QU63" s="174"/>
      <c r="QV63" s="174"/>
      <c r="QW63" s="174"/>
      <c r="QX63" s="174"/>
      <c r="QY63" s="174"/>
      <c r="QZ63" s="174"/>
      <c r="RA63" s="174"/>
      <c r="RB63" s="174"/>
      <c r="RC63" s="174"/>
      <c r="RD63" s="174"/>
      <c r="RE63" s="174"/>
      <c r="RF63" s="174"/>
      <c r="RG63" s="174"/>
      <c r="RH63" s="174"/>
      <c r="RI63" s="174"/>
      <c r="RJ63" s="174"/>
      <c r="RK63" s="174"/>
      <c r="RL63" s="174"/>
      <c r="RM63" s="174"/>
      <c r="RN63" s="174"/>
      <c r="RO63" s="174"/>
      <c r="RP63" s="174"/>
      <c r="RQ63" s="174"/>
      <c r="RR63" s="174"/>
      <c r="RS63" s="174"/>
      <c r="RT63" s="174"/>
      <c r="RU63" s="174"/>
      <c r="RV63" s="174"/>
      <c r="RW63" s="174"/>
      <c r="RX63" s="174"/>
      <c r="RY63" s="174"/>
      <c r="RZ63" s="174"/>
      <c r="SA63" s="174"/>
      <c r="SB63" s="174"/>
      <c r="SC63" s="174"/>
      <c r="SD63" s="174"/>
      <c r="SE63" s="174"/>
      <c r="SF63" s="174"/>
      <c r="SG63" s="174"/>
      <c r="SH63" s="174"/>
      <c r="SI63" s="174"/>
      <c r="SJ63" s="174"/>
      <c r="SK63" s="174"/>
      <c r="SL63" s="174"/>
      <c r="SM63" s="174"/>
      <c r="SN63" s="174"/>
      <c r="SO63" s="174"/>
      <c r="SP63" s="174"/>
      <c r="SQ63" s="174"/>
      <c r="SR63" s="174"/>
      <c r="SS63" s="174"/>
      <c r="ST63" s="174"/>
      <c r="SU63" s="174"/>
      <c r="SV63" s="174"/>
      <c r="SW63" s="174"/>
      <c r="SX63" s="174"/>
      <c r="SY63" s="174"/>
      <c r="SZ63" s="174"/>
      <c r="TA63" s="174"/>
      <c r="TB63" s="174"/>
      <c r="TC63" s="174"/>
      <c r="TD63" s="174"/>
      <c r="TE63" s="174"/>
      <c r="TF63" s="174"/>
      <c r="TG63" s="174"/>
      <c r="TH63" s="174"/>
      <c r="TI63" s="174"/>
      <c r="TJ63" s="174"/>
      <c r="TK63" s="174"/>
      <c r="TL63" s="174"/>
      <c r="TM63" s="174"/>
      <c r="TN63" s="174"/>
      <c r="TO63" s="174"/>
      <c r="TP63" s="174"/>
      <c r="TQ63" s="174"/>
      <c r="TR63" s="174"/>
      <c r="TS63" s="174"/>
      <c r="TT63" s="174"/>
      <c r="TU63" s="174"/>
      <c r="TV63" s="174"/>
      <c r="TW63" s="174"/>
      <c r="TX63" s="174"/>
      <c r="TY63" s="174"/>
      <c r="TZ63" s="174"/>
      <c r="UA63" s="174"/>
      <c r="UB63" s="174"/>
      <c r="UC63" s="174"/>
      <c r="UD63" s="174"/>
      <c r="UE63" s="174"/>
      <c r="UF63" s="174"/>
      <c r="UG63" s="174"/>
      <c r="UH63" s="174"/>
      <c r="UI63" s="174"/>
      <c r="UJ63" s="174"/>
      <c r="UK63" s="174"/>
      <c r="UL63" s="174"/>
      <c r="UM63" s="174"/>
      <c r="UN63" s="174"/>
      <c r="UO63" s="174"/>
      <c r="UP63" s="174"/>
      <c r="UQ63" s="174"/>
      <c r="UR63" s="174"/>
      <c r="US63" s="174"/>
      <c r="UT63" s="174"/>
      <c r="UU63" s="174"/>
      <c r="UV63" s="174"/>
      <c r="UW63" s="174"/>
      <c r="UX63" s="174"/>
      <c r="UY63" s="174"/>
      <c r="UZ63" s="174"/>
      <c r="VA63" s="174"/>
      <c r="VB63" s="174"/>
      <c r="VC63" s="174"/>
      <c r="VD63" s="174"/>
      <c r="VE63" s="174"/>
      <c r="VF63" s="174"/>
      <c r="VG63" s="174"/>
      <c r="VH63" s="174"/>
      <c r="VI63" s="174"/>
      <c r="VJ63" s="174"/>
      <c r="VK63" s="174"/>
      <c r="VL63" s="174"/>
      <c r="VM63" s="174"/>
      <c r="VN63" s="174"/>
      <c r="VO63" s="174"/>
      <c r="VP63" s="174"/>
      <c r="VQ63" s="174"/>
      <c r="VR63" s="174"/>
      <c r="VS63" s="174"/>
      <c r="VT63" s="174"/>
      <c r="VU63" s="174"/>
      <c r="VV63" s="174"/>
      <c r="VW63" s="174"/>
      <c r="VX63" s="174"/>
      <c r="VY63" s="174"/>
      <c r="VZ63" s="174"/>
      <c r="WA63" s="174"/>
      <c r="WB63" s="174"/>
      <c r="WC63" s="174"/>
      <c r="WD63" s="174"/>
      <c r="WE63" s="174"/>
      <c r="WF63" s="174"/>
      <c r="WG63" s="174"/>
      <c r="WH63" s="174"/>
      <c r="WI63" s="174"/>
      <c r="WJ63" s="174"/>
      <c r="WK63" s="174"/>
      <c r="WL63" s="174"/>
      <c r="WM63" s="174"/>
      <c r="WN63" s="174"/>
      <c r="WO63" s="174"/>
      <c r="WP63" s="174"/>
      <c r="WQ63" s="174"/>
      <c r="WR63" s="174"/>
      <c r="WS63" s="174"/>
      <c r="WT63" s="174"/>
      <c r="WU63" s="174"/>
      <c r="WV63" s="174"/>
      <c r="WW63" s="174"/>
      <c r="WX63" s="174"/>
      <c r="WY63" s="174"/>
      <c r="WZ63" s="174"/>
      <c r="XA63" s="174"/>
      <c r="XB63" s="174"/>
      <c r="XC63" s="174"/>
      <c r="XD63" s="174"/>
      <c r="XE63" s="174"/>
      <c r="XF63" s="174"/>
      <c r="XG63" s="174"/>
      <c r="XH63" s="174"/>
      <c r="XI63" s="174"/>
      <c r="XJ63" s="174"/>
      <c r="XK63" s="174"/>
      <c r="XL63" s="174"/>
      <c r="XM63" s="174"/>
      <c r="XN63" s="174"/>
      <c r="XO63" s="174"/>
      <c r="XP63" s="174"/>
      <c r="XQ63" s="174"/>
      <c r="XR63" s="174"/>
      <c r="XS63" s="174"/>
      <c r="XT63" s="174"/>
      <c r="XU63" s="174"/>
      <c r="XV63" s="174"/>
      <c r="XW63" s="174"/>
      <c r="XX63" s="174"/>
      <c r="XY63" s="174"/>
      <c r="XZ63" s="174"/>
      <c r="YA63" s="174"/>
      <c r="YB63" s="174"/>
      <c r="YC63" s="174"/>
      <c r="YD63" s="174"/>
      <c r="YE63" s="174"/>
      <c r="YF63" s="174"/>
      <c r="YG63" s="174"/>
      <c r="YH63" s="174"/>
      <c r="YI63" s="174"/>
      <c r="YJ63" s="174"/>
      <c r="YK63" s="174"/>
      <c r="YL63" s="174"/>
      <c r="YM63" s="174"/>
      <c r="YN63" s="174"/>
      <c r="YO63" s="174"/>
      <c r="YP63" s="174"/>
      <c r="YQ63" s="174"/>
      <c r="YR63" s="174"/>
      <c r="YS63" s="174"/>
      <c r="YT63" s="174"/>
      <c r="YU63" s="174"/>
      <c r="YV63" s="174"/>
      <c r="YW63" s="174"/>
      <c r="YX63" s="174"/>
      <c r="YY63" s="174"/>
      <c r="YZ63" s="174"/>
      <c r="ZA63" s="174"/>
      <c r="ZB63" s="174"/>
      <c r="ZC63" s="174"/>
      <c r="ZD63" s="174"/>
      <c r="ZE63" s="174"/>
      <c r="ZF63" s="174"/>
      <c r="ZG63" s="174"/>
      <c r="ZH63" s="174"/>
      <c r="ZI63" s="174"/>
      <c r="ZJ63" s="174"/>
      <c r="ZK63" s="174"/>
      <c r="ZL63" s="174"/>
      <c r="ZM63" s="174"/>
      <c r="ZN63" s="174"/>
      <c r="ZO63" s="174"/>
      <c r="ZP63" s="174"/>
      <c r="ZQ63" s="174"/>
      <c r="ZR63" s="174"/>
      <c r="ZS63" s="174"/>
      <c r="ZT63" s="174"/>
      <c r="ZU63" s="174"/>
      <c r="ZV63" s="174"/>
      <c r="ZW63" s="174"/>
      <c r="ZX63" s="174"/>
      <c r="ZY63" s="174"/>
      <c r="ZZ63" s="174"/>
      <c r="AAA63" s="174"/>
      <c r="AAB63" s="174"/>
      <c r="AAC63" s="174"/>
      <c r="AAD63" s="174"/>
      <c r="AAE63" s="174"/>
      <c r="AAF63" s="174"/>
      <c r="AAG63" s="174"/>
      <c r="AAH63" s="174"/>
      <c r="AAI63" s="174"/>
      <c r="AAJ63" s="174"/>
      <c r="AAK63" s="174"/>
      <c r="AAL63" s="174"/>
      <c r="AAM63" s="174"/>
      <c r="AAN63" s="174"/>
      <c r="AAO63" s="174"/>
      <c r="AAP63" s="174"/>
      <c r="AAQ63" s="174"/>
      <c r="AAR63" s="174"/>
      <c r="AAS63" s="174"/>
      <c r="AAT63" s="174"/>
      <c r="AAU63" s="174"/>
      <c r="AAV63" s="174"/>
      <c r="AAW63" s="174"/>
      <c r="AAX63" s="174"/>
      <c r="AAY63" s="174"/>
      <c r="AAZ63" s="174"/>
      <c r="ABA63" s="174"/>
      <c r="ABB63" s="174"/>
      <c r="ABC63" s="174"/>
      <c r="ABD63" s="174"/>
      <c r="ABE63" s="174"/>
      <c r="ABF63" s="174"/>
      <c r="ABG63" s="174"/>
      <c r="ABH63" s="174"/>
      <c r="ABI63" s="174"/>
      <c r="ABJ63" s="174"/>
      <c r="ABK63" s="174"/>
      <c r="ABL63" s="174"/>
      <c r="ABM63" s="174"/>
      <c r="ABN63" s="174"/>
      <c r="ABO63" s="174"/>
      <c r="ABP63" s="174"/>
      <c r="ABQ63" s="174"/>
      <c r="ABR63" s="174"/>
      <c r="ABS63" s="174"/>
      <c r="ABT63" s="174"/>
      <c r="ABU63" s="174"/>
      <c r="ABV63" s="174"/>
      <c r="ABW63" s="174"/>
      <c r="ABX63" s="174"/>
      <c r="ABY63" s="174"/>
      <c r="ABZ63" s="174"/>
      <c r="ACA63" s="174"/>
      <c r="ACB63" s="174"/>
      <c r="ACC63" s="174"/>
      <c r="ACD63" s="174"/>
      <c r="ACE63" s="174"/>
      <c r="ACF63" s="174"/>
      <c r="ACG63" s="174"/>
      <c r="ACH63" s="174"/>
      <c r="ACI63" s="174"/>
      <c r="ACJ63" s="174"/>
      <c r="ACK63" s="174"/>
      <c r="ACL63" s="174"/>
      <c r="ACM63" s="174"/>
      <c r="ACN63" s="174"/>
      <c r="ACO63" s="174"/>
      <c r="ACP63" s="174"/>
      <c r="ACQ63" s="174"/>
      <c r="ACR63" s="174"/>
      <c r="ACS63" s="174"/>
      <c r="ACT63" s="174"/>
      <c r="ACU63" s="174"/>
      <c r="ACV63" s="174"/>
      <c r="ACW63" s="174"/>
      <c r="ACX63" s="174"/>
      <c r="ACY63" s="174"/>
      <c r="ACZ63" s="174"/>
      <c r="ADA63" s="174"/>
      <c r="ADB63" s="174"/>
      <c r="ADC63" s="174"/>
      <c r="ADD63" s="174"/>
      <c r="ADE63" s="174"/>
      <c r="ADF63" s="174"/>
      <c r="ADG63" s="174"/>
      <c r="ADH63" s="174"/>
      <c r="ADI63" s="174"/>
      <c r="ADJ63" s="174"/>
      <c r="ADK63" s="174"/>
      <c r="ADL63" s="174"/>
      <c r="ADM63" s="174"/>
      <c r="ADN63" s="174"/>
      <c r="ADO63" s="174"/>
      <c r="ADP63" s="174"/>
      <c r="ADQ63" s="174"/>
      <c r="ADR63" s="174"/>
      <c r="ADS63" s="174"/>
      <c r="ADT63" s="174"/>
      <c r="ADU63" s="174"/>
      <c r="ADV63" s="174"/>
      <c r="ADW63" s="174"/>
      <c r="ADX63" s="174"/>
      <c r="ADY63" s="174"/>
      <c r="ADZ63" s="174"/>
      <c r="AEA63" s="174"/>
      <c r="AEB63" s="174"/>
      <c r="AEC63" s="174"/>
      <c r="AED63" s="174"/>
      <c r="AEE63" s="174"/>
      <c r="AEF63" s="174"/>
      <c r="AEG63" s="174"/>
      <c r="AEH63" s="174"/>
      <c r="AEI63" s="174"/>
      <c r="AEJ63" s="174"/>
      <c r="AEK63" s="174"/>
      <c r="AEL63" s="174"/>
      <c r="AEM63" s="174"/>
      <c r="AEN63" s="174"/>
      <c r="AEO63" s="174"/>
      <c r="AEP63" s="174"/>
      <c r="AEQ63" s="174"/>
      <c r="AER63" s="174"/>
      <c r="AES63" s="174"/>
      <c r="AET63" s="174"/>
      <c r="AEU63" s="174"/>
      <c r="AEV63" s="174"/>
      <c r="AEW63" s="174"/>
      <c r="AEX63" s="174"/>
      <c r="AEY63" s="174"/>
      <c r="AEZ63" s="174"/>
      <c r="AFA63" s="174"/>
      <c r="AFB63" s="174"/>
      <c r="AFC63" s="174"/>
      <c r="AFD63" s="174"/>
      <c r="AFE63" s="174"/>
      <c r="AFF63" s="174"/>
      <c r="AFG63" s="174"/>
      <c r="AFH63" s="174"/>
      <c r="AFI63" s="174"/>
      <c r="AFJ63" s="174"/>
      <c r="AFK63" s="174"/>
      <c r="AFL63" s="174"/>
      <c r="AFM63" s="174"/>
      <c r="AFN63" s="174"/>
      <c r="AFO63" s="174"/>
      <c r="AFP63" s="174"/>
      <c r="AFQ63" s="174"/>
      <c r="AFR63" s="174"/>
      <c r="AFS63" s="174"/>
      <c r="AFT63" s="174"/>
      <c r="AFU63" s="174"/>
      <c r="AFV63" s="174"/>
      <c r="AFW63" s="174"/>
      <c r="AFX63" s="174"/>
      <c r="AFY63" s="174"/>
      <c r="AFZ63" s="174"/>
      <c r="AGA63" s="174"/>
      <c r="AGB63" s="174"/>
      <c r="AGC63" s="174"/>
      <c r="AGD63" s="174"/>
      <c r="AGE63" s="174"/>
      <c r="AGF63" s="174"/>
      <c r="AGG63" s="174"/>
      <c r="AGH63" s="174"/>
      <c r="AGI63" s="174"/>
      <c r="AGJ63" s="174"/>
      <c r="AGK63" s="174"/>
      <c r="AGL63" s="174"/>
      <c r="AGM63" s="174"/>
      <c r="AGN63" s="174"/>
      <c r="AGO63" s="174"/>
      <c r="AGP63" s="174"/>
      <c r="AGQ63" s="174"/>
      <c r="AGR63" s="174"/>
      <c r="AGS63" s="174"/>
      <c r="AGT63" s="174"/>
      <c r="AGU63" s="174"/>
      <c r="AGV63" s="174"/>
      <c r="AGW63" s="174"/>
      <c r="AGX63" s="174"/>
      <c r="AGY63" s="174"/>
      <c r="AGZ63" s="174"/>
      <c r="AHA63" s="174"/>
      <c r="AHB63" s="174"/>
      <c r="AHC63" s="174"/>
      <c r="AHD63" s="174"/>
      <c r="AHE63" s="174"/>
      <c r="AHF63" s="174"/>
      <c r="AHG63" s="174"/>
      <c r="AHH63" s="174"/>
      <c r="AHI63" s="174"/>
      <c r="AHJ63" s="174"/>
      <c r="AHK63" s="174"/>
      <c r="AHL63" s="174"/>
      <c r="AHM63" s="174"/>
      <c r="AHN63" s="174"/>
      <c r="AHO63" s="174"/>
      <c r="AHP63" s="174"/>
      <c r="AHQ63" s="174"/>
      <c r="AHR63" s="174"/>
      <c r="AHS63" s="174"/>
      <c r="AHT63" s="174"/>
      <c r="AHU63" s="174"/>
      <c r="AHV63" s="174"/>
      <c r="AHW63" s="174"/>
      <c r="AHX63" s="174"/>
      <c r="AHY63" s="174"/>
      <c r="AHZ63" s="174"/>
      <c r="AIA63" s="174"/>
      <c r="AIB63" s="174"/>
      <c r="AIC63" s="174"/>
      <c r="AID63" s="174"/>
      <c r="AIE63" s="174"/>
      <c r="AIF63" s="174"/>
      <c r="AIG63" s="174"/>
      <c r="AIH63" s="174"/>
      <c r="AII63" s="174"/>
      <c r="AIJ63" s="174"/>
      <c r="AIK63" s="174"/>
      <c r="AIL63" s="174"/>
      <c r="AIM63" s="174"/>
      <c r="AIN63" s="174"/>
      <c r="AIO63" s="174"/>
      <c r="AIP63" s="174"/>
      <c r="AIQ63" s="174"/>
      <c r="AIR63" s="174"/>
      <c r="AIS63" s="174"/>
      <c r="AIT63" s="174"/>
      <c r="AIU63" s="174"/>
      <c r="AIV63" s="174"/>
      <c r="AIW63" s="174"/>
      <c r="AIX63" s="174"/>
      <c r="AIY63" s="174"/>
      <c r="AIZ63" s="174"/>
      <c r="AJA63" s="174"/>
      <c r="AJB63" s="174"/>
      <c r="AJC63" s="174"/>
      <c r="AJD63" s="174"/>
      <c r="AJE63" s="174"/>
      <c r="AJF63" s="174"/>
      <c r="AJG63" s="174"/>
      <c r="AJH63" s="174"/>
      <c r="AJI63" s="174"/>
      <c r="AJJ63" s="174"/>
      <c r="AJK63" s="174"/>
      <c r="AJL63" s="174"/>
      <c r="AJM63" s="174"/>
      <c r="AJN63" s="174"/>
      <c r="AJO63" s="174"/>
      <c r="AJP63" s="174"/>
      <c r="AJQ63" s="174"/>
      <c r="AJR63" s="174"/>
      <c r="AJS63" s="174"/>
      <c r="AJT63" s="174"/>
      <c r="AJU63" s="174"/>
      <c r="AJV63" s="174"/>
      <c r="AJW63" s="174"/>
      <c r="AJX63" s="174"/>
      <c r="AJY63" s="174"/>
      <c r="AJZ63" s="174"/>
      <c r="AKA63" s="174"/>
      <c r="AKB63" s="174"/>
      <c r="AKC63" s="174"/>
      <c r="AKD63" s="174"/>
      <c r="AKE63" s="174"/>
      <c r="AKF63" s="174"/>
      <c r="AKG63" s="174"/>
      <c r="AKH63" s="174"/>
      <c r="AKI63" s="174"/>
      <c r="AKJ63" s="174"/>
      <c r="AKK63" s="174"/>
      <c r="AKL63" s="174"/>
      <c r="AKM63" s="174"/>
      <c r="AKN63" s="174"/>
      <c r="AKO63" s="174"/>
      <c r="AKP63" s="174"/>
      <c r="AKQ63" s="174"/>
      <c r="AKR63" s="174"/>
      <c r="AKS63" s="174"/>
      <c r="AKT63" s="174"/>
      <c r="AKU63" s="174"/>
      <c r="AKV63" s="174"/>
      <c r="AKW63" s="174"/>
      <c r="AKX63" s="174"/>
      <c r="AKY63" s="174"/>
      <c r="AKZ63" s="174"/>
      <c r="ALA63" s="174"/>
      <c r="ALB63" s="174"/>
      <c r="ALC63" s="174"/>
      <c r="ALD63" s="174"/>
      <c r="ALE63" s="174"/>
      <c r="ALF63" s="174"/>
      <c r="ALG63" s="174"/>
      <c r="ALH63" s="174"/>
      <c r="ALI63" s="174"/>
      <c r="ALJ63" s="174"/>
      <c r="ALK63" s="174"/>
      <c r="ALL63" s="174"/>
      <c r="ALM63" s="174"/>
      <c r="ALN63" s="174"/>
      <c r="ALO63" s="174"/>
      <c r="ALP63" s="174"/>
      <c r="ALQ63" s="174"/>
      <c r="ALR63" s="174"/>
      <c r="ALS63" s="174"/>
      <c r="ALT63" s="174"/>
      <c r="ALU63" s="174"/>
      <c r="ALV63" s="174"/>
      <c r="ALW63" s="174"/>
      <c r="ALX63" s="174"/>
      <c r="ALY63" s="174"/>
      <c r="ALZ63" s="174"/>
      <c r="AMA63" s="174"/>
      <c r="AMB63" s="174"/>
      <c r="AMC63" s="174"/>
      <c r="AMD63" s="174"/>
    </row>
    <row r="64" spans="1:1019" s="172" customFormat="1">
      <c r="A64" s="168">
        <f t="shared" si="2"/>
        <v>57</v>
      </c>
      <c r="B64" s="175">
        <v>1324</v>
      </c>
      <c r="C64" s="168" t="s">
        <v>904</v>
      </c>
      <c r="D64" s="169">
        <f>'הנדסה '!D25</f>
        <v>180000</v>
      </c>
      <c r="E64" s="169">
        <f>'הנדסה '!E25</f>
        <v>250000</v>
      </c>
      <c r="F64" s="169">
        <f>'הנדסה '!F25</f>
        <v>-70000</v>
      </c>
      <c r="G64" s="169">
        <f>'הנדסה '!G25</f>
        <v>180000</v>
      </c>
      <c r="H64" s="169">
        <f>'הנדסה '!H25</f>
        <v>120629.48</v>
      </c>
      <c r="I64" s="169">
        <f>'הנדסה '!I25</f>
        <v>0</v>
      </c>
      <c r="J64" s="169">
        <f>'הנדסה '!J25</f>
        <v>56544</v>
      </c>
      <c r="K64" s="169">
        <f>'הנדסה '!K25</f>
        <v>56544</v>
      </c>
      <c r="L64" s="169">
        <f>'הנדסה '!L25</f>
        <v>177173.47999999998</v>
      </c>
      <c r="M64" s="169">
        <f>'הנדסה '!M25</f>
        <v>2826.5200000000186</v>
      </c>
      <c r="N64" s="169">
        <f>'הנדסה '!N25</f>
        <v>0</v>
      </c>
      <c r="O64" s="169">
        <f>'הנדסה '!O25</f>
        <v>0</v>
      </c>
      <c r="P64" s="169">
        <f>'הנדסה '!P25</f>
        <v>2826.5200000000186</v>
      </c>
      <c r="Q64" s="169">
        <f>'הנדסה '!Q25</f>
        <v>0</v>
      </c>
      <c r="R64" s="169">
        <f>'הנדסה '!R25</f>
        <v>0</v>
      </c>
      <c r="S64" s="169">
        <f>'הנדסה '!S25</f>
        <v>0</v>
      </c>
      <c r="T64" s="169">
        <f>'הנדסה '!T25</f>
        <v>0</v>
      </c>
      <c r="U64" s="169">
        <f>'הנדסה '!U25</f>
        <v>0</v>
      </c>
      <c r="V64" s="169">
        <f>'הנדסה '!V25</f>
        <v>0</v>
      </c>
      <c r="W64" s="169">
        <f>'הנדסה '!W25</f>
        <v>0</v>
      </c>
      <c r="X64" s="169">
        <f>'הנדסה '!X25</f>
        <v>0</v>
      </c>
      <c r="Y64" s="169">
        <f>'הנדסה '!Y25</f>
        <v>0</v>
      </c>
      <c r="Z64" s="169">
        <f>'הנדסה '!Z25</f>
        <v>0</v>
      </c>
      <c r="AA64" s="659">
        <f>'הנדסה '!AA25</f>
        <v>742000</v>
      </c>
      <c r="AB64" s="157"/>
      <c r="AC64" s="157"/>
      <c r="AD64" s="157"/>
      <c r="AE64" s="157"/>
      <c r="AG64" s="174"/>
      <c r="AH64" s="174"/>
      <c r="AI64" s="174"/>
      <c r="AJ64" s="174"/>
      <c r="AK64" s="174"/>
      <c r="AME64" s="158"/>
    </row>
    <row r="65" spans="1:1019" s="174" customFormat="1">
      <c r="A65" s="168">
        <f t="shared" si="2"/>
        <v>58</v>
      </c>
      <c r="B65" s="175">
        <v>1363</v>
      </c>
      <c r="C65" s="168" t="s">
        <v>48</v>
      </c>
      <c r="D65" s="169">
        <f>'הנדסה '!D27</f>
        <v>15500000</v>
      </c>
      <c r="E65" s="169">
        <f>'הנדסה '!E27</f>
        <v>14000000</v>
      </c>
      <c r="F65" s="169">
        <f>'הנדסה '!F27</f>
        <v>1500000</v>
      </c>
      <c r="G65" s="169">
        <f>'הנדסה '!G27</f>
        <v>6050000</v>
      </c>
      <c r="H65" s="169">
        <f>'הנדסה '!H27</f>
        <v>855341.96</v>
      </c>
      <c r="I65" s="169">
        <f>'הנדסה '!I27</f>
        <v>106902.9</v>
      </c>
      <c r="J65" s="169">
        <f>'הנדסה '!J27</f>
        <v>423897.2</v>
      </c>
      <c r="K65" s="169">
        <f>'הנדסה '!K27</f>
        <v>530800.1</v>
      </c>
      <c r="L65" s="169">
        <f>'הנדסה '!L27</f>
        <v>1386142.06</v>
      </c>
      <c r="M65" s="169">
        <f>'הנדסה '!M27</f>
        <v>3163857.9399999995</v>
      </c>
      <c r="N65" s="169">
        <f>'הנדסה '!N27</f>
        <v>1500000</v>
      </c>
      <c r="O65" s="169">
        <f>'הנדסה '!O27</f>
        <v>9450000</v>
      </c>
      <c r="P65" s="169">
        <f>'הנדסה '!P27</f>
        <v>4663857.9399999995</v>
      </c>
      <c r="Q65" s="169">
        <f>'הנדסה '!Q27</f>
        <v>0</v>
      </c>
      <c r="R65" s="169">
        <f>'הנדסה '!R27</f>
        <v>0</v>
      </c>
      <c r="S65" s="169">
        <f>'הנדסה '!S27</f>
        <v>0</v>
      </c>
      <c r="T65" s="169">
        <f>'הנדסה '!T27</f>
        <v>1500000</v>
      </c>
      <c r="U65" s="169">
        <f>'הנדסה '!U27</f>
        <v>0</v>
      </c>
      <c r="V65" s="169">
        <f>'הנדסה '!V27</f>
        <v>0</v>
      </c>
      <c r="W65" s="169">
        <f>'הנדסה '!W27</f>
        <v>0</v>
      </c>
      <c r="X65" s="169">
        <f>'הנדסה '!X27</f>
        <v>0</v>
      </c>
      <c r="Y65" s="169">
        <f>'הנדסה '!Y27</f>
        <v>0</v>
      </c>
      <c r="Z65" s="169">
        <f>'הנדסה '!Z27</f>
        <v>0</v>
      </c>
      <c r="AA65" s="659">
        <f>'הנדסה '!AA27</f>
        <v>742000</v>
      </c>
      <c r="AB65" s="157"/>
      <c r="AC65" s="157"/>
      <c r="AD65" s="157"/>
      <c r="AE65" s="157"/>
      <c r="AF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2"/>
      <c r="EJ65" s="172"/>
      <c r="EK65" s="172"/>
      <c r="EL65" s="172"/>
      <c r="EM65" s="172"/>
      <c r="EN65" s="172"/>
      <c r="EO65" s="172"/>
      <c r="EP65" s="172"/>
      <c r="EQ65" s="172"/>
      <c r="ER65" s="172"/>
      <c r="ES65" s="172"/>
      <c r="ET65" s="172"/>
      <c r="EU65" s="172"/>
      <c r="EV65" s="172"/>
      <c r="EW65" s="172"/>
      <c r="EX65" s="172"/>
      <c r="EY65" s="172"/>
      <c r="EZ65" s="172"/>
      <c r="FA65" s="172"/>
      <c r="FB65" s="172"/>
      <c r="FC65" s="172"/>
      <c r="FD65" s="172"/>
      <c r="FE65" s="172"/>
      <c r="FF65" s="172"/>
      <c r="FG65" s="172"/>
      <c r="FH65" s="172"/>
      <c r="FI65" s="172"/>
      <c r="FJ65" s="172"/>
      <c r="FK65" s="172"/>
      <c r="FL65" s="172"/>
      <c r="FM65" s="172"/>
      <c r="FN65" s="172"/>
      <c r="FO65" s="172"/>
      <c r="FP65" s="172"/>
      <c r="FQ65" s="172"/>
      <c r="FR65" s="172"/>
      <c r="FS65" s="172"/>
      <c r="FT65" s="172"/>
      <c r="FU65" s="172"/>
      <c r="FV65" s="172"/>
      <c r="FW65" s="172"/>
      <c r="FX65" s="172"/>
      <c r="FY65" s="172"/>
      <c r="FZ65" s="172"/>
      <c r="GA65" s="172"/>
      <c r="GB65" s="172"/>
      <c r="GC65" s="172"/>
      <c r="GD65" s="172"/>
      <c r="GE65" s="172"/>
      <c r="GF65" s="172"/>
      <c r="GG65" s="172"/>
      <c r="GH65" s="172"/>
      <c r="GI65" s="172"/>
      <c r="GJ65" s="172"/>
      <c r="GK65" s="172"/>
      <c r="GL65" s="172"/>
      <c r="GM65" s="172"/>
      <c r="GN65" s="172"/>
      <c r="GO65" s="172"/>
      <c r="GP65" s="172"/>
      <c r="GQ65" s="172"/>
      <c r="GR65" s="172"/>
      <c r="GS65" s="172"/>
      <c r="GT65" s="172"/>
      <c r="GU65" s="172"/>
      <c r="GV65" s="172"/>
      <c r="GW65" s="172"/>
      <c r="GX65" s="172"/>
      <c r="GY65" s="172"/>
      <c r="GZ65" s="172"/>
      <c r="HA65" s="172"/>
      <c r="HB65" s="172"/>
      <c r="HC65" s="172"/>
      <c r="HD65" s="172"/>
      <c r="HE65" s="172"/>
      <c r="HF65" s="172"/>
      <c r="HG65" s="172"/>
      <c r="HH65" s="172"/>
      <c r="HI65" s="172"/>
      <c r="HJ65" s="172"/>
      <c r="HK65" s="172"/>
      <c r="HL65" s="172"/>
      <c r="HM65" s="172"/>
      <c r="HN65" s="172"/>
      <c r="HO65" s="172"/>
      <c r="HP65" s="172"/>
      <c r="HQ65" s="172"/>
      <c r="HR65" s="172"/>
      <c r="HS65" s="172"/>
      <c r="HT65" s="172"/>
      <c r="HU65" s="172"/>
      <c r="HV65" s="172"/>
      <c r="HW65" s="172"/>
      <c r="HX65" s="172"/>
      <c r="HY65" s="172"/>
      <c r="HZ65" s="172"/>
      <c r="IA65" s="172"/>
      <c r="IB65" s="172"/>
      <c r="IC65" s="172"/>
      <c r="ID65" s="172"/>
      <c r="IE65" s="172"/>
      <c r="IF65" s="172"/>
      <c r="IG65" s="172"/>
      <c r="IH65" s="172"/>
      <c r="II65" s="172"/>
      <c r="IJ65" s="172"/>
      <c r="IK65" s="172"/>
      <c r="IL65" s="172"/>
      <c r="IM65" s="172"/>
      <c r="IN65" s="172"/>
      <c r="IO65" s="172"/>
      <c r="IP65" s="172"/>
      <c r="IQ65" s="172"/>
      <c r="IR65" s="172"/>
      <c r="IS65" s="172"/>
      <c r="IT65" s="172"/>
      <c r="IU65" s="172"/>
      <c r="IV65" s="172"/>
      <c r="IW65" s="172"/>
      <c r="IX65" s="172"/>
      <c r="IY65" s="172"/>
      <c r="IZ65" s="172"/>
      <c r="JA65" s="172"/>
      <c r="JB65" s="172"/>
      <c r="JC65" s="172"/>
      <c r="JD65" s="172"/>
      <c r="JE65" s="172"/>
      <c r="JF65" s="172"/>
      <c r="JG65" s="172"/>
      <c r="JH65" s="172"/>
      <c r="JI65" s="172"/>
      <c r="JJ65" s="172"/>
      <c r="JK65" s="172"/>
      <c r="JL65" s="172"/>
      <c r="JM65" s="172"/>
      <c r="JN65" s="172"/>
      <c r="JO65" s="172"/>
      <c r="JP65" s="172"/>
      <c r="JQ65" s="172"/>
      <c r="JR65" s="172"/>
      <c r="JS65" s="172"/>
      <c r="JT65" s="172"/>
      <c r="JU65" s="172"/>
      <c r="JV65" s="172"/>
      <c r="JW65" s="172"/>
      <c r="JX65" s="172"/>
      <c r="JY65" s="172"/>
      <c r="JZ65" s="172"/>
      <c r="KA65" s="172"/>
      <c r="KB65" s="172"/>
      <c r="KC65" s="172"/>
      <c r="KD65" s="172"/>
      <c r="KE65" s="172"/>
      <c r="KF65" s="172"/>
      <c r="KG65" s="172"/>
      <c r="KH65" s="172"/>
      <c r="KI65" s="172"/>
      <c r="KJ65" s="172"/>
      <c r="KK65" s="172"/>
      <c r="KL65" s="172"/>
      <c r="KM65" s="172"/>
      <c r="KN65" s="172"/>
      <c r="KO65" s="172"/>
      <c r="KP65" s="172"/>
      <c r="KQ65" s="172"/>
      <c r="KR65" s="172"/>
      <c r="KS65" s="172"/>
      <c r="KT65" s="172"/>
      <c r="KU65" s="172"/>
      <c r="KV65" s="172"/>
      <c r="KW65" s="172"/>
      <c r="KX65" s="172"/>
      <c r="KY65" s="172"/>
      <c r="KZ65" s="172"/>
      <c r="LA65" s="172"/>
      <c r="LB65" s="172"/>
      <c r="LC65" s="172"/>
      <c r="LD65" s="172"/>
      <c r="LE65" s="172"/>
      <c r="LF65" s="172"/>
      <c r="LG65" s="172"/>
      <c r="LH65" s="172"/>
      <c r="LI65" s="172"/>
      <c r="LJ65" s="172"/>
      <c r="LK65" s="172"/>
      <c r="LL65" s="172"/>
      <c r="LM65" s="172"/>
      <c r="LN65" s="172"/>
      <c r="LO65" s="172"/>
      <c r="LP65" s="172"/>
      <c r="LQ65" s="172"/>
      <c r="LR65" s="172"/>
      <c r="LS65" s="172"/>
      <c r="LT65" s="172"/>
      <c r="LU65" s="172"/>
      <c r="LV65" s="172"/>
      <c r="LW65" s="172"/>
      <c r="LX65" s="172"/>
      <c r="LY65" s="172"/>
      <c r="LZ65" s="172"/>
      <c r="MA65" s="172"/>
      <c r="MB65" s="172"/>
      <c r="MC65" s="172"/>
      <c r="MD65" s="172"/>
      <c r="ME65" s="172"/>
      <c r="MF65" s="172"/>
      <c r="MG65" s="172"/>
      <c r="MH65" s="172"/>
      <c r="MI65" s="172"/>
      <c r="MJ65" s="172"/>
      <c r="MK65" s="172"/>
      <c r="ML65" s="172"/>
      <c r="MM65" s="172"/>
      <c r="MN65" s="172"/>
      <c r="MO65" s="172"/>
      <c r="MP65" s="172"/>
      <c r="MQ65" s="172"/>
      <c r="MR65" s="172"/>
      <c r="MS65" s="172"/>
      <c r="MT65" s="172"/>
      <c r="MU65" s="172"/>
      <c r="MV65" s="172"/>
      <c r="MW65" s="172"/>
      <c r="MX65" s="172"/>
      <c r="MY65" s="172"/>
      <c r="MZ65" s="172"/>
      <c r="NA65" s="172"/>
      <c r="NB65" s="172"/>
      <c r="NC65" s="172"/>
      <c r="ND65" s="172"/>
      <c r="NE65" s="172"/>
      <c r="NF65" s="172"/>
      <c r="NG65" s="172"/>
      <c r="NH65" s="172"/>
      <c r="NI65" s="172"/>
      <c r="NJ65" s="172"/>
      <c r="NK65" s="172"/>
      <c r="NL65" s="172"/>
      <c r="NM65" s="172"/>
      <c r="NN65" s="172"/>
      <c r="NO65" s="172"/>
      <c r="NP65" s="172"/>
      <c r="NQ65" s="172"/>
      <c r="NR65" s="172"/>
      <c r="NS65" s="172"/>
      <c r="NT65" s="172"/>
      <c r="NU65" s="172"/>
      <c r="NV65" s="172"/>
      <c r="NW65" s="172"/>
      <c r="NX65" s="172"/>
      <c r="NY65" s="172"/>
      <c r="NZ65" s="172"/>
      <c r="OA65" s="172"/>
      <c r="OB65" s="172"/>
      <c r="OC65" s="172"/>
      <c r="OD65" s="172"/>
      <c r="OE65" s="172"/>
      <c r="OF65" s="172"/>
      <c r="OG65" s="172"/>
      <c r="OH65" s="172"/>
      <c r="OI65" s="172"/>
      <c r="OJ65" s="172"/>
      <c r="OK65" s="172"/>
      <c r="OL65" s="172"/>
      <c r="OM65" s="172"/>
      <c r="ON65" s="172"/>
      <c r="OO65" s="172"/>
      <c r="OP65" s="172"/>
      <c r="OQ65" s="172"/>
      <c r="OR65" s="172"/>
      <c r="OS65" s="172"/>
      <c r="OT65" s="172"/>
      <c r="OU65" s="172"/>
      <c r="OV65" s="172"/>
      <c r="OW65" s="172"/>
      <c r="OX65" s="172"/>
      <c r="OY65" s="172"/>
      <c r="OZ65" s="172"/>
      <c r="PA65" s="172"/>
      <c r="PB65" s="172"/>
      <c r="PC65" s="172"/>
      <c r="PD65" s="172"/>
      <c r="PE65" s="172"/>
      <c r="PF65" s="172"/>
      <c r="PG65" s="172"/>
      <c r="PH65" s="172"/>
      <c r="PI65" s="172"/>
      <c r="PJ65" s="172"/>
      <c r="PK65" s="172"/>
      <c r="PL65" s="172"/>
      <c r="PM65" s="172"/>
      <c r="PN65" s="172"/>
      <c r="PO65" s="172"/>
      <c r="PP65" s="172"/>
      <c r="PQ65" s="172"/>
      <c r="PR65" s="172"/>
      <c r="PS65" s="172"/>
      <c r="PT65" s="172"/>
      <c r="PU65" s="172"/>
      <c r="PV65" s="172"/>
      <c r="PW65" s="172"/>
      <c r="PX65" s="172"/>
      <c r="PY65" s="172"/>
      <c r="PZ65" s="172"/>
      <c r="QA65" s="172"/>
      <c r="QB65" s="172"/>
      <c r="QC65" s="172"/>
      <c r="QD65" s="172"/>
      <c r="QE65" s="172"/>
      <c r="QF65" s="172"/>
      <c r="QG65" s="172"/>
      <c r="QH65" s="172"/>
      <c r="QI65" s="172"/>
      <c r="QJ65" s="172"/>
      <c r="QK65" s="172"/>
      <c r="QL65" s="172"/>
      <c r="QM65" s="172"/>
      <c r="QN65" s="172"/>
      <c r="QO65" s="172"/>
      <c r="QP65" s="172"/>
      <c r="QQ65" s="172"/>
      <c r="QR65" s="172"/>
      <c r="QS65" s="172"/>
      <c r="QT65" s="172"/>
      <c r="QU65" s="172"/>
      <c r="QV65" s="172"/>
      <c r="QW65" s="172"/>
      <c r="QX65" s="172"/>
      <c r="QY65" s="172"/>
      <c r="QZ65" s="172"/>
      <c r="RA65" s="172"/>
      <c r="RB65" s="172"/>
      <c r="RC65" s="172"/>
      <c r="RD65" s="172"/>
      <c r="RE65" s="172"/>
      <c r="RF65" s="172"/>
      <c r="RG65" s="172"/>
      <c r="RH65" s="172"/>
      <c r="RI65" s="172"/>
      <c r="RJ65" s="172"/>
      <c r="RK65" s="172"/>
      <c r="RL65" s="172"/>
      <c r="RM65" s="172"/>
      <c r="RN65" s="172"/>
      <c r="RO65" s="172"/>
      <c r="RP65" s="172"/>
      <c r="RQ65" s="172"/>
      <c r="RR65" s="172"/>
      <c r="RS65" s="172"/>
      <c r="RT65" s="172"/>
      <c r="RU65" s="172"/>
      <c r="RV65" s="172"/>
      <c r="RW65" s="172"/>
      <c r="RX65" s="172"/>
      <c r="RY65" s="172"/>
      <c r="RZ65" s="172"/>
      <c r="SA65" s="172"/>
      <c r="SB65" s="172"/>
      <c r="SC65" s="172"/>
      <c r="SD65" s="172"/>
      <c r="SE65" s="172"/>
      <c r="SF65" s="172"/>
      <c r="SG65" s="172"/>
      <c r="SH65" s="172"/>
      <c r="SI65" s="172"/>
      <c r="SJ65" s="172"/>
      <c r="SK65" s="172"/>
      <c r="SL65" s="172"/>
      <c r="SM65" s="172"/>
      <c r="SN65" s="172"/>
      <c r="SO65" s="172"/>
      <c r="SP65" s="172"/>
      <c r="SQ65" s="172"/>
      <c r="SR65" s="172"/>
      <c r="SS65" s="172"/>
      <c r="ST65" s="172"/>
      <c r="SU65" s="172"/>
      <c r="SV65" s="172"/>
      <c r="SW65" s="172"/>
      <c r="SX65" s="172"/>
      <c r="SY65" s="172"/>
      <c r="SZ65" s="172"/>
      <c r="TA65" s="172"/>
      <c r="TB65" s="172"/>
      <c r="TC65" s="172"/>
      <c r="TD65" s="172"/>
      <c r="TE65" s="172"/>
      <c r="TF65" s="172"/>
      <c r="TG65" s="172"/>
      <c r="TH65" s="172"/>
      <c r="TI65" s="172"/>
      <c r="TJ65" s="172"/>
      <c r="TK65" s="172"/>
      <c r="TL65" s="172"/>
      <c r="TM65" s="172"/>
      <c r="TN65" s="172"/>
      <c r="TO65" s="172"/>
      <c r="TP65" s="172"/>
      <c r="TQ65" s="172"/>
      <c r="TR65" s="172"/>
      <c r="TS65" s="172"/>
      <c r="TT65" s="172"/>
      <c r="TU65" s="172"/>
      <c r="TV65" s="172"/>
      <c r="TW65" s="172"/>
      <c r="TX65" s="172"/>
      <c r="TY65" s="172"/>
      <c r="TZ65" s="172"/>
      <c r="UA65" s="172"/>
      <c r="UB65" s="172"/>
      <c r="UC65" s="172"/>
      <c r="UD65" s="172"/>
      <c r="UE65" s="172"/>
      <c r="UF65" s="172"/>
      <c r="UG65" s="172"/>
      <c r="UH65" s="172"/>
      <c r="UI65" s="172"/>
      <c r="UJ65" s="172"/>
      <c r="UK65" s="172"/>
      <c r="UL65" s="172"/>
      <c r="UM65" s="172"/>
      <c r="UN65" s="172"/>
      <c r="UO65" s="172"/>
      <c r="UP65" s="172"/>
      <c r="UQ65" s="172"/>
      <c r="UR65" s="172"/>
      <c r="US65" s="172"/>
      <c r="UT65" s="172"/>
      <c r="UU65" s="172"/>
      <c r="UV65" s="172"/>
      <c r="UW65" s="172"/>
      <c r="UX65" s="172"/>
      <c r="UY65" s="172"/>
      <c r="UZ65" s="172"/>
      <c r="VA65" s="172"/>
      <c r="VB65" s="172"/>
      <c r="VC65" s="172"/>
      <c r="VD65" s="172"/>
      <c r="VE65" s="172"/>
      <c r="VF65" s="172"/>
      <c r="VG65" s="172"/>
      <c r="VH65" s="172"/>
      <c r="VI65" s="172"/>
      <c r="VJ65" s="172"/>
      <c r="VK65" s="172"/>
      <c r="VL65" s="172"/>
      <c r="VM65" s="172"/>
      <c r="VN65" s="172"/>
      <c r="VO65" s="172"/>
      <c r="VP65" s="172"/>
      <c r="VQ65" s="172"/>
      <c r="VR65" s="172"/>
      <c r="VS65" s="172"/>
      <c r="VT65" s="172"/>
      <c r="VU65" s="172"/>
      <c r="VV65" s="172"/>
      <c r="VW65" s="172"/>
      <c r="VX65" s="172"/>
      <c r="VY65" s="172"/>
      <c r="VZ65" s="172"/>
      <c r="WA65" s="172"/>
      <c r="WB65" s="172"/>
      <c r="WC65" s="172"/>
      <c r="WD65" s="172"/>
      <c r="WE65" s="172"/>
      <c r="WF65" s="172"/>
      <c r="WG65" s="172"/>
      <c r="WH65" s="172"/>
      <c r="WI65" s="172"/>
      <c r="WJ65" s="172"/>
      <c r="WK65" s="172"/>
      <c r="WL65" s="172"/>
      <c r="WM65" s="172"/>
      <c r="WN65" s="172"/>
      <c r="WO65" s="172"/>
      <c r="WP65" s="172"/>
      <c r="WQ65" s="172"/>
      <c r="WR65" s="172"/>
      <c r="WS65" s="172"/>
      <c r="WT65" s="172"/>
      <c r="WU65" s="172"/>
      <c r="WV65" s="172"/>
      <c r="WW65" s="172"/>
      <c r="WX65" s="172"/>
      <c r="WY65" s="172"/>
      <c r="WZ65" s="172"/>
      <c r="XA65" s="172"/>
      <c r="XB65" s="172"/>
      <c r="XC65" s="172"/>
      <c r="XD65" s="172"/>
      <c r="XE65" s="172"/>
      <c r="XF65" s="172"/>
      <c r="XG65" s="172"/>
      <c r="XH65" s="172"/>
      <c r="XI65" s="172"/>
      <c r="XJ65" s="172"/>
      <c r="XK65" s="172"/>
      <c r="XL65" s="172"/>
      <c r="XM65" s="172"/>
      <c r="XN65" s="172"/>
      <c r="XO65" s="172"/>
      <c r="XP65" s="172"/>
      <c r="XQ65" s="172"/>
      <c r="XR65" s="172"/>
      <c r="XS65" s="172"/>
      <c r="XT65" s="172"/>
      <c r="XU65" s="172"/>
      <c r="XV65" s="172"/>
      <c r="XW65" s="172"/>
      <c r="XX65" s="172"/>
      <c r="XY65" s="172"/>
      <c r="XZ65" s="172"/>
      <c r="YA65" s="172"/>
      <c r="YB65" s="172"/>
      <c r="YC65" s="172"/>
      <c r="YD65" s="172"/>
      <c r="YE65" s="172"/>
      <c r="YF65" s="172"/>
      <c r="YG65" s="172"/>
      <c r="YH65" s="172"/>
      <c r="YI65" s="172"/>
      <c r="YJ65" s="172"/>
      <c r="YK65" s="172"/>
      <c r="YL65" s="172"/>
      <c r="YM65" s="172"/>
      <c r="YN65" s="172"/>
      <c r="YO65" s="172"/>
      <c r="YP65" s="172"/>
      <c r="YQ65" s="172"/>
      <c r="YR65" s="172"/>
      <c r="YS65" s="172"/>
      <c r="YT65" s="172"/>
      <c r="YU65" s="172"/>
      <c r="YV65" s="172"/>
      <c r="YW65" s="172"/>
      <c r="YX65" s="172"/>
      <c r="YY65" s="172"/>
      <c r="YZ65" s="172"/>
      <c r="ZA65" s="172"/>
      <c r="ZB65" s="172"/>
      <c r="ZC65" s="172"/>
      <c r="ZD65" s="172"/>
      <c r="ZE65" s="172"/>
      <c r="ZF65" s="172"/>
      <c r="ZG65" s="172"/>
      <c r="ZH65" s="172"/>
      <c r="ZI65" s="172"/>
      <c r="ZJ65" s="172"/>
      <c r="ZK65" s="172"/>
      <c r="ZL65" s="172"/>
      <c r="ZM65" s="172"/>
      <c r="ZN65" s="172"/>
      <c r="ZO65" s="172"/>
      <c r="ZP65" s="172"/>
      <c r="ZQ65" s="172"/>
      <c r="ZR65" s="172"/>
      <c r="ZS65" s="172"/>
      <c r="ZT65" s="172"/>
      <c r="ZU65" s="172"/>
      <c r="ZV65" s="172"/>
      <c r="ZW65" s="172"/>
      <c r="ZX65" s="172"/>
      <c r="ZY65" s="172"/>
      <c r="ZZ65" s="172"/>
      <c r="AAA65" s="172"/>
      <c r="AAB65" s="172"/>
      <c r="AAC65" s="172"/>
      <c r="AAD65" s="172"/>
      <c r="AAE65" s="172"/>
      <c r="AAF65" s="172"/>
      <c r="AAG65" s="172"/>
      <c r="AAH65" s="172"/>
      <c r="AAI65" s="172"/>
      <c r="AAJ65" s="172"/>
      <c r="AAK65" s="172"/>
      <c r="AAL65" s="172"/>
      <c r="AAM65" s="172"/>
      <c r="AAN65" s="172"/>
      <c r="AAO65" s="172"/>
      <c r="AAP65" s="172"/>
      <c r="AAQ65" s="172"/>
      <c r="AAR65" s="172"/>
      <c r="AAS65" s="172"/>
      <c r="AAT65" s="172"/>
      <c r="AAU65" s="172"/>
      <c r="AAV65" s="172"/>
      <c r="AAW65" s="172"/>
      <c r="AAX65" s="172"/>
      <c r="AAY65" s="172"/>
      <c r="AAZ65" s="172"/>
      <c r="ABA65" s="172"/>
      <c r="ABB65" s="172"/>
      <c r="ABC65" s="172"/>
      <c r="ABD65" s="172"/>
      <c r="ABE65" s="172"/>
      <c r="ABF65" s="172"/>
      <c r="ABG65" s="172"/>
      <c r="ABH65" s="172"/>
      <c r="ABI65" s="172"/>
      <c r="ABJ65" s="172"/>
      <c r="ABK65" s="172"/>
      <c r="ABL65" s="172"/>
      <c r="ABM65" s="172"/>
      <c r="ABN65" s="172"/>
      <c r="ABO65" s="172"/>
      <c r="ABP65" s="172"/>
      <c r="ABQ65" s="172"/>
      <c r="ABR65" s="172"/>
      <c r="ABS65" s="172"/>
      <c r="ABT65" s="172"/>
      <c r="ABU65" s="172"/>
      <c r="ABV65" s="172"/>
      <c r="ABW65" s="172"/>
      <c r="ABX65" s="172"/>
      <c r="ABY65" s="172"/>
      <c r="ABZ65" s="172"/>
      <c r="ACA65" s="172"/>
      <c r="ACB65" s="172"/>
      <c r="ACC65" s="172"/>
      <c r="ACD65" s="172"/>
      <c r="ACE65" s="172"/>
      <c r="ACF65" s="172"/>
      <c r="ACG65" s="172"/>
      <c r="ACH65" s="172"/>
      <c r="ACI65" s="172"/>
      <c r="ACJ65" s="172"/>
      <c r="ACK65" s="172"/>
      <c r="ACL65" s="172"/>
      <c r="ACM65" s="172"/>
      <c r="ACN65" s="172"/>
      <c r="ACO65" s="172"/>
      <c r="ACP65" s="172"/>
      <c r="ACQ65" s="172"/>
      <c r="ACR65" s="172"/>
      <c r="ACS65" s="172"/>
      <c r="ACT65" s="172"/>
      <c r="ACU65" s="172"/>
      <c r="ACV65" s="172"/>
      <c r="ACW65" s="172"/>
      <c r="ACX65" s="172"/>
      <c r="ACY65" s="172"/>
      <c r="ACZ65" s="172"/>
      <c r="ADA65" s="172"/>
      <c r="ADB65" s="172"/>
      <c r="ADC65" s="172"/>
      <c r="ADD65" s="172"/>
      <c r="ADE65" s="172"/>
      <c r="ADF65" s="172"/>
      <c r="ADG65" s="172"/>
      <c r="ADH65" s="172"/>
      <c r="ADI65" s="172"/>
      <c r="ADJ65" s="172"/>
      <c r="ADK65" s="172"/>
      <c r="ADL65" s="172"/>
      <c r="ADM65" s="172"/>
      <c r="ADN65" s="172"/>
      <c r="ADO65" s="172"/>
      <c r="ADP65" s="172"/>
      <c r="ADQ65" s="172"/>
      <c r="ADR65" s="172"/>
      <c r="ADS65" s="172"/>
      <c r="ADT65" s="172"/>
      <c r="ADU65" s="172"/>
      <c r="ADV65" s="172"/>
      <c r="ADW65" s="172"/>
      <c r="ADX65" s="172"/>
      <c r="ADY65" s="172"/>
      <c r="ADZ65" s="172"/>
      <c r="AEA65" s="172"/>
      <c r="AEB65" s="172"/>
      <c r="AEC65" s="172"/>
      <c r="AED65" s="172"/>
      <c r="AEE65" s="172"/>
      <c r="AEF65" s="172"/>
      <c r="AEG65" s="172"/>
      <c r="AEH65" s="172"/>
      <c r="AEI65" s="172"/>
      <c r="AEJ65" s="172"/>
      <c r="AEK65" s="172"/>
      <c r="AEL65" s="172"/>
      <c r="AEM65" s="172"/>
      <c r="AEN65" s="172"/>
      <c r="AEO65" s="172"/>
      <c r="AEP65" s="172"/>
      <c r="AEQ65" s="172"/>
      <c r="AER65" s="172"/>
      <c r="AES65" s="172"/>
      <c r="AET65" s="172"/>
      <c r="AEU65" s="172"/>
      <c r="AEV65" s="172"/>
      <c r="AEW65" s="172"/>
      <c r="AEX65" s="172"/>
      <c r="AEY65" s="172"/>
      <c r="AEZ65" s="172"/>
      <c r="AFA65" s="172"/>
      <c r="AFB65" s="172"/>
      <c r="AFC65" s="172"/>
      <c r="AFD65" s="172"/>
      <c r="AFE65" s="172"/>
      <c r="AFF65" s="172"/>
      <c r="AFG65" s="172"/>
      <c r="AFH65" s="172"/>
      <c r="AFI65" s="172"/>
      <c r="AFJ65" s="172"/>
      <c r="AFK65" s="172"/>
      <c r="AFL65" s="172"/>
      <c r="AFM65" s="172"/>
      <c r="AFN65" s="172"/>
      <c r="AFO65" s="172"/>
      <c r="AFP65" s="172"/>
      <c r="AFQ65" s="172"/>
      <c r="AFR65" s="172"/>
      <c r="AFS65" s="172"/>
      <c r="AFT65" s="172"/>
      <c r="AFU65" s="172"/>
      <c r="AFV65" s="172"/>
      <c r="AFW65" s="172"/>
      <c r="AFX65" s="172"/>
      <c r="AFY65" s="172"/>
      <c r="AFZ65" s="172"/>
      <c r="AGA65" s="172"/>
      <c r="AGB65" s="172"/>
      <c r="AGC65" s="172"/>
      <c r="AGD65" s="172"/>
      <c r="AGE65" s="172"/>
      <c r="AGF65" s="172"/>
      <c r="AGG65" s="172"/>
      <c r="AGH65" s="172"/>
      <c r="AGI65" s="172"/>
      <c r="AGJ65" s="172"/>
      <c r="AGK65" s="172"/>
      <c r="AGL65" s="172"/>
      <c r="AGM65" s="172"/>
      <c r="AGN65" s="172"/>
      <c r="AGO65" s="172"/>
      <c r="AGP65" s="172"/>
      <c r="AGQ65" s="172"/>
      <c r="AGR65" s="172"/>
      <c r="AGS65" s="172"/>
      <c r="AGT65" s="172"/>
      <c r="AGU65" s="172"/>
      <c r="AGV65" s="172"/>
      <c r="AGW65" s="172"/>
      <c r="AGX65" s="172"/>
      <c r="AGY65" s="172"/>
      <c r="AGZ65" s="172"/>
      <c r="AHA65" s="172"/>
      <c r="AHB65" s="172"/>
      <c r="AHC65" s="172"/>
      <c r="AHD65" s="172"/>
      <c r="AHE65" s="172"/>
      <c r="AHF65" s="172"/>
      <c r="AHG65" s="172"/>
      <c r="AHH65" s="172"/>
      <c r="AHI65" s="172"/>
      <c r="AHJ65" s="172"/>
      <c r="AHK65" s="172"/>
      <c r="AHL65" s="172"/>
      <c r="AHM65" s="172"/>
      <c r="AHN65" s="172"/>
      <c r="AHO65" s="172"/>
      <c r="AHP65" s="172"/>
      <c r="AHQ65" s="172"/>
      <c r="AHR65" s="172"/>
      <c r="AHS65" s="172"/>
      <c r="AHT65" s="172"/>
      <c r="AHU65" s="172"/>
      <c r="AHV65" s="172"/>
      <c r="AHW65" s="172"/>
      <c r="AHX65" s="172"/>
      <c r="AHY65" s="172"/>
      <c r="AHZ65" s="172"/>
      <c r="AIA65" s="172"/>
      <c r="AIB65" s="172"/>
      <c r="AIC65" s="172"/>
      <c r="AID65" s="172"/>
      <c r="AIE65" s="172"/>
      <c r="AIF65" s="172"/>
      <c r="AIG65" s="172"/>
      <c r="AIH65" s="172"/>
      <c r="AII65" s="172"/>
      <c r="AIJ65" s="172"/>
      <c r="AIK65" s="172"/>
      <c r="AIL65" s="172"/>
      <c r="AIM65" s="172"/>
      <c r="AIN65" s="172"/>
      <c r="AIO65" s="172"/>
      <c r="AIP65" s="172"/>
      <c r="AIQ65" s="172"/>
      <c r="AIR65" s="172"/>
      <c r="AIS65" s="172"/>
      <c r="AIT65" s="172"/>
      <c r="AIU65" s="172"/>
      <c r="AIV65" s="172"/>
      <c r="AIW65" s="172"/>
      <c r="AIX65" s="172"/>
      <c r="AIY65" s="172"/>
      <c r="AIZ65" s="172"/>
      <c r="AJA65" s="172"/>
      <c r="AJB65" s="172"/>
      <c r="AJC65" s="172"/>
      <c r="AJD65" s="172"/>
      <c r="AJE65" s="172"/>
      <c r="AJF65" s="172"/>
      <c r="AJG65" s="172"/>
      <c r="AJH65" s="172"/>
      <c r="AJI65" s="172"/>
      <c r="AJJ65" s="172"/>
      <c r="AJK65" s="172"/>
      <c r="AJL65" s="172"/>
      <c r="AJM65" s="172"/>
      <c r="AJN65" s="172"/>
      <c r="AJO65" s="172"/>
      <c r="AJP65" s="172"/>
      <c r="AJQ65" s="172"/>
      <c r="AJR65" s="172"/>
      <c r="AJS65" s="172"/>
      <c r="AJT65" s="172"/>
      <c r="AJU65" s="172"/>
      <c r="AJV65" s="172"/>
      <c r="AJW65" s="172"/>
      <c r="AJX65" s="172"/>
      <c r="AJY65" s="172"/>
      <c r="AJZ65" s="172"/>
      <c r="AKA65" s="172"/>
      <c r="AKB65" s="172"/>
      <c r="AKC65" s="172"/>
      <c r="AKD65" s="172"/>
      <c r="AKE65" s="172"/>
      <c r="AKF65" s="172"/>
      <c r="AKG65" s="172"/>
      <c r="AKH65" s="172"/>
      <c r="AKI65" s="172"/>
      <c r="AKJ65" s="172"/>
      <c r="AKK65" s="172"/>
      <c r="AKL65" s="172"/>
      <c r="AKM65" s="172"/>
      <c r="AKN65" s="172"/>
      <c r="AKO65" s="172"/>
      <c r="AKP65" s="172"/>
      <c r="AKQ65" s="172"/>
      <c r="AKR65" s="172"/>
      <c r="AKS65" s="172"/>
      <c r="AKT65" s="172"/>
      <c r="AKU65" s="172"/>
      <c r="AKV65" s="172"/>
      <c r="AKW65" s="172"/>
      <c r="AKX65" s="172"/>
      <c r="AKY65" s="172"/>
      <c r="AKZ65" s="172"/>
      <c r="ALA65" s="172"/>
      <c r="ALB65" s="172"/>
      <c r="ALC65" s="172"/>
      <c r="ALD65" s="172"/>
      <c r="ALE65" s="172"/>
      <c r="ALF65" s="172"/>
      <c r="ALG65" s="172"/>
      <c r="ALH65" s="172"/>
      <c r="ALI65" s="172"/>
      <c r="ALJ65" s="172"/>
      <c r="ALK65" s="172"/>
      <c r="ALL65" s="172"/>
      <c r="ALM65" s="172"/>
      <c r="ALN65" s="172"/>
      <c r="ALO65" s="172"/>
      <c r="ALP65" s="172"/>
      <c r="ALQ65" s="172"/>
      <c r="ALR65" s="172"/>
      <c r="ALS65" s="172"/>
      <c r="ALT65" s="172"/>
      <c r="ALU65" s="172"/>
      <c r="ALV65" s="172"/>
      <c r="ALW65" s="172"/>
      <c r="ALX65" s="172"/>
      <c r="ALY65" s="172"/>
      <c r="ALZ65" s="172"/>
      <c r="AMA65" s="172"/>
      <c r="AMB65" s="172"/>
      <c r="AMC65" s="172"/>
      <c r="AMD65" s="172"/>
      <c r="AME65" s="158"/>
    </row>
    <row r="66" spans="1:1019" s="176" customFormat="1" ht="15" customHeight="1">
      <c r="A66" s="168">
        <f t="shared" si="2"/>
        <v>59</v>
      </c>
      <c r="B66" s="175">
        <v>1366</v>
      </c>
      <c r="C66" s="168" t="s">
        <v>49</v>
      </c>
      <c r="D66" s="169">
        <f>'הנדסה '!D28</f>
        <v>1500000</v>
      </c>
      <c r="E66" s="169">
        <f>'הנדסה '!E28</f>
        <v>1500000</v>
      </c>
      <c r="F66" s="169">
        <f>'הנדסה '!F28</f>
        <v>0</v>
      </c>
      <c r="G66" s="169">
        <f>'הנדסה '!G28</f>
        <v>950000</v>
      </c>
      <c r="H66" s="169">
        <f>'הנדסה '!H28</f>
        <v>708535.52</v>
      </c>
      <c r="I66" s="169">
        <f>'הנדסה '!I28</f>
        <v>0</v>
      </c>
      <c r="J66" s="169">
        <f>'הנדסה '!J28</f>
        <v>56617.1</v>
      </c>
      <c r="K66" s="169">
        <f>'הנדסה '!K28</f>
        <v>56617.1</v>
      </c>
      <c r="L66" s="169">
        <f>'הנדסה '!L28</f>
        <v>765152.62</v>
      </c>
      <c r="M66" s="169">
        <f>'הנדסה '!M28</f>
        <v>847.38000000000466</v>
      </c>
      <c r="N66" s="169">
        <f>'הנדסה '!N28</f>
        <v>150000</v>
      </c>
      <c r="O66" s="169">
        <f>'הנדסה '!O28</f>
        <v>584000</v>
      </c>
      <c r="P66" s="169">
        <f>'הנדסה '!P28</f>
        <v>184847.38</v>
      </c>
      <c r="Q66" s="169">
        <f>'הנדסה '!Q28</f>
        <v>0</v>
      </c>
      <c r="R66" s="169">
        <f>'הנדסה '!R28</f>
        <v>0</v>
      </c>
      <c r="S66" s="169">
        <f>'הנדסה '!S28</f>
        <v>0</v>
      </c>
      <c r="T66" s="169">
        <f>'הנדסה '!T28</f>
        <v>184000</v>
      </c>
      <c r="U66" s="169">
        <f>'הנדסה '!U28</f>
        <v>-34000</v>
      </c>
      <c r="V66" s="169">
        <f>'הנדסה '!V28</f>
        <v>-34000</v>
      </c>
      <c r="W66" s="169">
        <f>'הנדסה '!W28</f>
        <v>0</v>
      </c>
      <c r="X66" s="169">
        <f>'הנדסה '!X28</f>
        <v>0</v>
      </c>
      <c r="Y66" s="169">
        <f>'הנדסה '!Y28</f>
        <v>0</v>
      </c>
      <c r="Z66" s="169">
        <f>'הנדסה '!Z28</f>
        <v>0</v>
      </c>
      <c r="AA66" s="659">
        <f>'הנדסה '!AA28</f>
        <v>742000</v>
      </c>
      <c r="AB66" s="157"/>
      <c r="AC66" s="157"/>
      <c r="AD66" s="157"/>
      <c r="AE66" s="157"/>
      <c r="AF66" s="172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C66" s="160"/>
      <c r="HD66" s="160"/>
      <c r="HE66" s="160"/>
      <c r="HF66" s="160"/>
      <c r="HG66" s="160"/>
      <c r="HH66" s="160"/>
      <c r="HI66" s="160"/>
      <c r="HJ66" s="160"/>
      <c r="HK66" s="160"/>
      <c r="HL66" s="160"/>
      <c r="HM66" s="160"/>
      <c r="HN66" s="160"/>
      <c r="HO66" s="160"/>
      <c r="HP66" s="160"/>
      <c r="HQ66" s="160"/>
      <c r="HR66" s="160"/>
      <c r="HS66" s="160"/>
      <c r="HT66" s="160"/>
      <c r="HU66" s="160"/>
      <c r="HV66" s="160"/>
      <c r="HW66" s="160"/>
      <c r="HX66" s="160"/>
      <c r="HY66" s="160"/>
      <c r="HZ66" s="160"/>
      <c r="IA66" s="160"/>
      <c r="IB66" s="160"/>
      <c r="IC66" s="160"/>
      <c r="ID66" s="160"/>
      <c r="IE66" s="160"/>
      <c r="IF66" s="160"/>
      <c r="IG66" s="160"/>
      <c r="IH66" s="160"/>
      <c r="II66" s="160"/>
      <c r="IJ66" s="160"/>
      <c r="IK66" s="160"/>
      <c r="IL66" s="160"/>
      <c r="IM66" s="160"/>
      <c r="IN66" s="160"/>
      <c r="IO66" s="160"/>
      <c r="IP66" s="160"/>
      <c r="IQ66" s="160"/>
      <c r="IR66" s="160"/>
      <c r="IS66" s="160"/>
      <c r="IT66" s="160"/>
      <c r="IU66" s="160"/>
      <c r="IV66" s="160"/>
      <c r="IW66" s="160"/>
      <c r="IX66" s="160"/>
      <c r="IY66" s="160"/>
      <c r="IZ66" s="160"/>
      <c r="JA66" s="160"/>
      <c r="JB66" s="160"/>
      <c r="JC66" s="160"/>
      <c r="JD66" s="160"/>
      <c r="JE66" s="160"/>
      <c r="JF66" s="160"/>
      <c r="JG66" s="160"/>
      <c r="JH66" s="160"/>
      <c r="JI66" s="160"/>
      <c r="JJ66" s="160"/>
      <c r="JK66" s="160"/>
      <c r="JL66" s="160"/>
      <c r="JM66" s="160"/>
      <c r="JN66" s="160"/>
      <c r="JO66" s="160"/>
      <c r="JP66" s="160"/>
      <c r="JQ66" s="160"/>
      <c r="JR66" s="160"/>
      <c r="JS66" s="160"/>
      <c r="JT66" s="160"/>
      <c r="JU66" s="160"/>
      <c r="JV66" s="160"/>
      <c r="JW66" s="160"/>
      <c r="JX66" s="160"/>
      <c r="JY66" s="160"/>
      <c r="JZ66" s="160"/>
      <c r="KA66" s="160"/>
      <c r="KB66" s="160"/>
      <c r="KC66" s="160"/>
      <c r="KD66" s="160"/>
      <c r="KE66" s="160"/>
      <c r="KF66" s="160"/>
      <c r="KG66" s="160"/>
      <c r="KH66" s="160"/>
      <c r="KI66" s="160"/>
      <c r="KJ66" s="160"/>
      <c r="KK66" s="160"/>
      <c r="KL66" s="160"/>
      <c r="KM66" s="160"/>
      <c r="KN66" s="160"/>
      <c r="KO66" s="160"/>
      <c r="KP66" s="160"/>
      <c r="KQ66" s="160"/>
      <c r="KR66" s="160"/>
      <c r="KS66" s="160"/>
      <c r="KT66" s="160"/>
      <c r="KU66" s="160"/>
      <c r="KV66" s="160"/>
      <c r="KW66" s="160"/>
      <c r="KX66" s="160"/>
      <c r="KY66" s="160"/>
      <c r="KZ66" s="160"/>
      <c r="LA66" s="160"/>
      <c r="LB66" s="160"/>
      <c r="LC66" s="160"/>
      <c r="LD66" s="160"/>
      <c r="LE66" s="160"/>
      <c r="LF66" s="160"/>
      <c r="LG66" s="160"/>
      <c r="LH66" s="160"/>
      <c r="LI66" s="160"/>
      <c r="LJ66" s="160"/>
      <c r="LK66" s="160"/>
      <c r="LL66" s="160"/>
      <c r="LM66" s="160"/>
      <c r="LN66" s="160"/>
      <c r="LO66" s="160"/>
      <c r="LP66" s="160"/>
      <c r="LQ66" s="160"/>
      <c r="LR66" s="160"/>
      <c r="LS66" s="160"/>
      <c r="LT66" s="160"/>
      <c r="LU66" s="160"/>
      <c r="LV66" s="160"/>
      <c r="LW66" s="160"/>
      <c r="LX66" s="160"/>
      <c r="LY66" s="160"/>
      <c r="LZ66" s="160"/>
      <c r="MA66" s="160"/>
      <c r="MB66" s="160"/>
      <c r="MC66" s="160"/>
      <c r="MD66" s="160"/>
      <c r="ME66" s="160"/>
      <c r="MF66" s="160"/>
      <c r="MG66" s="160"/>
      <c r="MH66" s="160"/>
      <c r="MI66" s="160"/>
      <c r="MJ66" s="160"/>
      <c r="MK66" s="160"/>
      <c r="ML66" s="160"/>
      <c r="MM66" s="160"/>
      <c r="MN66" s="160"/>
      <c r="MO66" s="160"/>
      <c r="MP66" s="160"/>
      <c r="MQ66" s="160"/>
      <c r="MR66" s="160"/>
      <c r="MS66" s="160"/>
      <c r="MT66" s="160"/>
      <c r="MU66" s="160"/>
      <c r="MV66" s="160"/>
      <c r="MW66" s="160"/>
      <c r="MX66" s="160"/>
      <c r="MY66" s="160"/>
      <c r="MZ66" s="160"/>
      <c r="NA66" s="160"/>
      <c r="NB66" s="160"/>
      <c r="NC66" s="160"/>
      <c r="ND66" s="160"/>
      <c r="NE66" s="160"/>
      <c r="NF66" s="160"/>
      <c r="NG66" s="160"/>
      <c r="NH66" s="160"/>
      <c r="NI66" s="160"/>
      <c r="NJ66" s="160"/>
      <c r="NK66" s="160"/>
      <c r="NL66" s="160"/>
      <c r="NM66" s="160"/>
      <c r="NN66" s="160"/>
      <c r="NO66" s="160"/>
      <c r="NP66" s="160"/>
      <c r="NQ66" s="160"/>
      <c r="NR66" s="160"/>
      <c r="NS66" s="160"/>
      <c r="NT66" s="160"/>
      <c r="NU66" s="160"/>
      <c r="NV66" s="160"/>
      <c r="NW66" s="160"/>
      <c r="NX66" s="160"/>
      <c r="NY66" s="160"/>
      <c r="NZ66" s="160"/>
      <c r="OA66" s="160"/>
      <c r="OB66" s="160"/>
      <c r="OC66" s="160"/>
      <c r="OD66" s="160"/>
      <c r="OE66" s="160"/>
      <c r="OF66" s="160"/>
      <c r="OG66" s="160"/>
      <c r="OH66" s="160"/>
      <c r="OI66" s="160"/>
      <c r="OJ66" s="160"/>
      <c r="OK66" s="160"/>
      <c r="OL66" s="160"/>
      <c r="OM66" s="160"/>
      <c r="ON66" s="160"/>
      <c r="OO66" s="160"/>
      <c r="OP66" s="160"/>
      <c r="OQ66" s="160"/>
      <c r="OR66" s="160"/>
      <c r="OS66" s="160"/>
      <c r="OT66" s="160"/>
      <c r="OU66" s="160"/>
      <c r="OV66" s="160"/>
      <c r="OW66" s="160"/>
      <c r="OX66" s="160"/>
      <c r="OY66" s="160"/>
      <c r="OZ66" s="160"/>
      <c r="PA66" s="160"/>
      <c r="PB66" s="160"/>
      <c r="PC66" s="160"/>
      <c r="PD66" s="160"/>
      <c r="PE66" s="160"/>
      <c r="PF66" s="160"/>
      <c r="PG66" s="160"/>
      <c r="PH66" s="160"/>
      <c r="PI66" s="160"/>
      <c r="PJ66" s="160"/>
      <c r="PK66" s="160"/>
      <c r="PL66" s="160"/>
      <c r="PM66" s="160"/>
      <c r="PN66" s="160"/>
      <c r="PO66" s="160"/>
      <c r="PP66" s="160"/>
      <c r="PQ66" s="160"/>
      <c r="PR66" s="160"/>
      <c r="PS66" s="160"/>
      <c r="PT66" s="160"/>
      <c r="PU66" s="160"/>
      <c r="PV66" s="160"/>
      <c r="PW66" s="160"/>
      <c r="PX66" s="160"/>
      <c r="PY66" s="160"/>
      <c r="PZ66" s="160"/>
      <c r="QA66" s="160"/>
      <c r="QB66" s="160"/>
      <c r="QC66" s="160"/>
      <c r="QD66" s="160"/>
      <c r="QE66" s="160"/>
      <c r="QF66" s="160"/>
      <c r="QG66" s="160"/>
      <c r="QH66" s="160"/>
      <c r="QI66" s="160"/>
      <c r="QJ66" s="160"/>
      <c r="QK66" s="160"/>
      <c r="QL66" s="160"/>
      <c r="QM66" s="160"/>
      <c r="QN66" s="160"/>
      <c r="QO66" s="160"/>
      <c r="QP66" s="160"/>
      <c r="QQ66" s="160"/>
      <c r="QR66" s="160"/>
      <c r="QS66" s="160"/>
      <c r="QT66" s="160"/>
      <c r="QU66" s="160"/>
      <c r="QV66" s="160"/>
      <c r="QW66" s="160"/>
      <c r="QX66" s="160"/>
      <c r="QY66" s="160"/>
      <c r="QZ66" s="160"/>
      <c r="RA66" s="160"/>
      <c r="RB66" s="160"/>
      <c r="RC66" s="160"/>
      <c r="RD66" s="160"/>
      <c r="RE66" s="160"/>
      <c r="RF66" s="160"/>
      <c r="RG66" s="160"/>
      <c r="RH66" s="160"/>
      <c r="RI66" s="160"/>
      <c r="RJ66" s="160"/>
      <c r="RK66" s="160"/>
      <c r="RL66" s="160"/>
      <c r="RM66" s="160"/>
      <c r="RN66" s="160"/>
      <c r="RO66" s="160"/>
      <c r="RP66" s="160"/>
      <c r="RQ66" s="160"/>
      <c r="RR66" s="160"/>
      <c r="RS66" s="160"/>
      <c r="RT66" s="160"/>
      <c r="RU66" s="160"/>
      <c r="RV66" s="160"/>
      <c r="RW66" s="160"/>
      <c r="RX66" s="160"/>
      <c r="RY66" s="160"/>
      <c r="RZ66" s="160"/>
      <c r="SA66" s="160"/>
      <c r="SB66" s="160"/>
      <c r="SC66" s="160"/>
      <c r="SD66" s="160"/>
      <c r="SE66" s="160"/>
      <c r="SF66" s="160"/>
      <c r="SG66" s="160"/>
      <c r="SH66" s="160"/>
      <c r="SI66" s="160"/>
      <c r="SJ66" s="160"/>
      <c r="SK66" s="160"/>
      <c r="SL66" s="160"/>
      <c r="SM66" s="160"/>
      <c r="SN66" s="160"/>
      <c r="SO66" s="160"/>
      <c r="SP66" s="160"/>
      <c r="SQ66" s="160"/>
      <c r="SR66" s="160"/>
      <c r="SS66" s="160"/>
      <c r="ST66" s="160"/>
      <c r="SU66" s="160"/>
      <c r="SV66" s="160"/>
      <c r="SW66" s="160"/>
      <c r="SX66" s="160"/>
      <c r="SY66" s="160"/>
      <c r="SZ66" s="160"/>
      <c r="TA66" s="160"/>
      <c r="TB66" s="160"/>
      <c r="TC66" s="160"/>
      <c r="TD66" s="160"/>
      <c r="TE66" s="160"/>
      <c r="TF66" s="160"/>
      <c r="TG66" s="160"/>
      <c r="TH66" s="160"/>
      <c r="TI66" s="160"/>
      <c r="TJ66" s="160"/>
      <c r="TK66" s="160"/>
      <c r="TL66" s="160"/>
      <c r="TM66" s="160"/>
      <c r="TN66" s="160"/>
      <c r="TO66" s="160"/>
      <c r="TP66" s="160"/>
      <c r="TQ66" s="160"/>
      <c r="TR66" s="160"/>
      <c r="TS66" s="160"/>
      <c r="TT66" s="160"/>
      <c r="TU66" s="160"/>
      <c r="TV66" s="160"/>
      <c r="TW66" s="160"/>
      <c r="TX66" s="160"/>
      <c r="TY66" s="160"/>
      <c r="TZ66" s="160"/>
      <c r="UA66" s="160"/>
      <c r="UB66" s="160"/>
      <c r="UC66" s="160"/>
      <c r="UD66" s="160"/>
      <c r="UE66" s="160"/>
      <c r="UF66" s="160"/>
      <c r="UG66" s="160"/>
      <c r="UH66" s="160"/>
      <c r="UI66" s="160"/>
      <c r="UJ66" s="160"/>
      <c r="UK66" s="160"/>
      <c r="UL66" s="160"/>
      <c r="UM66" s="160"/>
      <c r="UN66" s="160"/>
      <c r="UO66" s="160"/>
      <c r="UP66" s="160"/>
      <c r="UQ66" s="160"/>
      <c r="UR66" s="160"/>
      <c r="US66" s="160"/>
      <c r="UT66" s="160"/>
      <c r="UU66" s="160"/>
      <c r="UV66" s="160"/>
      <c r="UW66" s="160"/>
      <c r="UX66" s="160"/>
      <c r="UY66" s="160"/>
      <c r="UZ66" s="160"/>
      <c r="VA66" s="160"/>
      <c r="VB66" s="160"/>
      <c r="VC66" s="160"/>
      <c r="VD66" s="160"/>
      <c r="VE66" s="160"/>
      <c r="VF66" s="160"/>
      <c r="VG66" s="160"/>
      <c r="VH66" s="160"/>
      <c r="VI66" s="160"/>
      <c r="VJ66" s="160"/>
      <c r="VK66" s="160"/>
      <c r="VL66" s="160"/>
      <c r="VM66" s="160"/>
      <c r="VN66" s="160"/>
      <c r="VO66" s="160"/>
      <c r="VP66" s="160"/>
      <c r="VQ66" s="160"/>
      <c r="VR66" s="160"/>
      <c r="VS66" s="160"/>
      <c r="VT66" s="160"/>
      <c r="VU66" s="160"/>
      <c r="VV66" s="160"/>
      <c r="VW66" s="160"/>
      <c r="VX66" s="160"/>
      <c r="VY66" s="160"/>
      <c r="VZ66" s="160"/>
      <c r="WA66" s="160"/>
      <c r="WB66" s="160"/>
      <c r="WC66" s="160"/>
      <c r="WD66" s="160"/>
      <c r="WE66" s="160"/>
      <c r="WF66" s="160"/>
      <c r="WG66" s="160"/>
      <c r="WH66" s="160"/>
      <c r="WI66" s="160"/>
      <c r="WJ66" s="160"/>
      <c r="WK66" s="160"/>
      <c r="WL66" s="160"/>
      <c r="WM66" s="160"/>
      <c r="WN66" s="160"/>
      <c r="WO66" s="160"/>
      <c r="WP66" s="160"/>
      <c r="WQ66" s="160"/>
      <c r="WR66" s="160"/>
      <c r="WS66" s="160"/>
      <c r="WT66" s="160"/>
      <c r="WU66" s="160"/>
      <c r="WV66" s="160"/>
      <c r="WW66" s="160"/>
      <c r="WX66" s="160"/>
      <c r="WY66" s="160"/>
      <c r="WZ66" s="160"/>
      <c r="XA66" s="160"/>
      <c r="XB66" s="160"/>
      <c r="XC66" s="160"/>
      <c r="XD66" s="160"/>
      <c r="XE66" s="160"/>
      <c r="XF66" s="160"/>
      <c r="XG66" s="160"/>
      <c r="XH66" s="160"/>
      <c r="XI66" s="160"/>
      <c r="XJ66" s="160"/>
      <c r="XK66" s="160"/>
      <c r="XL66" s="160"/>
      <c r="XM66" s="160"/>
      <c r="XN66" s="160"/>
      <c r="XO66" s="160"/>
      <c r="XP66" s="160"/>
      <c r="XQ66" s="160"/>
      <c r="XR66" s="160"/>
      <c r="XS66" s="160"/>
      <c r="XT66" s="160"/>
      <c r="XU66" s="160"/>
      <c r="XV66" s="160"/>
      <c r="XW66" s="160"/>
      <c r="XX66" s="160"/>
      <c r="XY66" s="160"/>
      <c r="XZ66" s="160"/>
      <c r="YA66" s="160"/>
      <c r="YB66" s="160"/>
      <c r="YC66" s="160"/>
      <c r="YD66" s="160"/>
      <c r="YE66" s="160"/>
      <c r="YF66" s="160"/>
      <c r="YG66" s="160"/>
      <c r="YH66" s="160"/>
      <c r="YI66" s="160"/>
      <c r="YJ66" s="160"/>
      <c r="YK66" s="160"/>
      <c r="YL66" s="160"/>
      <c r="YM66" s="160"/>
      <c r="YN66" s="160"/>
      <c r="YO66" s="160"/>
      <c r="YP66" s="160"/>
      <c r="YQ66" s="160"/>
      <c r="YR66" s="160"/>
      <c r="YS66" s="160"/>
      <c r="YT66" s="160"/>
      <c r="YU66" s="160"/>
      <c r="YV66" s="160"/>
      <c r="YW66" s="160"/>
      <c r="YX66" s="160"/>
      <c r="YY66" s="160"/>
      <c r="YZ66" s="160"/>
      <c r="ZA66" s="160"/>
      <c r="ZB66" s="160"/>
      <c r="ZC66" s="160"/>
      <c r="ZD66" s="160"/>
      <c r="ZE66" s="160"/>
      <c r="ZF66" s="160"/>
      <c r="ZG66" s="160"/>
      <c r="ZH66" s="160"/>
      <c r="ZI66" s="160"/>
      <c r="ZJ66" s="160"/>
      <c r="ZK66" s="160"/>
      <c r="ZL66" s="160"/>
      <c r="ZM66" s="160"/>
      <c r="ZN66" s="160"/>
      <c r="ZO66" s="160"/>
      <c r="ZP66" s="160"/>
      <c r="ZQ66" s="160"/>
      <c r="ZR66" s="160"/>
      <c r="ZS66" s="160"/>
      <c r="ZT66" s="160"/>
      <c r="ZU66" s="160"/>
      <c r="ZV66" s="160"/>
      <c r="ZW66" s="160"/>
      <c r="ZX66" s="160"/>
      <c r="ZY66" s="160"/>
      <c r="ZZ66" s="160"/>
      <c r="AAA66" s="160"/>
      <c r="AAB66" s="160"/>
      <c r="AAC66" s="160"/>
      <c r="AAD66" s="160"/>
      <c r="AAE66" s="160"/>
      <c r="AAF66" s="160"/>
      <c r="AAG66" s="160"/>
      <c r="AAH66" s="160"/>
      <c r="AAI66" s="160"/>
      <c r="AAJ66" s="160"/>
      <c r="AAK66" s="160"/>
      <c r="AAL66" s="160"/>
      <c r="AAM66" s="160"/>
      <c r="AAN66" s="160"/>
      <c r="AAO66" s="160"/>
      <c r="AAP66" s="160"/>
      <c r="AAQ66" s="160"/>
      <c r="AAR66" s="160"/>
      <c r="AAS66" s="160"/>
      <c r="AAT66" s="160"/>
      <c r="AAU66" s="160"/>
      <c r="AAV66" s="160"/>
      <c r="AAW66" s="160"/>
      <c r="AAX66" s="160"/>
      <c r="AAY66" s="160"/>
      <c r="AAZ66" s="160"/>
      <c r="ABA66" s="160"/>
      <c r="ABB66" s="160"/>
      <c r="ABC66" s="160"/>
      <c r="ABD66" s="160"/>
      <c r="ABE66" s="160"/>
      <c r="ABF66" s="160"/>
      <c r="ABG66" s="160"/>
      <c r="ABH66" s="160"/>
      <c r="ABI66" s="160"/>
      <c r="ABJ66" s="160"/>
      <c r="ABK66" s="160"/>
      <c r="ABL66" s="160"/>
      <c r="ABM66" s="160"/>
      <c r="ABN66" s="160"/>
      <c r="ABO66" s="160"/>
      <c r="ABP66" s="160"/>
      <c r="ABQ66" s="160"/>
      <c r="ABR66" s="160"/>
      <c r="ABS66" s="160"/>
      <c r="ABT66" s="160"/>
      <c r="ABU66" s="160"/>
      <c r="ABV66" s="160"/>
      <c r="ABW66" s="160"/>
      <c r="ABX66" s="160"/>
      <c r="ABY66" s="160"/>
      <c r="ABZ66" s="160"/>
      <c r="ACA66" s="160"/>
      <c r="ACB66" s="160"/>
      <c r="ACC66" s="160"/>
      <c r="ACD66" s="160"/>
      <c r="ACE66" s="160"/>
      <c r="ACF66" s="160"/>
      <c r="ACG66" s="160"/>
      <c r="ACH66" s="160"/>
      <c r="ACI66" s="160"/>
      <c r="ACJ66" s="160"/>
      <c r="ACK66" s="160"/>
      <c r="ACL66" s="160"/>
      <c r="ACM66" s="160"/>
      <c r="ACN66" s="160"/>
      <c r="ACO66" s="160"/>
      <c r="ACP66" s="160"/>
      <c r="ACQ66" s="160"/>
      <c r="ACR66" s="160"/>
      <c r="ACS66" s="160"/>
      <c r="ACT66" s="160"/>
      <c r="ACU66" s="160"/>
      <c r="ACV66" s="160"/>
      <c r="ACW66" s="160"/>
      <c r="ACX66" s="160"/>
      <c r="ACY66" s="160"/>
      <c r="ACZ66" s="160"/>
      <c r="ADA66" s="160"/>
      <c r="ADB66" s="160"/>
      <c r="ADC66" s="160"/>
      <c r="ADD66" s="160"/>
      <c r="ADE66" s="160"/>
      <c r="ADF66" s="160"/>
      <c r="ADG66" s="160"/>
      <c r="ADH66" s="160"/>
      <c r="ADI66" s="160"/>
      <c r="ADJ66" s="160"/>
      <c r="ADK66" s="160"/>
      <c r="ADL66" s="160"/>
      <c r="ADM66" s="160"/>
      <c r="ADN66" s="160"/>
      <c r="ADO66" s="160"/>
      <c r="ADP66" s="160"/>
      <c r="ADQ66" s="160"/>
      <c r="ADR66" s="160"/>
      <c r="ADS66" s="160"/>
      <c r="ADT66" s="160"/>
      <c r="ADU66" s="160"/>
      <c r="ADV66" s="160"/>
      <c r="ADW66" s="160"/>
      <c r="ADX66" s="160"/>
      <c r="ADY66" s="160"/>
      <c r="ADZ66" s="160"/>
      <c r="AEA66" s="160"/>
      <c r="AEB66" s="160"/>
      <c r="AEC66" s="160"/>
      <c r="AED66" s="160"/>
      <c r="AEE66" s="160"/>
      <c r="AEF66" s="160"/>
      <c r="AEG66" s="160"/>
      <c r="AEH66" s="160"/>
      <c r="AEI66" s="160"/>
      <c r="AEJ66" s="160"/>
      <c r="AEK66" s="160"/>
      <c r="AEL66" s="160"/>
      <c r="AEM66" s="160"/>
      <c r="AEN66" s="160"/>
      <c r="AEO66" s="160"/>
      <c r="AEP66" s="160"/>
      <c r="AEQ66" s="160"/>
      <c r="AER66" s="160"/>
      <c r="AES66" s="160"/>
      <c r="AET66" s="160"/>
      <c r="AEU66" s="160"/>
      <c r="AEV66" s="160"/>
      <c r="AEW66" s="160"/>
      <c r="AEX66" s="160"/>
      <c r="AEY66" s="160"/>
      <c r="AEZ66" s="160"/>
      <c r="AFA66" s="160"/>
      <c r="AFB66" s="160"/>
      <c r="AFC66" s="160"/>
      <c r="AFD66" s="160"/>
      <c r="AFE66" s="160"/>
      <c r="AFF66" s="160"/>
      <c r="AFG66" s="160"/>
      <c r="AFH66" s="160"/>
      <c r="AFI66" s="160"/>
      <c r="AFJ66" s="160"/>
      <c r="AFK66" s="160"/>
      <c r="AFL66" s="160"/>
      <c r="AFM66" s="160"/>
      <c r="AFN66" s="160"/>
      <c r="AFO66" s="160"/>
      <c r="AFP66" s="160"/>
      <c r="AFQ66" s="160"/>
      <c r="AFR66" s="160"/>
      <c r="AFS66" s="160"/>
      <c r="AFT66" s="160"/>
      <c r="AFU66" s="160"/>
      <c r="AFV66" s="160"/>
      <c r="AFW66" s="160"/>
      <c r="AFX66" s="160"/>
      <c r="AFY66" s="160"/>
      <c r="AFZ66" s="160"/>
      <c r="AGA66" s="160"/>
      <c r="AGB66" s="160"/>
      <c r="AGC66" s="160"/>
      <c r="AGD66" s="160"/>
      <c r="AGE66" s="160"/>
      <c r="AGF66" s="160"/>
      <c r="AGG66" s="160"/>
      <c r="AGH66" s="160"/>
      <c r="AGI66" s="160"/>
      <c r="AGJ66" s="160"/>
      <c r="AGK66" s="160"/>
      <c r="AGL66" s="160"/>
      <c r="AGM66" s="160"/>
      <c r="AGN66" s="160"/>
      <c r="AGO66" s="160"/>
      <c r="AGP66" s="160"/>
      <c r="AGQ66" s="160"/>
      <c r="AGR66" s="160"/>
      <c r="AGS66" s="160"/>
      <c r="AGT66" s="160"/>
      <c r="AGU66" s="160"/>
      <c r="AGV66" s="160"/>
      <c r="AGW66" s="160"/>
      <c r="AGX66" s="160"/>
      <c r="AGY66" s="160"/>
      <c r="AGZ66" s="160"/>
      <c r="AHA66" s="160"/>
      <c r="AHB66" s="160"/>
      <c r="AHC66" s="160"/>
      <c r="AHD66" s="160"/>
      <c r="AHE66" s="160"/>
      <c r="AHF66" s="160"/>
      <c r="AHG66" s="160"/>
      <c r="AHH66" s="160"/>
      <c r="AHI66" s="160"/>
      <c r="AHJ66" s="160"/>
      <c r="AHK66" s="160"/>
      <c r="AHL66" s="160"/>
      <c r="AHM66" s="160"/>
      <c r="AHN66" s="160"/>
      <c r="AHO66" s="160"/>
      <c r="AHP66" s="160"/>
      <c r="AHQ66" s="160"/>
      <c r="AHR66" s="160"/>
      <c r="AHS66" s="160"/>
      <c r="AHT66" s="160"/>
      <c r="AHU66" s="160"/>
      <c r="AHV66" s="160"/>
      <c r="AHW66" s="160"/>
      <c r="AHX66" s="160"/>
      <c r="AHY66" s="160"/>
      <c r="AHZ66" s="160"/>
      <c r="AIA66" s="160"/>
      <c r="AIB66" s="160"/>
      <c r="AIC66" s="160"/>
      <c r="AID66" s="160"/>
      <c r="AIE66" s="160"/>
      <c r="AIF66" s="160"/>
      <c r="AIG66" s="160"/>
      <c r="AIH66" s="160"/>
      <c r="AII66" s="160"/>
      <c r="AIJ66" s="160"/>
      <c r="AIK66" s="160"/>
      <c r="AIL66" s="160"/>
      <c r="AIM66" s="160"/>
      <c r="AIN66" s="160"/>
      <c r="AIO66" s="160"/>
      <c r="AIP66" s="160"/>
      <c r="AIQ66" s="160"/>
      <c r="AIR66" s="160"/>
      <c r="AIS66" s="160"/>
      <c r="AIT66" s="160"/>
      <c r="AIU66" s="160"/>
      <c r="AIV66" s="160"/>
      <c r="AIW66" s="160"/>
      <c r="AIX66" s="160"/>
      <c r="AIY66" s="160"/>
      <c r="AIZ66" s="160"/>
      <c r="AJA66" s="160"/>
      <c r="AJB66" s="160"/>
      <c r="AJC66" s="160"/>
      <c r="AJD66" s="160"/>
      <c r="AJE66" s="160"/>
      <c r="AJF66" s="160"/>
      <c r="AJG66" s="160"/>
      <c r="AJH66" s="160"/>
      <c r="AJI66" s="160"/>
      <c r="AJJ66" s="160"/>
      <c r="AJK66" s="160"/>
      <c r="AJL66" s="160"/>
      <c r="AJM66" s="160"/>
      <c r="AJN66" s="160"/>
      <c r="AJO66" s="160"/>
      <c r="AJP66" s="160"/>
      <c r="AJQ66" s="160"/>
      <c r="AJR66" s="160"/>
      <c r="AJS66" s="160"/>
      <c r="AJT66" s="160"/>
      <c r="AJU66" s="160"/>
      <c r="AJV66" s="160"/>
      <c r="AJW66" s="160"/>
      <c r="AJX66" s="160"/>
      <c r="AJY66" s="160"/>
      <c r="AJZ66" s="160"/>
      <c r="AKA66" s="160"/>
      <c r="AKB66" s="160"/>
      <c r="AKC66" s="160"/>
      <c r="AKD66" s="160"/>
      <c r="AKE66" s="160"/>
      <c r="AKF66" s="160"/>
      <c r="AKG66" s="160"/>
      <c r="AKH66" s="160"/>
      <c r="AKI66" s="160"/>
      <c r="AKJ66" s="160"/>
      <c r="AKK66" s="160"/>
      <c r="AKL66" s="160"/>
      <c r="AKM66" s="160"/>
      <c r="AKN66" s="160"/>
      <c r="AKO66" s="160"/>
      <c r="AKP66" s="160"/>
      <c r="AKQ66" s="160"/>
      <c r="AKR66" s="160"/>
      <c r="AKS66" s="160"/>
      <c r="AKT66" s="160"/>
      <c r="AKU66" s="160"/>
      <c r="AKV66" s="160"/>
      <c r="AKW66" s="160"/>
      <c r="AKX66" s="160"/>
      <c r="AKY66" s="160"/>
      <c r="AKZ66" s="160"/>
      <c r="ALA66" s="160"/>
      <c r="ALB66" s="160"/>
      <c r="ALC66" s="160"/>
      <c r="ALD66" s="160"/>
      <c r="ALE66" s="160"/>
      <c r="ALF66" s="160"/>
      <c r="ALG66" s="160"/>
      <c r="ALH66" s="160"/>
      <c r="ALI66" s="160"/>
      <c r="ALJ66" s="160"/>
      <c r="ALK66" s="160"/>
      <c r="ALL66" s="160"/>
      <c r="ALM66" s="160"/>
      <c r="ALN66" s="160"/>
      <c r="ALO66" s="160"/>
      <c r="ALP66" s="160"/>
      <c r="ALQ66" s="160"/>
      <c r="ALR66" s="160"/>
      <c r="ALS66" s="160"/>
      <c r="ALT66" s="160"/>
      <c r="ALU66" s="160"/>
      <c r="ALV66" s="160"/>
      <c r="ALW66" s="160"/>
      <c r="ALX66" s="160"/>
      <c r="ALY66" s="160"/>
      <c r="ALZ66" s="160"/>
      <c r="AMA66" s="160"/>
      <c r="AMB66" s="160"/>
      <c r="AMC66" s="160"/>
      <c r="AMD66" s="160"/>
      <c r="AME66" s="158"/>
    </row>
    <row r="67" spans="1:1019" s="172" customFormat="1">
      <c r="A67" s="168">
        <f t="shared" si="2"/>
        <v>60</v>
      </c>
      <c r="B67" s="175">
        <v>1457</v>
      </c>
      <c r="C67" s="168" t="s">
        <v>422</v>
      </c>
      <c r="D67" s="169">
        <f>'הנדסה '!D30</f>
        <v>1100000</v>
      </c>
      <c r="E67" s="169">
        <f>'הנדסה '!E30</f>
        <v>1100000</v>
      </c>
      <c r="F67" s="169">
        <f>'הנדסה '!F30</f>
        <v>0</v>
      </c>
      <c r="G67" s="169">
        <f>'הנדסה '!G30</f>
        <v>430000</v>
      </c>
      <c r="H67" s="169">
        <f>'הנדסה '!H30</f>
        <v>145716.09</v>
      </c>
      <c r="I67" s="169">
        <f>'הנדסה '!I30</f>
        <v>0</v>
      </c>
      <c r="J67" s="169">
        <f>'הנדסה '!J30</f>
        <v>19485.759999999998</v>
      </c>
      <c r="K67" s="169">
        <f>'הנדסה '!K30</f>
        <v>19485.759999999998</v>
      </c>
      <c r="L67" s="169">
        <f>'הנדסה '!L30</f>
        <v>165201.85</v>
      </c>
      <c r="M67" s="169">
        <f>'הנדסה '!M30</f>
        <v>264798.15000000002</v>
      </c>
      <c r="N67" s="169">
        <f>'הנדסה '!N30</f>
        <v>500000</v>
      </c>
      <c r="O67" s="169">
        <f>'הנדסה '!O30</f>
        <v>170000</v>
      </c>
      <c r="P67" s="169">
        <f>'הנדסה '!P30</f>
        <v>264798.15000000002</v>
      </c>
      <c r="Q67" s="169">
        <f>'הנדסה '!Q30</f>
        <v>0</v>
      </c>
      <c r="R67" s="169">
        <f>'הנדסה '!R30</f>
        <v>0</v>
      </c>
      <c r="S67" s="169">
        <f>'הנדסה '!S30</f>
        <v>0</v>
      </c>
      <c r="T67" s="169">
        <f>'הנדסה '!T30</f>
        <v>0</v>
      </c>
      <c r="U67" s="169">
        <f>'הנדסה '!U30</f>
        <v>500000</v>
      </c>
      <c r="V67" s="169">
        <f>'הנדסה '!V30</f>
        <v>500000</v>
      </c>
      <c r="W67" s="169">
        <f>'הנדסה '!W30</f>
        <v>0</v>
      </c>
      <c r="X67" s="169">
        <f>'הנדסה '!X30</f>
        <v>0</v>
      </c>
      <c r="Y67" s="169">
        <f>'הנדסה '!Y30</f>
        <v>0</v>
      </c>
      <c r="Z67" s="169">
        <f>'הנדסה '!Z30</f>
        <v>0</v>
      </c>
      <c r="AA67" s="659">
        <f>'הנדסה '!AA30</f>
        <v>742000</v>
      </c>
      <c r="AB67" s="157"/>
      <c r="AC67" s="157"/>
      <c r="AD67" s="157"/>
      <c r="AE67" s="157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/>
      <c r="EH67" s="174"/>
      <c r="EI67" s="174"/>
      <c r="EJ67" s="174"/>
      <c r="EK67" s="174"/>
      <c r="EL67" s="174"/>
      <c r="EM67" s="174"/>
      <c r="EN67" s="174"/>
      <c r="EO67" s="174"/>
      <c r="EP67" s="174"/>
      <c r="EQ67" s="174"/>
      <c r="ER67" s="174"/>
      <c r="ES67" s="174"/>
      <c r="ET67" s="174"/>
      <c r="EU67" s="174"/>
      <c r="EV67" s="174"/>
      <c r="EW67" s="174"/>
      <c r="EX67" s="174"/>
      <c r="EY67" s="174"/>
      <c r="EZ67" s="174"/>
      <c r="FA67" s="174"/>
      <c r="FB67" s="174"/>
      <c r="FC67" s="174"/>
      <c r="FD67" s="174"/>
      <c r="FE67" s="174"/>
      <c r="FF67" s="174"/>
      <c r="FG67" s="174"/>
      <c r="FH67" s="174"/>
      <c r="FI67" s="174"/>
      <c r="FJ67" s="174"/>
      <c r="FK67" s="174"/>
      <c r="FL67" s="174"/>
      <c r="FM67" s="174"/>
      <c r="FN67" s="174"/>
      <c r="FO67" s="174"/>
      <c r="FP67" s="174"/>
      <c r="FQ67" s="174"/>
      <c r="FR67" s="174"/>
      <c r="FS67" s="174"/>
      <c r="FT67" s="174"/>
      <c r="FU67" s="174"/>
      <c r="FV67" s="174"/>
      <c r="FW67" s="174"/>
      <c r="FX67" s="174"/>
      <c r="FY67" s="174"/>
      <c r="FZ67" s="174"/>
      <c r="GA67" s="174"/>
      <c r="GB67" s="174"/>
      <c r="GC67" s="174"/>
      <c r="GD67" s="174"/>
      <c r="GE67" s="174"/>
      <c r="GF67" s="174"/>
      <c r="GG67" s="174"/>
      <c r="GH67" s="174"/>
      <c r="GI67" s="174"/>
      <c r="GJ67" s="174"/>
      <c r="GK67" s="174"/>
      <c r="GL67" s="174"/>
      <c r="GM67" s="174"/>
      <c r="GN67" s="174"/>
      <c r="GO67" s="174"/>
      <c r="GP67" s="174"/>
      <c r="GQ67" s="174"/>
      <c r="GR67" s="174"/>
      <c r="GS67" s="174"/>
      <c r="GT67" s="174"/>
      <c r="GU67" s="174"/>
      <c r="GV67" s="174"/>
      <c r="GW67" s="174"/>
      <c r="GX67" s="174"/>
      <c r="GY67" s="174"/>
      <c r="GZ67" s="174"/>
      <c r="HA67" s="174"/>
      <c r="HB67" s="174"/>
      <c r="HC67" s="174"/>
      <c r="HD67" s="174"/>
      <c r="HE67" s="174"/>
      <c r="HF67" s="174"/>
      <c r="HG67" s="174"/>
      <c r="HH67" s="174"/>
      <c r="HI67" s="174"/>
      <c r="HJ67" s="174"/>
      <c r="HK67" s="174"/>
      <c r="HL67" s="174"/>
      <c r="HM67" s="174"/>
      <c r="HN67" s="174"/>
      <c r="HO67" s="174"/>
      <c r="HP67" s="174"/>
      <c r="HQ67" s="174"/>
      <c r="HR67" s="174"/>
      <c r="HS67" s="174"/>
      <c r="HT67" s="174"/>
      <c r="HU67" s="174"/>
      <c r="HV67" s="174"/>
      <c r="HW67" s="174"/>
      <c r="HX67" s="174"/>
      <c r="HY67" s="174"/>
      <c r="HZ67" s="174"/>
      <c r="IA67" s="174"/>
      <c r="IB67" s="174"/>
      <c r="IC67" s="174"/>
      <c r="ID67" s="174"/>
      <c r="IE67" s="174"/>
      <c r="IF67" s="174"/>
      <c r="IG67" s="174"/>
      <c r="IH67" s="174"/>
      <c r="II67" s="174"/>
      <c r="IJ67" s="174"/>
      <c r="IK67" s="174"/>
      <c r="IL67" s="174"/>
      <c r="IM67" s="174"/>
      <c r="IN67" s="174"/>
      <c r="IO67" s="174"/>
      <c r="IP67" s="174"/>
      <c r="IQ67" s="174"/>
      <c r="IR67" s="174"/>
      <c r="IS67" s="174"/>
      <c r="IT67" s="174"/>
      <c r="IU67" s="174"/>
      <c r="IV67" s="174"/>
      <c r="IW67" s="174"/>
      <c r="IX67" s="174"/>
      <c r="IY67" s="174"/>
      <c r="IZ67" s="174"/>
      <c r="JA67" s="174"/>
      <c r="JB67" s="174"/>
      <c r="JC67" s="174"/>
      <c r="JD67" s="174"/>
      <c r="JE67" s="174"/>
      <c r="JF67" s="174"/>
      <c r="JG67" s="174"/>
      <c r="JH67" s="174"/>
      <c r="JI67" s="174"/>
      <c r="JJ67" s="174"/>
      <c r="JK67" s="174"/>
      <c r="JL67" s="174"/>
      <c r="JM67" s="174"/>
      <c r="JN67" s="174"/>
      <c r="JO67" s="174"/>
      <c r="JP67" s="174"/>
      <c r="JQ67" s="174"/>
      <c r="JR67" s="174"/>
      <c r="JS67" s="174"/>
      <c r="JT67" s="174"/>
      <c r="JU67" s="174"/>
      <c r="JV67" s="174"/>
      <c r="JW67" s="174"/>
      <c r="JX67" s="174"/>
      <c r="JY67" s="174"/>
      <c r="JZ67" s="174"/>
      <c r="KA67" s="174"/>
      <c r="KB67" s="174"/>
      <c r="KC67" s="174"/>
      <c r="KD67" s="174"/>
      <c r="KE67" s="174"/>
      <c r="KF67" s="174"/>
      <c r="KG67" s="174"/>
      <c r="KH67" s="174"/>
      <c r="KI67" s="174"/>
      <c r="KJ67" s="174"/>
      <c r="KK67" s="174"/>
      <c r="KL67" s="174"/>
      <c r="KM67" s="174"/>
      <c r="KN67" s="174"/>
      <c r="KO67" s="174"/>
      <c r="KP67" s="174"/>
      <c r="KQ67" s="174"/>
      <c r="KR67" s="174"/>
      <c r="KS67" s="174"/>
      <c r="KT67" s="174"/>
      <c r="KU67" s="174"/>
      <c r="KV67" s="174"/>
      <c r="KW67" s="174"/>
      <c r="KX67" s="174"/>
      <c r="KY67" s="174"/>
      <c r="KZ67" s="174"/>
      <c r="LA67" s="174"/>
      <c r="LB67" s="174"/>
      <c r="LC67" s="174"/>
      <c r="LD67" s="174"/>
      <c r="LE67" s="174"/>
      <c r="LF67" s="174"/>
      <c r="LG67" s="174"/>
      <c r="LH67" s="174"/>
      <c r="LI67" s="174"/>
      <c r="LJ67" s="174"/>
      <c r="LK67" s="174"/>
      <c r="LL67" s="174"/>
      <c r="LM67" s="174"/>
      <c r="LN67" s="174"/>
      <c r="LO67" s="174"/>
      <c r="LP67" s="174"/>
      <c r="LQ67" s="174"/>
      <c r="LR67" s="174"/>
      <c r="LS67" s="174"/>
      <c r="LT67" s="174"/>
      <c r="LU67" s="174"/>
      <c r="LV67" s="174"/>
      <c r="LW67" s="174"/>
      <c r="LX67" s="174"/>
      <c r="LY67" s="174"/>
      <c r="LZ67" s="174"/>
      <c r="MA67" s="174"/>
      <c r="MB67" s="174"/>
      <c r="MC67" s="174"/>
      <c r="MD67" s="174"/>
      <c r="ME67" s="174"/>
      <c r="MF67" s="174"/>
      <c r="MG67" s="174"/>
      <c r="MH67" s="174"/>
      <c r="MI67" s="174"/>
      <c r="MJ67" s="174"/>
      <c r="MK67" s="174"/>
      <c r="ML67" s="174"/>
      <c r="MM67" s="174"/>
      <c r="MN67" s="174"/>
      <c r="MO67" s="174"/>
      <c r="MP67" s="174"/>
      <c r="MQ67" s="174"/>
      <c r="MR67" s="174"/>
      <c r="MS67" s="174"/>
      <c r="MT67" s="174"/>
      <c r="MU67" s="174"/>
      <c r="MV67" s="174"/>
      <c r="MW67" s="174"/>
      <c r="MX67" s="174"/>
      <c r="MY67" s="174"/>
      <c r="MZ67" s="174"/>
      <c r="NA67" s="174"/>
      <c r="NB67" s="174"/>
      <c r="NC67" s="174"/>
      <c r="ND67" s="174"/>
      <c r="NE67" s="174"/>
      <c r="NF67" s="174"/>
      <c r="NG67" s="174"/>
      <c r="NH67" s="174"/>
      <c r="NI67" s="174"/>
      <c r="NJ67" s="174"/>
      <c r="NK67" s="174"/>
      <c r="NL67" s="174"/>
      <c r="NM67" s="174"/>
      <c r="NN67" s="174"/>
      <c r="NO67" s="174"/>
      <c r="NP67" s="174"/>
      <c r="NQ67" s="174"/>
      <c r="NR67" s="174"/>
      <c r="NS67" s="174"/>
      <c r="NT67" s="174"/>
      <c r="NU67" s="174"/>
      <c r="NV67" s="174"/>
      <c r="NW67" s="174"/>
      <c r="NX67" s="174"/>
      <c r="NY67" s="174"/>
      <c r="NZ67" s="174"/>
      <c r="OA67" s="174"/>
      <c r="OB67" s="174"/>
      <c r="OC67" s="174"/>
      <c r="OD67" s="174"/>
      <c r="OE67" s="174"/>
      <c r="OF67" s="174"/>
      <c r="OG67" s="174"/>
      <c r="OH67" s="174"/>
      <c r="OI67" s="174"/>
      <c r="OJ67" s="174"/>
      <c r="OK67" s="174"/>
      <c r="OL67" s="174"/>
      <c r="OM67" s="174"/>
      <c r="ON67" s="174"/>
      <c r="OO67" s="174"/>
      <c r="OP67" s="174"/>
      <c r="OQ67" s="174"/>
      <c r="OR67" s="174"/>
      <c r="OS67" s="174"/>
      <c r="OT67" s="174"/>
      <c r="OU67" s="174"/>
      <c r="OV67" s="174"/>
      <c r="OW67" s="174"/>
      <c r="OX67" s="174"/>
      <c r="OY67" s="174"/>
      <c r="OZ67" s="174"/>
      <c r="PA67" s="174"/>
      <c r="PB67" s="174"/>
      <c r="PC67" s="174"/>
      <c r="PD67" s="174"/>
      <c r="PE67" s="174"/>
      <c r="PF67" s="174"/>
      <c r="PG67" s="174"/>
      <c r="PH67" s="174"/>
      <c r="PI67" s="174"/>
      <c r="PJ67" s="174"/>
      <c r="PK67" s="174"/>
      <c r="PL67" s="174"/>
      <c r="PM67" s="174"/>
      <c r="PN67" s="174"/>
      <c r="PO67" s="174"/>
      <c r="PP67" s="174"/>
      <c r="PQ67" s="174"/>
      <c r="PR67" s="174"/>
      <c r="PS67" s="174"/>
      <c r="PT67" s="174"/>
      <c r="PU67" s="174"/>
      <c r="PV67" s="174"/>
      <c r="PW67" s="174"/>
      <c r="PX67" s="174"/>
      <c r="PY67" s="174"/>
      <c r="PZ67" s="174"/>
      <c r="QA67" s="174"/>
      <c r="QB67" s="174"/>
      <c r="QC67" s="174"/>
      <c r="QD67" s="174"/>
      <c r="QE67" s="174"/>
      <c r="QF67" s="174"/>
      <c r="QG67" s="174"/>
      <c r="QH67" s="174"/>
      <c r="QI67" s="174"/>
      <c r="QJ67" s="174"/>
      <c r="QK67" s="174"/>
      <c r="QL67" s="174"/>
      <c r="QM67" s="174"/>
      <c r="QN67" s="174"/>
      <c r="QO67" s="174"/>
      <c r="QP67" s="174"/>
      <c r="QQ67" s="174"/>
      <c r="QR67" s="174"/>
      <c r="QS67" s="174"/>
      <c r="QT67" s="174"/>
      <c r="QU67" s="174"/>
      <c r="QV67" s="174"/>
      <c r="QW67" s="174"/>
      <c r="QX67" s="174"/>
      <c r="QY67" s="174"/>
      <c r="QZ67" s="174"/>
      <c r="RA67" s="174"/>
      <c r="RB67" s="174"/>
      <c r="RC67" s="174"/>
      <c r="RD67" s="174"/>
      <c r="RE67" s="174"/>
      <c r="RF67" s="174"/>
      <c r="RG67" s="174"/>
      <c r="RH67" s="174"/>
      <c r="RI67" s="174"/>
      <c r="RJ67" s="174"/>
      <c r="RK67" s="174"/>
      <c r="RL67" s="174"/>
      <c r="RM67" s="174"/>
      <c r="RN67" s="174"/>
      <c r="RO67" s="174"/>
      <c r="RP67" s="174"/>
      <c r="RQ67" s="174"/>
      <c r="RR67" s="174"/>
      <c r="RS67" s="174"/>
      <c r="RT67" s="174"/>
      <c r="RU67" s="174"/>
      <c r="RV67" s="174"/>
      <c r="RW67" s="174"/>
      <c r="RX67" s="174"/>
      <c r="RY67" s="174"/>
      <c r="RZ67" s="174"/>
      <c r="SA67" s="174"/>
      <c r="SB67" s="174"/>
      <c r="SC67" s="174"/>
      <c r="SD67" s="174"/>
      <c r="SE67" s="174"/>
      <c r="SF67" s="174"/>
      <c r="SG67" s="174"/>
      <c r="SH67" s="174"/>
      <c r="SI67" s="174"/>
      <c r="SJ67" s="174"/>
      <c r="SK67" s="174"/>
      <c r="SL67" s="174"/>
      <c r="SM67" s="174"/>
      <c r="SN67" s="174"/>
      <c r="SO67" s="174"/>
      <c r="SP67" s="174"/>
      <c r="SQ67" s="174"/>
      <c r="SR67" s="174"/>
      <c r="SS67" s="174"/>
      <c r="ST67" s="174"/>
      <c r="SU67" s="174"/>
      <c r="SV67" s="174"/>
      <c r="SW67" s="174"/>
      <c r="SX67" s="174"/>
      <c r="SY67" s="174"/>
      <c r="SZ67" s="174"/>
      <c r="TA67" s="174"/>
      <c r="TB67" s="174"/>
      <c r="TC67" s="174"/>
      <c r="TD67" s="174"/>
      <c r="TE67" s="174"/>
      <c r="TF67" s="174"/>
      <c r="TG67" s="174"/>
      <c r="TH67" s="174"/>
      <c r="TI67" s="174"/>
      <c r="TJ67" s="174"/>
      <c r="TK67" s="174"/>
      <c r="TL67" s="174"/>
      <c r="TM67" s="174"/>
      <c r="TN67" s="174"/>
      <c r="TO67" s="174"/>
      <c r="TP67" s="174"/>
      <c r="TQ67" s="174"/>
      <c r="TR67" s="174"/>
      <c r="TS67" s="174"/>
      <c r="TT67" s="174"/>
      <c r="TU67" s="174"/>
      <c r="TV67" s="174"/>
      <c r="TW67" s="174"/>
      <c r="TX67" s="174"/>
      <c r="TY67" s="174"/>
      <c r="TZ67" s="174"/>
      <c r="UA67" s="174"/>
      <c r="UB67" s="174"/>
      <c r="UC67" s="174"/>
      <c r="UD67" s="174"/>
      <c r="UE67" s="174"/>
      <c r="UF67" s="174"/>
      <c r="UG67" s="174"/>
      <c r="UH67" s="174"/>
      <c r="UI67" s="174"/>
      <c r="UJ67" s="174"/>
      <c r="UK67" s="174"/>
      <c r="UL67" s="174"/>
      <c r="UM67" s="174"/>
      <c r="UN67" s="174"/>
      <c r="UO67" s="174"/>
      <c r="UP67" s="174"/>
      <c r="UQ67" s="174"/>
      <c r="UR67" s="174"/>
      <c r="US67" s="174"/>
      <c r="UT67" s="174"/>
      <c r="UU67" s="174"/>
      <c r="UV67" s="174"/>
      <c r="UW67" s="174"/>
      <c r="UX67" s="174"/>
      <c r="UY67" s="174"/>
      <c r="UZ67" s="174"/>
      <c r="VA67" s="174"/>
      <c r="VB67" s="174"/>
      <c r="VC67" s="174"/>
      <c r="VD67" s="174"/>
      <c r="VE67" s="174"/>
      <c r="VF67" s="174"/>
      <c r="VG67" s="174"/>
      <c r="VH67" s="174"/>
      <c r="VI67" s="174"/>
      <c r="VJ67" s="174"/>
      <c r="VK67" s="174"/>
      <c r="VL67" s="174"/>
      <c r="VM67" s="174"/>
      <c r="VN67" s="174"/>
      <c r="VO67" s="174"/>
      <c r="VP67" s="174"/>
      <c r="VQ67" s="174"/>
      <c r="VR67" s="174"/>
      <c r="VS67" s="174"/>
      <c r="VT67" s="174"/>
      <c r="VU67" s="174"/>
      <c r="VV67" s="174"/>
      <c r="VW67" s="174"/>
      <c r="VX67" s="174"/>
      <c r="VY67" s="174"/>
      <c r="VZ67" s="174"/>
      <c r="WA67" s="174"/>
      <c r="WB67" s="174"/>
      <c r="WC67" s="174"/>
      <c r="WD67" s="174"/>
      <c r="WE67" s="174"/>
      <c r="WF67" s="174"/>
      <c r="WG67" s="174"/>
      <c r="WH67" s="174"/>
      <c r="WI67" s="174"/>
      <c r="WJ67" s="174"/>
      <c r="WK67" s="174"/>
      <c r="WL67" s="174"/>
      <c r="WM67" s="174"/>
      <c r="WN67" s="174"/>
      <c r="WO67" s="174"/>
      <c r="WP67" s="174"/>
      <c r="WQ67" s="174"/>
      <c r="WR67" s="174"/>
      <c r="WS67" s="174"/>
      <c r="WT67" s="174"/>
      <c r="WU67" s="174"/>
      <c r="WV67" s="174"/>
      <c r="WW67" s="174"/>
      <c r="WX67" s="174"/>
      <c r="WY67" s="174"/>
      <c r="WZ67" s="174"/>
      <c r="XA67" s="174"/>
      <c r="XB67" s="174"/>
      <c r="XC67" s="174"/>
      <c r="XD67" s="174"/>
      <c r="XE67" s="174"/>
      <c r="XF67" s="174"/>
      <c r="XG67" s="174"/>
      <c r="XH67" s="174"/>
      <c r="XI67" s="174"/>
      <c r="XJ67" s="174"/>
      <c r="XK67" s="174"/>
      <c r="XL67" s="174"/>
      <c r="XM67" s="174"/>
      <c r="XN67" s="174"/>
      <c r="XO67" s="174"/>
      <c r="XP67" s="174"/>
      <c r="XQ67" s="174"/>
      <c r="XR67" s="174"/>
      <c r="XS67" s="174"/>
      <c r="XT67" s="174"/>
      <c r="XU67" s="174"/>
      <c r="XV67" s="174"/>
      <c r="XW67" s="174"/>
      <c r="XX67" s="174"/>
      <c r="XY67" s="174"/>
      <c r="XZ67" s="174"/>
      <c r="YA67" s="174"/>
      <c r="YB67" s="174"/>
      <c r="YC67" s="174"/>
      <c r="YD67" s="174"/>
      <c r="YE67" s="174"/>
      <c r="YF67" s="174"/>
      <c r="YG67" s="174"/>
      <c r="YH67" s="174"/>
      <c r="YI67" s="174"/>
      <c r="YJ67" s="174"/>
      <c r="YK67" s="174"/>
      <c r="YL67" s="174"/>
      <c r="YM67" s="174"/>
      <c r="YN67" s="174"/>
      <c r="YO67" s="174"/>
      <c r="YP67" s="174"/>
      <c r="YQ67" s="174"/>
      <c r="YR67" s="174"/>
      <c r="YS67" s="174"/>
      <c r="YT67" s="174"/>
      <c r="YU67" s="174"/>
      <c r="YV67" s="174"/>
      <c r="YW67" s="174"/>
      <c r="YX67" s="174"/>
      <c r="YY67" s="174"/>
      <c r="YZ67" s="174"/>
      <c r="ZA67" s="174"/>
      <c r="ZB67" s="174"/>
      <c r="ZC67" s="174"/>
      <c r="ZD67" s="174"/>
      <c r="ZE67" s="174"/>
      <c r="ZF67" s="174"/>
      <c r="ZG67" s="174"/>
      <c r="ZH67" s="174"/>
      <c r="ZI67" s="174"/>
      <c r="ZJ67" s="174"/>
      <c r="ZK67" s="174"/>
      <c r="ZL67" s="174"/>
      <c r="ZM67" s="174"/>
      <c r="ZN67" s="174"/>
      <c r="ZO67" s="174"/>
      <c r="ZP67" s="174"/>
      <c r="ZQ67" s="174"/>
      <c r="ZR67" s="174"/>
      <c r="ZS67" s="174"/>
      <c r="ZT67" s="174"/>
      <c r="ZU67" s="174"/>
      <c r="ZV67" s="174"/>
      <c r="ZW67" s="174"/>
      <c r="ZX67" s="174"/>
      <c r="ZY67" s="174"/>
      <c r="ZZ67" s="174"/>
      <c r="AAA67" s="174"/>
      <c r="AAB67" s="174"/>
      <c r="AAC67" s="174"/>
      <c r="AAD67" s="174"/>
      <c r="AAE67" s="174"/>
      <c r="AAF67" s="174"/>
      <c r="AAG67" s="174"/>
      <c r="AAH67" s="174"/>
      <c r="AAI67" s="174"/>
      <c r="AAJ67" s="174"/>
      <c r="AAK67" s="174"/>
      <c r="AAL67" s="174"/>
      <c r="AAM67" s="174"/>
      <c r="AAN67" s="174"/>
      <c r="AAO67" s="174"/>
      <c r="AAP67" s="174"/>
      <c r="AAQ67" s="174"/>
      <c r="AAR67" s="174"/>
      <c r="AAS67" s="174"/>
      <c r="AAT67" s="174"/>
      <c r="AAU67" s="174"/>
      <c r="AAV67" s="174"/>
      <c r="AAW67" s="174"/>
      <c r="AAX67" s="174"/>
      <c r="AAY67" s="174"/>
      <c r="AAZ67" s="174"/>
      <c r="ABA67" s="174"/>
      <c r="ABB67" s="174"/>
      <c r="ABC67" s="174"/>
      <c r="ABD67" s="174"/>
      <c r="ABE67" s="174"/>
      <c r="ABF67" s="174"/>
      <c r="ABG67" s="174"/>
      <c r="ABH67" s="174"/>
      <c r="ABI67" s="174"/>
      <c r="ABJ67" s="174"/>
      <c r="ABK67" s="174"/>
      <c r="ABL67" s="174"/>
      <c r="ABM67" s="174"/>
      <c r="ABN67" s="174"/>
      <c r="ABO67" s="174"/>
      <c r="ABP67" s="174"/>
      <c r="ABQ67" s="174"/>
      <c r="ABR67" s="174"/>
      <c r="ABS67" s="174"/>
      <c r="ABT67" s="174"/>
      <c r="ABU67" s="174"/>
      <c r="ABV67" s="174"/>
      <c r="ABW67" s="174"/>
      <c r="ABX67" s="174"/>
      <c r="ABY67" s="174"/>
      <c r="ABZ67" s="174"/>
      <c r="ACA67" s="174"/>
      <c r="ACB67" s="174"/>
      <c r="ACC67" s="174"/>
      <c r="ACD67" s="174"/>
      <c r="ACE67" s="174"/>
      <c r="ACF67" s="174"/>
      <c r="ACG67" s="174"/>
      <c r="ACH67" s="174"/>
      <c r="ACI67" s="174"/>
      <c r="ACJ67" s="174"/>
      <c r="ACK67" s="174"/>
      <c r="ACL67" s="174"/>
      <c r="ACM67" s="174"/>
      <c r="ACN67" s="174"/>
      <c r="ACO67" s="174"/>
      <c r="ACP67" s="174"/>
      <c r="ACQ67" s="174"/>
      <c r="ACR67" s="174"/>
      <c r="ACS67" s="174"/>
      <c r="ACT67" s="174"/>
      <c r="ACU67" s="174"/>
      <c r="ACV67" s="174"/>
      <c r="ACW67" s="174"/>
      <c r="ACX67" s="174"/>
      <c r="ACY67" s="174"/>
      <c r="ACZ67" s="174"/>
      <c r="ADA67" s="174"/>
      <c r="ADB67" s="174"/>
      <c r="ADC67" s="174"/>
      <c r="ADD67" s="174"/>
      <c r="ADE67" s="174"/>
      <c r="ADF67" s="174"/>
      <c r="ADG67" s="174"/>
      <c r="ADH67" s="174"/>
      <c r="ADI67" s="174"/>
      <c r="ADJ67" s="174"/>
      <c r="ADK67" s="174"/>
      <c r="ADL67" s="174"/>
      <c r="ADM67" s="174"/>
      <c r="ADN67" s="174"/>
      <c r="ADO67" s="174"/>
      <c r="ADP67" s="174"/>
      <c r="ADQ67" s="174"/>
      <c r="ADR67" s="174"/>
      <c r="ADS67" s="174"/>
      <c r="ADT67" s="174"/>
      <c r="ADU67" s="174"/>
      <c r="ADV67" s="174"/>
      <c r="ADW67" s="174"/>
      <c r="ADX67" s="174"/>
      <c r="ADY67" s="174"/>
      <c r="ADZ67" s="174"/>
      <c r="AEA67" s="174"/>
      <c r="AEB67" s="174"/>
      <c r="AEC67" s="174"/>
      <c r="AED67" s="174"/>
      <c r="AEE67" s="174"/>
      <c r="AEF67" s="174"/>
      <c r="AEG67" s="174"/>
      <c r="AEH67" s="174"/>
      <c r="AEI67" s="174"/>
      <c r="AEJ67" s="174"/>
      <c r="AEK67" s="174"/>
      <c r="AEL67" s="174"/>
      <c r="AEM67" s="174"/>
      <c r="AEN67" s="174"/>
      <c r="AEO67" s="174"/>
      <c r="AEP67" s="174"/>
      <c r="AEQ67" s="174"/>
      <c r="AER67" s="174"/>
      <c r="AES67" s="174"/>
      <c r="AET67" s="174"/>
      <c r="AEU67" s="174"/>
      <c r="AEV67" s="174"/>
      <c r="AEW67" s="174"/>
      <c r="AEX67" s="174"/>
      <c r="AEY67" s="174"/>
      <c r="AEZ67" s="174"/>
      <c r="AFA67" s="174"/>
      <c r="AFB67" s="174"/>
      <c r="AFC67" s="174"/>
      <c r="AFD67" s="174"/>
      <c r="AFE67" s="174"/>
      <c r="AFF67" s="174"/>
      <c r="AFG67" s="174"/>
      <c r="AFH67" s="174"/>
      <c r="AFI67" s="174"/>
      <c r="AFJ67" s="174"/>
      <c r="AFK67" s="174"/>
      <c r="AFL67" s="174"/>
      <c r="AFM67" s="174"/>
      <c r="AFN67" s="174"/>
      <c r="AFO67" s="174"/>
      <c r="AFP67" s="174"/>
      <c r="AFQ67" s="174"/>
      <c r="AFR67" s="174"/>
      <c r="AFS67" s="174"/>
      <c r="AFT67" s="174"/>
      <c r="AFU67" s="174"/>
      <c r="AFV67" s="174"/>
      <c r="AFW67" s="174"/>
      <c r="AFX67" s="174"/>
      <c r="AFY67" s="174"/>
      <c r="AFZ67" s="174"/>
      <c r="AGA67" s="174"/>
      <c r="AGB67" s="174"/>
      <c r="AGC67" s="174"/>
      <c r="AGD67" s="174"/>
      <c r="AGE67" s="174"/>
      <c r="AGF67" s="174"/>
      <c r="AGG67" s="174"/>
      <c r="AGH67" s="174"/>
      <c r="AGI67" s="174"/>
      <c r="AGJ67" s="174"/>
      <c r="AGK67" s="174"/>
      <c r="AGL67" s="174"/>
      <c r="AGM67" s="174"/>
      <c r="AGN67" s="174"/>
      <c r="AGO67" s="174"/>
      <c r="AGP67" s="174"/>
      <c r="AGQ67" s="174"/>
      <c r="AGR67" s="174"/>
      <c r="AGS67" s="174"/>
      <c r="AGT67" s="174"/>
      <c r="AGU67" s="174"/>
      <c r="AGV67" s="174"/>
      <c r="AGW67" s="174"/>
      <c r="AGX67" s="174"/>
      <c r="AGY67" s="174"/>
      <c r="AGZ67" s="174"/>
      <c r="AHA67" s="174"/>
      <c r="AHB67" s="174"/>
      <c r="AHC67" s="174"/>
      <c r="AHD67" s="174"/>
      <c r="AHE67" s="174"/>
      <c r="AHF67" s="174"/>
      <c r="AHG67" s="174"/>
      <c r="AHH67" s="174"/>
      <c r="AHI67" s="174"/>
      <c r="AHJ67" s="174"/>
      <c r="AHK67" s="174"/>
      <c r="AHL67" s="174"/>
      <c r="AHM67" s="174"/>
      <c r="AHN67" s="174"/>
      <c r="AHO67" s="174"/>
      <c r="AHP67" s="174"/>
      <c r="AHQ67" s="174"/>
      <c r="AHR67" s="174"/>
      <c r="AHS67" s="174"/>
      <c r="AHT67" s="174"/>
      <c r="AHU67" s="174"/>
      <c r="AHV67" s="174"/>
      <c r="AHW67" s="174"/>
      <c r="AHX67" s="174"/>
      <c r="AHY67" s="174"/>
      <c r="AHZ67" s="174"/>
      <c r="AIA67" s="174"/>
      <c r="AIB67" s="174"/>
      <c r="AIC67" s="174"/>
      <c r="AID67" s="174"/>
      <c r="AIE67" s="174"/>
      <c r="AIF67" s="174"/>
      <c r="AIG67" s="174"/>
      <c r="AIH67" s="174"/>
      <c r="AII67" s="174"/>
      <c r="AIJ67" s="174"/>
      <c r="AIK67" s="174"/>
      <c r="AIL67" s="174"/>
      <c r="AIM67" s="174"/>
      <c r="AIN67" s="174"/>
      <c r="AIO67" s="174"/>
      <c r="AIP67" s="174"/>
      <c r="AIQ67" s="174"/>
      <c r="AIR67" s="174"/>
      <c r="AIS67" s="174"/>
      <c r="AIT67" s="174"/>
      <c r="AIU67" s="174"/>
      <c r="AIV67" s="174"/>
      <c r="AIW67" s="174"/>
      <c r="AIX67" s="174"/>
      <c r="AIY67" s="174"/>
      <c r="AIZ67" s="174"/>
      <c r="AJA67" s="174"/>
      <c r="AJB67" s="174"/>
      <c r="AJC67" s="174"/>
      <c r="AJD67" s="174"/>
      <c r="AJE67" s="174"/>
      <c r="AJF67" s="174"/>
      <c r="AJG67" s="174"/>
      <c r="AJH67" s="174"/>
      <c r="AJI67" s="174"/>
      <c r="AJJ67" s="174"/>
      <c r="AJK67" s="174"/>
      <c r="AJL67" s="174"/>
      <c r="AJM67" s="174"/>
      <c r="AJN67" s="174"/>
      <c r="AJO67" s="174"/>
      <c r="AJP67" s="174"/>
      <c r="AJQ67" s="174"/>
      <c r="AJR67" s="174"/>
      <c r="AJS67" s="174"/>
      <c r="AJT67" s="174"/>
      <c r="AJU67" s="174"/>
      <c r="AJV67" s="174"/>
      <c r="AJW67" s="174"/>
      <c r="AJX67" s="174"/>
      <c r="AJY67" s="174"/>
      <c r="AJZ67" s="174"/>
      <c r="AKA67" s="174"/>
      <c r="AKB67" s="174"/>
      <c r="AKC67" s="174"/>
      <c r="AKD67" s="174"/>
      <c r="AKE67" s="174"/>
      <c r="AKF67" s="174"/>
      <c r="AKG67" s="174"/>
      <c r="AKH67" s="174"/>
      <c r="AKI67" s="174"/>
      <c r="AKJ67" s="174"/>
      <c r="AKK67" s="174"/>
      <c r="AKL67" s="174"/>
      <c r="AKM67" s="174"/>
      <c r="AKN67" s="174"/>
      <c r="AKO67" s="174"/>
      <c r="AKP67" s="174"/>
      <c r="AKQ67" s="174"/>
      <c r="AKR67" s="174"/>
      <c r="AKS67" s="174"/>
      <c r="AKT67" s="174"/>
      <c r="AKU67" s="174"/>
      <c r="AKV67" s="174"/>
      <c r="AKW67" s="174"/>
      <c r="AKX67" s="174"/>
      <c r="AKY67" s="174"/>
      <c r="AKZ67" s="174"/>
      <c r="ALA67" s="174"/>
      <c r="ALB67" s="174"/>
      <c r="ALC67" s="174"/>
      <c r="ALD67" s="174"/>
      <c r="ALE67" s="174"/>
      <c r="ALF67" s="174"/>
      <c r="ALG67" s="174"/>
      <c r="ALH67" s="174"/>
      <c r="ALI67" s="174"/>
      <c r="ALJ67" s="174"/>
      <c r="ALK67" s="174"/>
      <c r="ALL67" s="174"/>
      <c r="ALM67" s="174"/>
      <c r="ALN67" s="174"/>
      <c r="ALO67" s="174"/>
      <c r="ALP67" s="174"/>
      <c r="ALQ67" s="174"/>
      <c r="ALR67" s="174"/>
      <c r="ALS67" s="174"/>
      <c r="ALT67" s="174"/>
      <c r="ALU67" s="174"/>
      <c r="ALV67" s="174"/>
      <c r="ALW67" s="174"/>
      <c r="ALX67" s="174"/>
      <c r="ALY67" s="174"/>
      <c r="ALZ67" s="174"/>
      <c r="AMA67" s="174"/>
      <c r="AMB67" s="174"/>
      <c r="AMC67" s="174"/>
      <c r="AMD67" s="174"/>
      <c r="AME67" s="158"/>
    </row>
    <row r="68" spans="1:1019" s="172" customFormat="1">
      <c r="A68" s="168">
        <f t="shared" si="2"/>
        <v>61</v>
      </c>
      <c r="B68" s="175">
        <v>1511</v>
      </c>
      <c r="C68" s="170" t="s">
        <v>905</v>
      </c>
      <c r="D68" s="169">
        <f>'הנדסה '!D31</f>
        <v>960000</v>
      </c>
      <c r="E68" s="169">
        <f>'הנדסה '!E31</f>
        <v>960000</v>
      </c>
      <c r="F68" s="169">
        <f>'הנדסה '!F31</f>
        <v>0</v>
      </c>
      <c r="G68" s="169">
        <f>'הנדסה '!G31</f>
        <v>100000</v>
      </c>
      <c r="H68" s="169">
        <f>'הנדסה '!H31</f>
        <v>17284</v>
      </c>
      <c r="I68" s="169">
        <f>'הנדסה '!I31</f>
        <v>0</v>
      </c>
      <c r="J68" s="169">
        <f>'הנדסה '!J31</f>
        <v>0</v>
      </c>
      <c r="K68" s="169">
        <f>'הנדסה '!K31</f>
        <v>0</v>
      </c>
      <c r="L68" s="169">
        <f>'הנדסה '!L31</f>
        <v>17284</v>
      </c>
      <c r="M68" s="169">
        <f>'הנדסה '!M31</f>
        <v>82716</v>
      </c>
      <c r="N68" s="169">
        <f>'הנדסה '!N31</f>
        <v>0</v>
      </c>
      <c r="O68" s="169">
        <f>'הנדסה '!O31</f>
        <v>860000</v>
      </c>
      <c r="P68" s="169">
        <f>'הנדסה '!P31</f>
        <v>82716</v>
      </c>
      <c r="Q68" s="169">
        <f>'הנדסה '!Q31</f>
        <v>0</v>
      </c>
      <c r="R68" s="169">
        <f>'הנדסה '!R31</f>
        <v>0</v>
      </c>
      <c r="S68" s="169">
        <f>'הנדסה '!S31</f>
        <v>0</v>
      </c>
      <c r="T68" s="169">
        <f>'הנדסה '!T31</f>
        <v>0</v>
      </c>
      <c r="U68" s="169">
        <f>'הנדסה '!U31</f>
        <v>0</v>
      </c>
      <c r="V68" s="169">
        <f>'הנדסה '!V31</f>
        <v>0</v>
      </c>
      <c r="W68" s="169">
        <f>'הנדסה '!W31</f>
        <v>0</v>
      </c>
      <c r="X68" s="169">
        <f>'הנדסה '!X31</f>
        <v>0</v>
      </c>
      <c r="Y68" s="169">
        <f>'הנדסה '!Y31</f>
        <v>0</v>
      </c>
      <c r="Z68" s="169">
        <f>'הנדסה '!Z31</f>
        <v>0</v>
      </c>
      <c r="AA68" s="659">
        <f>'הנדסה '!AA31</f>
        <v>742000</v>
      </c>
      <c r="AB68" s="157"/>
      <c r="AC68" s="157"/>
      <c r="AD68" s="157"/>
      <c r="AE68" s="157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/>
      <c r="ET68" s="174"/>
      <c r="EU68" s="174"/>
      <c r="EV68" s="174"/>
      <c r="EW68" s="174"/>
      <c r="EX68" s="174"/>
      <c r="EY68" s="174"/>
      <c r="EZ68" s="174"/>
      <c r="FA68" s="174"/>
      <c r="FB68" s="174"/>
      <c r="FC68" s="174"/>
      <c r="FD68" s="174"/>
      <c r="FE68" s="174"/>
      <c r="FF68" s="174"/>
      <c r="FG68" s="174"/>
      <c r="FH68" s="174"/>
      <c r="FI68" s="174"/>
      <c r="FJ68" s="174"/>
      <c r="FK68" s="174"/>
      <c r="FL68" s="174"/>
      <c r="FM68" s="174"/>
      <c r="FN68" s="174"/>
      <c r="FO68" s="174"/>
      <c r="FP68" s="174"/>
      <c r="FQ68" s="174"/>
      <c r="FR68" s="174"/>
      <c r="FS68" s="174"/>
      <c r="FT68" s="174"/>
      <c r="FU68" s="174"/>
      <c r="FV68" s="174"/>
      <c r="FW68" s="174"/>
      <c r="FX68" s="174"/>
      <c r="FY68" s="174"/>
      <c r="FZ68" s="174"/>
      <c r="GA68" s="174"/>
      <c r="GB68" s="174"/>
      <c r="GC68" s="174"/>
      <c r="GD68" s="174"/>
      <c r="GE68" s="174"/>
      <c r="GF68" s="174"/>
      <c r="GG68" s="174"/>
      <c r="GH68" s="174"/>
      <c r="GI68" s="174"/>
      <c r="GJ68" s="174"/>
      <c r="GK68" s="174"/>
      <c r="GL68" s="174"/>
      <c r="GM68" s="174"/>
      <c r="GN68" s="174"/>
      <c r="GO68" s="174"/>
      <c r="GP68" s="174"/>
      <c r="GQ68" s="174"/>
      <c r="GR68" s="174"/>
      <c r="GS68" s="174"/>
      <c r="GT68" s="174"/>
      <c r="GU68" s="174"/>
      <c r="GV68" s="174"/>
      <c r="GW68" s="174"/>
      <c r="GX68" s="174"/>
      <c r="GY68" s="174"/>
      <c r="GZ68" s="174"/>
      <c r="HA68" s="174"/>
      <c r="HB68" s="174"/>
      <c r="HC68" s="174"/>
      <c r="HD68" s="174"/>
      <c r="HE68" s="174"/>
      <c r="HF68" s="174"/>
      <c r="HG68" s="174"/>
      <c r="HH68" s="174"/>
      <c r="HI68" s="174"/>
      <c r="HJ68" s="174"/>
      <c r="HK68" s="174"/>
      <c r="HL68" s="174"/>
      <c r="HM68" s="174"/>
      <c r="HN68" s="174"/>
      <c r="HO68" s="174"/>
      <c r="HP68" s="174"/>
      <c r="HQ68" s="174"/>
      <c r="HR68" s="174"/>
      <c r="HS68" s="174"/>
      <c r="HT68" s="174"/>
      <c r="HU68" s="174"/>
      <c r="HV68" s="174"/>
      <c r="HW68" s="174"/>
      <c r="HX68" s="174"/>
      <c r="HY68" s="174"/>
      <c r="HZ68" s="174"/>
      <c r="IA68" s="174"/>
      <c r="IB68" s="174"/>
      <c r="IC68" s="174"/>
      <c r="ID68" s="174"/>
      <c r="IE68" s="174"/>
      <c r="IF68" s="174"/>
      <c r="IG68" s="174"/>
      <c r="IH68" s="174"/>
      <c r="II68" s="174"/>
      <c r="IJ68" s="174"/>
      <c r="IK68" s="174"/>
      <c r="IL68" s="174"/>
      <c r="IM68" s="174"/>
      <c r="IN68" s="174"/>
      <c r="IO68" s="174"/>
      <c r="IP68" s="174"/>
      <c r="IQ68" s="174"/>
      <c r="IR68" s="174"/>
      <c r="IS68" s="174"/>
      <c r="IT68" s="174"/>
      <c r="IU68" s="174"/>
      <c r="IV68" s="174"/>
      <c r="IW68" s="174"/>
      <c r="IX68" s="174"/>
      <c r="IY68" s="174"/>
      <c r="IZ68" s="174"/>
      <c r="JA68" s="174"/>
      <c r="JB68" s="174"/>
      <c r="JC68" s="174"/>
      <c r="JD68" s="174"/>
      <c r="JE68" s="174"/>
      <c r="JF68" s="174"/>
      <c r="JG68" s="174"/>
      <c r="JH68" s="174"/>
      <c r="JI68" s="174"/>
      <c r="JJ68" s="174"/>
      <c r="JK68" s="174"/>
      <c r="JL68" s="174"/>
      <c r="JM68" s="174"/>
      <c r="JN68" s="174"/>
      <c r="JO68" s="174"/>
      <c r="JP68" s="174"/>
      <c r="JQ68" s="174"/>
      <c r="JR68" s="174"/>
      <c r="JS68" s="174"/>
      <c r="JT68" s="174"/>
      <c r="JU68" s="174"/>
      <c r="JV68" s="174"/>
      <c r="JW68" s="174"/>
      <c r="JX68" s="174"/>
      <c r="JY68" s="174"/>
      <c r="JZ68" s="174"/>
      <c r="KA68" s="174"/>
      <c r="KB68" s="174"/>
      <c r="KC68" s="174"/>
      <c r="KD68" s="174"/>
      <c r="KE68" s="174"/>
      <c r="KF68" s="174"/>
      <c r="KG68" s="174"/>
      <c r="KH68" s="174"/>
      <c r="KI68" s="174"/>
      <c r="KJ68" s="174"/>
      <c r="KK68" s="174"/>
      <c r="KL68" s="174"/>
      <c r="KM68" s="174"/>
      <c r="KN68" s="174"/>
      <c r="KO68" s="174"/>
      <c r="KP68" s="174"/>
      <c r="KQ68" s="174"/>
      <c r="KR68" s="174"/>
      <c r="KS68" s="174"/>
      <c r="KT68" s="174"/>
      <c r="KU68" s="174"/>
      <c r="KV68" s="174"/>
      <c r="KW68" s="174"/>
      <c r="KX68" s="174"/>
      <c r="KY68" s="174"/>
      <c r="KZ68" s="174"/>
      <c r="LA68" s="174"/>
      <c r="LB68" s="174"/>
      <c r="LC68" s="174"/>
      <c r="LD68" s="174"/>
      <c r="LE68" s="174"/>
      <c r="LF68" s="174"/>
      <c r="LG68" s="174"/>
      <c r="LH68" s="174"/>
      <c r="LI68" s="174"/>
      <c r="LJ68" s="174"/>
      <c r="LK68" s="174"/>
      <c r="LL68" s="174"/>
      <c r="LM68" s="174"/>
      <c r="LN68" s="174"/>
      <c r="LO68" s="174"/>
      <c r="LP68" s="174"/>
      <c r="LQ68" s="174"/>
      <c r="LR68" s="174"/>
      <c r="LS68" s="174"/>
      <c r="LT68" s="174"/>
      <c r="LU68" s="174"/>
      <c r="LV68" s="174"/>
      <c r="LW68" s="174"/>
      <c r="LX68" s="174"/>
      <c r="LY68" s="174"/>
      <c r="LZ68" s="174"/>
      <c r="MA68" s="174"/>
      <c r="MB68" s="174"/>
      <c r="MC68" s="174"/>
      <c r="MD68" s="174"/>
      <c r="ME68" s="174"/>
      <c r="MF68" s="174"/>
      <c r="MG68" s="174"/>
      <c r="MH68" s="174"/>
      <c r="MI68" s="174"/>
      <c r="MJ68" s="174"/>
      <c r="MK68" s="174"/>
      <c r="ML68" s="174"/>
      <c r="MM68" s="174"/>
      <c r="MN68" s="174"/>
      <c r="MO68" s="174"/>
      <c r="MP68" s="174"/>
      <c r="MQ68" s="174"/>
      <c r="MR68" s="174"/>
      <c r="MS68" s="174"/>
      <c r="MT68" s="174"/>
      <c r="MU68" s="174"/>
      <c r="MV68" s="174"/>
      <c r="MW68" s="174"/>
      <c r="MX68" s="174"/>
      <c r="MY68" s="174"/>
      <c r="MZ68" s="174"/>
      <c r="NA68" s="174"/>
      <c r="NB68" s="174"/>
      <c r="NC68" s="174"/>
      <c r="ND68" s="174"/>
      <c r="NE68" s="174"/>
      <c r="NF68" s="174"/>
      <c r="NG68" s="174"/>
      <c r="NH68" s="174"/>
      <c r="NI68" s="174"/>
      <c r="NJ68" s="174"/>
      <c r="NK68" s="174"/>
      <c r="NL68" s="174"/>
      <c r="NM68" s="174"/>
      <c r="NN68" s="174"/>
      <c r="NO68" s="174"/>
      <c r="NP68" s="174"/>
      <c r="NQ68" s="174"/>
      <c r="NR68" s="174"/>
      <c r="NS68" s="174"/>
      <c r="NT68" s="174"/>
      <c r="NU68" s="174"/>
      <c r="NV68" s="174"/>
      <c r="NW68" s="174"/>
      <c r="NX68" s="174"/>
      <c r="NY68" s="174"/>
      <c r="NZ68" s="174"/>
      <c r="OA68" s="174"/>
      <c r="OB68" s="174"/>
      <c r="OC68" s="174"/>
      <c r="OD68" s="174"/>
      <c r="OE68" s="174"/>
      <c r="OF68" s="174"/>
      <c r="OG68" s="174"/>
      <c r="OH68" s="174"/>
      <c r="OI68" s="174"/>
      <c r="OJ68" s="174"/>
      <c r="OK68" s="174"/>
      <c r="OL68" s="174"/>
      <c r="OM68" s="174"/>
      <c r="ON68" s="174"/>
      <c r="OO68" s="174"/>
      <c r="OP68" s="174"/>
      <c r="OQ68" s="174"/>
      <c r="OR68" s="174"/>
      <c r="OS68" s="174"/>
      <c r="OT68" s="174"/>
      <c r="OU68" s="174"/>
      <c r="OV68" s="174"/>
      <c r="OW68" s="174"/>
      <c r="OX68" s="174"/>
      <c r="OY68" s="174"/>
      <c r="OZ68" s="174"/>
      <c r="PA68" s="174"/>
      <c r="PB68" s="174"/>
      <c r="PC68" s="174"/>
      <c r="PD68" s="174"/>
      <c r="PE68" s="174"/>
      <c r="PF68" s="174"/>
      <c r="PG68" s="174"/>
      <c r="PH68" s="174"/>
      <c r="PI68" s="174"/>
      <c r="PJ68" s="174"/>
      <c r="PK68" s="174"/>
      <c r="PL68" s="174"/>
      <c r="PM68" s="174"/>
      <c r="PN68" s="174"/>
      <c r="PO68" s="174"/>
      <c r="PP68" s="174"/>
      <c r="PQ68" s="174"/>
      <c r="PR68" s="174"/>
      <c r="PS68" s="174"/>
      <c r="PT68" s="174"/>
      <c r="PU68" s="174"/>
      <c r="PV68" s="174"/>
      <c r="PW68" s="174"/>
      <c r="PX68" s="174"/>
      <c r="PY68" s="174"/>
      <c r="PZ68" s="174"/>
      <c r="QA68" s="174"/>
      <c r="QB68" s="174"/>
      <c r="QC68" s="174"/>
      <c r="QD68" s="174"/>
      <c r="QE68" s="174"/>
      <c r="QF68" s="174"/>
      <c r="QG68" s="174"/>
      <c r="QH68" s="174"/>
      <c r="QI68" s="174"/>
      <c r="QJ68" s="174"/>
      <c r="QK68" s="174"/>
      <c r="QL68" s="174"/>
      <c r="QM68" s="174"/>
      <c r="QN68" s="174"/>
      <c r="QO68" s="174"/>
      <c r="QP68" s="174"/>
      <c r="QQ68" s="174"/>
      <c r="QR68" s="174"/>
      <c r="QS68" s="174"/>
      <c r="QT68" s="174"/>
      <c r="QU68" s="174"/>
      <c r="QV68" s="174"/>
      <c r="QW68" s="174"/>
      <c r="QX68" s="174"/>
      <c r="QY68" s="174"/>
      <c r="QZ68" s="174"/>
      <c r="RA68" s="174"/>
      <c r="RB68" s="174"/>
      <c r="RC68" s="174"/>
      <c r="RD68" s="174"/>
      <c r="RE68" s="174"/>
      <c r="RF68" s="174"/>
      <c r="RG68" s="174"/>
      <c r="RH68" s="174"/>
      <c r="RI68" s="174"/>
      <c r="RJ68" s="174"/>
      <c r="RK68" s="174"/>
      <c r="RL68" s="174"/>
      <c r="RM68" s="174"/>
      <c r="RN68" s="174"/>
      <c r="RO68" s="174"/>
      <c r="RP68" s="174"/>
      <c r="RQ68" s="174"/>
      <c r="RR68" s="174"/>
      <c r="RS68" s="174"/>
      <c r="RT68" s="174"/>
      <c r="RU68" s="174"/>
      <c r="RV68" s="174"/>
      <c r="RW68" s="174"/>
      <c r="RX68" s="174"/>
      <c r="RY68" s="174"/>
      <c r="RZ68" s="174"/>
      <c r="SA68" s="174"/>
      <c r="SB68" s="174"/>
      <c r="SC68" s="174"/>
      <c r="SD68" s="174"/>
      <c r="SE68" s="174"/>
      <c r="SF68" s="174"/>
      <c r="SG68" s="174"/>
      <c r="SH68" s="174"/>
      <c r="SI68" s="174"/>
      <c r="SJ68" s="174"/>
      <c r="SK68" s="174"/>
      <c r="SL68" s="174"/>
      <c r="SM68" s="174"/>
      <c r="SN68" s="174"/>
      <c r="SO68" s="174"/>
      <c r="SP68" s="174"/>
      <c r="SQ68" s="174"/>
      <c r="SR68" s="174"/>
      <c r="SS68" s="174"/>
      <c r="ST68" s="174"/>
      <c r="SU68" s="174"/>
      <c r="SV68" s="174"/>
      <c r="SW68" s="174"/>
      <c r="SX68" s="174"/>
      <c r="SY68" s="174"/>
      <c r="SZ68" s="174"/>
      <c r="TA68" s="174"/>
      <c r="TB68" s="174"/>
      <c r="TC68" s="174"/>
      <c r="TD68" s="174"/>
      <c r="TE68" s="174"/>
      <c r="TF68" s="174"/>
      <c r="TG68" s="174"/>
      <c r="TH68" s="174"/>
      <c r="TI68" s="174"/>
      <c r="TJ68" s="174"/>
      <c r="TK68" s="174"/>
      <c r="TL68" s="174"/>
      <c r="TM68" s="174"/>
      <c r="TN68" s="174"/>
      <c r="TO68" s="174"/>
      <c r="TP68" s="174"/>
      <c r="TQ68" s="174"/>
      <c r="TR68" s="174"/>
      <c r="TS68" s="174"/>
      <c r="TT68" s="174"/>
      <c r="TU68" s="174"/>
      <c r="TV68" s="174"/>
      <c r="TW68" s="174"/>
      <c r="TX68" s="174"/>
      <c r="TY68" s="174"/>
      <c r="TZ68" s="174"/>
      <c r="UA68" s="174"/>
      <c r="UB68" s="174"/>
      <c r="UC68" s="174"/>
      <c r="UD68" s="174"/>
      <c r="UE68" s="174"/>
      <c r="UF68" s="174"/>
      <c r="UG68" s="174"/>
      <c r="UH68" s="174"/>
      <c r="UI68" s="174"/>
      <c r="UJ68" s="174"/>
      <c r="UK68" s="174"/>
      <c r="UL68" s="174"/>
      <c r="UM68" s="174"/>
      <c r="UN68" s="174"/>
      <c r="UO68" s="174"/>
      <c r="UP68" s="174"/>
      <c r="UQ68" s="174"/>
      <c r="UR68" s="174"/>
      <c r="US68" s="174"/>
      <c r="UT68" s="174"/>
      <c r="UU68" s="174"/>
      <c r="UV68" s="174"/>
      <c r="UW68" s="174"/>
      <c r="UX68" s="174"/>
      <c r="UY68" s="174"/>
      <c r="UZ68" s="174"/>
      <c r="VA68" s="174"/>
      <c r="VB68" s="174"/>
      <c r="VC68" s="174"/>
      <c r="VD68" s="174"/>
      <c r="VE68" s="174"/>
      <c r="VF68" s="174"/>
      <c r="VG68" s="174"/>
      <c r="VH68" s="174"/>
      <c r="VI68" s="174"/>
      <c r="VJ68" s="174"/>
      <c r="VK68" s="174"/>
      <c r="VL68" s="174"/>
      <c r="VM68" s="174"/>
      <c r="VN68" s="174"/>
      <c r="VO68" s="174"/>
      <c r="VP68" s="174"/>
      <c r="VQ68" s="174"/>
      <c r="VR68" s="174"/>
      <c r="VS68" s="174"/>
      <c r="VT68" s="174"/>
      <c r="VU68" s="174"/>
      <c r="VV68" s="174"/>
      <c r="VW68" s="174"/>
      <c r="VX68" s="174"/>
      <c r="VY68" s="174"/>
      <c r="VZ68" s="174"/>
      <c r="WA68" s="174"/>
      <c r="WB68" s="174"/>
      <c r="WC68" s="174"/>
      <c r="WD68" s="174"/>
      <c r="WE68" s="174"/>
      <c r="WF68" s="174"/>
      <c r="WG68" s="174"/>
      <c r="WH68" s="174"/>
      <c r="WI68" s="174"/>
      <c r="WJ68" s="174"/>
      <c r="WK68" s="174"/>
      <c r="WL68" s="174"/>
      <c r="WM68" s="174"/>
      <c r="WN68" s="174"/>
      <c r="WO68" s="174"/>
      <c r="WP68" s="174"/>
      <c r="WQ68" s="174"/>
      <c r="WR68" s="174"/>
      <c r="WS68" s="174"/>
      <c r="WT68" s="174"/>
      <c r="WU68" s="174"/>
      <c r="WV68" s="174"/>
      <c r="WW68" s="174"/>
      <c r="WX68" s="174"/>
      <c r="WY68" s="174"/>
      <c r="WZ68" s="174"/>
      <c r="XA68" s="174"/>
      <c r="XB68" s="174"/>
      <c r="XC68" s="174"/>
      <c r="XD68" s="174"/>
      <c r="XE68" s="174"/>
      <c r="XF68" s="174"/>
      <c r="XG68" s="174"/>
      <c r="XH68" s="174"/>
      <c r="XI68" s="174"/>
      <c r="XJ68" s="174"/>
      <c r="XK68" s="174"/>
      <c r="XL68" s="174"/>
      <c r="XM68" s="174"/>
      <c r="XN68" s="174"/>
      <c r="XO68" s="174"/>
      <c r="XP68" s="174"/>
      <c r="XQ68" s="174"/>
      <c r="XR68" s="174"/>
      <c r="XS68" s="174"/>
      <c r="XT68" s="174"/>
      <c r="XU68" s="174"/>
      <c r="XV68" s="174"/>
      <c r="XW68" s="174"/>
      <c r="XX68" s="174"/>
      <c r="XY68" s="174"/>
      <c r="XZ68" s="174"/>
      <c r="YA68" s="174"/>
      <c r="YB68" s="174"/>
      <c r="YC68" s="174"/>
      <c r="YD68" s="174"/>
      <c r="YE68" s="174"/>
      <c r="YF68" s="174"/>
      <c r="YG68" s="174"/>
      <c r="YH68" s="174"/>
      <c r="YI68" s="174"/>
      <c r="YJ68" s="174"/>
      <c r="YK68" s="174"/>
      <c r="YL68" s="174"/>
      <c r="YM68" s="174"/>
      <c r="YN68" s="174"/>
      <c r="YO68" s="174"/>
      <c r="YP68" s="174"/>
      <c r="YQ68" s="174"/>
      <c r="YR68" s="174"/>
      <c r="YS68" s="174"/>
      <c r="YT68" s="174"/>
      <c r="YU68" s="174"/>
      <c r="YV68" s="174"/>
      <c r="YW68" s="174"/>
      <c r="YX68" s="174"/>
      <c r="YY68" s="174"/>
      <c r="YZ68" s="174"/>
      <c r="ZA68" s="174"/>
      <c r="ZB68" s="174"/>
      <c r="ZC68" s="174"/>
      <c r="ZD68" s="174"/>
      <c r="ZE68" s="174"/>
      <c r="ZF68" s="174"/>
      <c r="ZG68" s="174"/>
      <c r="ZH68" s="174"/>
      <c r="ZI68" s="174"/>
      <c r="ZJ68" s="174"/>
      <c r="ZK68" s="174"/>
      <c r="ZL68" s="174"/>
      <c r="ZM68" s="174"/>
      <c r="ZN68" s="174"/>
      <c r="ZO68" s="174"/>
      <c r="ZP68" s="174"/>
      <c r="ZQ68" s="174"/>
      <c r="ZR68" s="174"/>
      <c r="ZS68" s="174"/>
      <c r="ZT68" s="174"/>
      <c r="ZU68" s="174"/>
      <c r="ZV68" s="174"/>
      <c r="ZW68" s="174"/>
      <c r="ZX68" s="174"/>
      <c r="ZY68" s="174"/>
      <c r="ZZ68" s="174"/>
      <c r="AAA68" s="174"/>
      <c r="AAB68" s="174"/>
      <c r="AAC68" s="174"/>
      <c r="AAD68" s="174"/>
      <c r="AAE68" s="174"/>
      <c r="AAF68" s="174"/>
      <c r="AAG68" s="174"/>
      <c r="AAH68" s="174"/>
      <c r="AAI68" s="174"/>
      <c r="AAJ68" s="174"/>
      <c r="AAK68" s="174"/>
      <c r="AAL68" s="174"/>
      <c r="AAM68" s="174"/>
      <c r="AAN68" s="174"/>
      <c r="AAO68" s="174"/>
      <c r="AAP68" s="174"/>
      <c r="AAQ68" s="174"/>
      <c r="AAR68" s="174"/>
      <c r="AAS68" s="174"/>
      <c r="AAT68" s="174"/>
      <c r="AAU68" s="174"/>
      <c r="AAV68" s="174"/>
      <c r="AAW68" s="174"/>
      <c r="AAX68" s="174"/>
      <c r="AAY68" s="174"/>
      <c r="AAZ68" s="174"/>
      <c r="ABA68" s="174"/>
      <c r="ABB68" s="174"/>
      <c r="ABC68" s="174"/>
      <c r="ABD68" s="174"/>
      <c r="ABE68" s="174"/>
      <c r="ABF68" s="174"/>
      <c r="ABG68" s="174"/>
      <c r="ABH68" s="174"/>
      <c r="ABI68" s="174"/>
      <c r="ABJ68" s="174"/>
      <c r="ABK68" s="174"/>
      <c r="ABL68" s="174"/>
      <c r="ABM68" s="174"/>
      <c r="ABN68" s="174"/>
      <c r="ABO68" s="174"/>
      <c r="ABP68" s="174"/>
      <c r="ABQ68" s="174"/>
      <c r="ABR68" s="174"/>
      <c r="ABS68" s="174"/>
      <c r="ABT68" s="174"/>
      <c r="ABU68" s="174"/>
      <c r="ABV68" s="174"/>
      <c r="ABW68" s="174"/>
      <c r="ABX68" s="174"/>
      <c r="ABY68" s="174"/>
      <c r="ABZ68" s="174"/>
      <c r="ACA68" s="174"/>
      <c r="ACB68" s="174"/>
      <c r="ACC68" s="174"/>
      <c r="ACD68" s="174"/>
      <c r="ACE68" s="174"/>
      <c r="ACF68" s="174"/>
      <c r="ACG68" s="174"/>
      <c r="ACH68" s="174"/>
      <c r="ACI68" s="174"/>
      <c r="ACJ68" s="174"/>
      <c r="ACK68" s="174"/>
      <c r="ACL68" s="174"/>
      <c r="ACM68" s="174"/>
      <c r="ACN68" s="174"/>
      <c r="ACO68" s="174"/>
      <c r="ACP68" s="174"/>
      <c r="ACQ68" s="174"/>
      <c r="ACR68" s="174"/>
      <c r="ACS68" s="174"/>
      <c r="ACT68" s="174"/>
      <c r="ACU68" s="174"/>
      <c r="ACV68" s="174"/>
      <c r="ACW68" s="174"/>
      <c r="ACX68" s="174"/>
      <c r="ACY68" s="174"/>
      <c r="ACZ68" s="174"/>
      <c r="ADA68" s="174"/>
      <c r="ADB68" s="174"/>
      <c r="ADC68" s="174"/>
      <c r="ADD68" s="174"/>
      <c r="ADE68" s="174"/>
      <c r="ADF68" s="174"/>
      <c r="ADG68" s="174"/>
      <c r="ADH68" s="174"/>
      <c r="ADI68" s="174"/>
      <c r="ADJ68" s="174"/>
      <c r="ADK68" s="174"/>
      <c r="ADL68" s="174"/>
      <c r="ADM68" s="174"/>
      <c r="ADN68" s="174"/>
      <c r="ADO68" s="174"/>
      <c r="ADP68" s="174"/>
      <c r="ADQ68" s="174"/>
      <c r="ADR68" s="174"/>
      <c r="ADS68" s="174"/>
      <c r="ADT68" s="174"/>
      <c r="ADU68" s="174"/>
      <c r="ADV68" s="174"/>
      <c r="ADW68" s="174"/>
      <c r="ADX68" s="174"/>
      <c r="ADY68" s="174"/>
      <c r="ADZ68" s="174"/>
      <c r="AEA68" s="174"/>
      <c r="AEB68" s="174"/>
      <c r="AEC68" s="174"/>
      <c r="AED68" s="174"/>
      <c r="AEE68" s="174"/>
      <c r="AEF68" s="174"/>
      <c r="AEG68" s="174"/>
      <c r="AEH68" s="174"/>
      <c r="AEI68" s="174"/>
      <c r="AEJ68" s="174"/>
      <c r="AEK68" s="174"/>
      <c r="AEL68" s="174"/>
      <c r="AEM68" s="174"/>
      <c r="AEN68" s="174"/>
      <c r="AEO68" s="174"/>
      <c r="AEP68" s="174"/>
      <c r="AEQ68" s="174"/>
      <c r="AER68" s="174"/>
      <c r="AES68" s="174"/>
      <c r="AET68" s="174"/>
      <c r="AEU68" s="174"/>
      <c r="AEV68" s="174"/>
      <c r="AEW68" s="174"/>
      <c r="AEX68" s="174"/>
      <c r="AEY68" s="174"/>
      <c r="AEZ68" s="174"/>
      <c r="AFA68" s="174"/>
      <c r="AFB68" s="174"/>
      <c r="AFC68" s="174"/>
      <c r="AFD68" s="174"/>
      <c r="AFE68" s="174"/>
      <c r="AFF68" s="174"/>
      <c r="AFG68" s="174"/>
      <c r="AFH68" s="174"/>
      <c r="AFI68" s="174"/>
      <c r="AFJ68" s="174"/>
      <c r="AFK68" s="174"/>
      <c r="AFL68" s="174"/>
      <c r="AFM68" s="174"/>
      <c r="AFN68" s="174"/>
      <c r="AFO68" s="174"/>
      <c r="AFP68" s="174"/>
      <c r="AFQ68" s="174"/>
      <c r="AFR68" s="174"/>
      <c r="AFS68" s="174"/>
      <c r="AFT68" s="174"/>
      <c r="AFU68" s="174"/>
      <c r="AFV68" s="174"/>
      <c r="AFW68" s="174"/>
      <c r="AFX68" s="174"/>
      <c r="AFY68" s="174"/>
      <c r="AFZ68" s="174"/>
      <c r="AGA68" s="174"/>
      <c r="AGB68" s="174"/>
      <c r="AGC68" s="174"/>
      <c r="AGD68" s="174"/>
      <c r="AGE68" s="174"/>
      <c r="AGF68" s="174"/>
      <c r="AGG68" s="174"/>
      <c r="AGH68" s="174"/>
      <c r="AGI68" s="174"/>
      <c r="AGJ68" s="174"/>
      <c r="AGK68" s="174"/>
      <c r="AGL68" s="174"/>
      <c r="AGM68" s="174"/>
      <c r="AGN68" s="174"/>
      <c r="AGO68" s="174"/>
      <c r="AGP68" s="174"/>
      <c r="AGQ68" s="174"/>
      <c r="AGR68" s="174"/>
      <c r="AGS68" s="174"/>
      <c r="AGT68" s="174"/>
      <c r="AGU68" s="174"/>
      <c r="AGV68" s="174"/>
      <c r="AGW68" s="174"/>
      <c r="AGX68" s="174"/>
      <c r="AGY68" s="174"/>
      <c r="AGZ68" s="174"/>
      <c r="AHA68" s="174"/>
      <c r="AHB68" s="174"/>
      <c r="AHC68" s="174"/>
      <c r="AHD68" s="174"/>
      <c r="AHE68" s="174"/>
      <c r="AHF68" s="174"/>
      <c r="AHG68" s="174"/>
      <c r="AHH68" s="174"/>
      <c r="AHI68" s="174"/>
      <c r="AHJ68" s="174"/>
      <c r="AHK68" s="174"/>
      <c r="AHL68" s="174"/>
      <c r="AHM68" s="174"/>
      <c r="AHN68" s="174"/>
      <c r="AHO68" s="174"/>
      <c r="AHP68" s="174"/>
      <c r="AHQ68" s="174"/>
      <c r="AHR68" s="174"/>
      <c r="AHS68" s="174"/>
      <c r="AHT68" s="174"/>
      <c r="AHU68" s="174"/>
      <c r="AHV68" s="174"/>
      <c r="AHW68" s="174"/>
      <c r="AHX68" s="174"/>
      <c r="AHY68" s="174"/>
      <c r="AHZ68" s="174"/>
      <c r="AIA68" s="174"/>
      <c r="AIB68" s="174"/>
      <c r="AIC68" s="174"/>
      <c r="AID68" s="174"/>
      <c r="AIE68" s="174"/>
      <c r="AIF68" s="174"/>
      <c r="AIG68" s="174"/>
      <c r="AIH68" s="174"/>
      <c r="AII68" s="174"/>
      <c r="AIJ68" s="174"/>
      <c r="AIK68" s="174"/>
      <c r="AIL68" s="174"/>
      <c r="AIM68" s="174"/>
      <c r="AIN68" s="174"/>
      <c r="AIO68" s="174"/>
      <c r="AIP68" s="174"/>
      <c r="AIQ68" s="174"/>
      <c r="AIR68" s="174"/>
      <c r="AIS68" s="174"/>
      <c r="AIT68" s="174"/>
      <c r="AIU68" s="174"/>
      <c r="AIV68" s="174"/>
      <c r="AIW68" s="174"/>
      <c r="AIX68" s="174"/>
      <c r="AIY68" s="174"/>
      <c r="AIZ68" s="174"/>
      <c r="AJA68" s="174"/>
      <c r="AJB68" s="174"/>
      <c r="AJC68" s="174"/>
      <c r="AJD68" s="174"/>
      <c r="AJE68" s="174"/>
      <c r="AJF68" s="174"/>
      <c r="AJG68" s="174"/>
      <c r="AJH68" s="174"/>
      <c r="AJI68" s="174"/>
      <c r="AJJ68" s="174"/>
      <c r="AJK68" s="174"/>
      <c r="AJL68" s="174"/>
      <c r="AJM68" s="174"/>
      <c r="AJN68" s="174"/>
      <c r="AJO68" s="174"/>
      <c r="AJP68" s="174"/>
      <c r="AJQ68" s="174"/>
      <c r="AJR68" s="174"/>
      <c r="AJS68" s="174"/>
      <c r="AJT68" s="174"/>
      <c r="AJU68" s="174"/>
      <c r="AJV68" s="174"/>
      <c r="AJW68" s="174"/>
      <c r="AJX68" s="174"/>
      <c r="AJY68" s="174"/>
      <c r="AJZ68" s="174"/>
      <c r="AKA68" s="174"/>
      <c r="AKB68" s="174"/>
      <c r="AKC68" s="174"/>
      <c r="AKD68" s="174"/>
      <c r="AKE68" s="174"/>
      <c r="AKF68" s="174"/>
      <c r="AKG68" s="174"/>
      <c r="AKH68" s="174"/>
      <c r="AKI68" s="174"/>
      <c r="AKJ68" s="174"/>
      <c r="AKK68" s="174"/>
      <c r="AKL68" s="174"/>
      <c r="AKM68" s="174"/>
      <c r="AKN68" s="174"/>
      <c r="AKO68" s="174"/>
      <c r="AKP68" s="174"/>
      <c r="AKQ68" s="174"/>
      <c r="AKR68" s="174"/>
      <c r="AKS68" s="174"/>
      <c r="AKT68" s="174"/>
      <c r="AKU68" s="174"/>
      <c r="AKV68" s="174"/>
      <c r="AKW68" s="174"/>
      <c r="AKX68" s="174"/>
      <c r="AKY68" s="174"/>
      <c r="AKZ68" s="174"/>
      <c r="ALA68" s="174"/>
      <c r="ALB68" s="174"/>
      <c r="ALC68" s="174"/>
      <c r="ALD68" s="174"/>
      <c r="ALE68" s="174"/>
      <c r="ALF68" s="174"/>
      <c r="ALG68" s="174"/>
      <c r="ALH68" s="174"/>
      <c r="ALI68" s="174"/>
      <c r="ALJ68" s="174"/>
      <c r="ALK68" s="174"/>
      <c r="ALL68" s="174"/>
      <c r="ALM68" s="174"/>
      <c r="ALN68" s="174"/>
      <c r="ALO68" s="174"/>
      <c r="ALP68" s="174"/>
      <c r="ALQ68" s="174"/>
      <c r="ALR68" s="174"/>
      <c r="ALS68" s="174"/>
      <c r="ALT68" s="174"/>
      <c r="ALU68" s="174"/>
      <c r="ALV68" s="174"/>
      <c r="ALW68" s="174"/>
      <c r="ALX68" s="174"/>
      <c r="ALY68" s="174"/>
      <c r="ALZ68" s="174"/>
      <c r="AMA68" s="174"/>
      <c r="AMB68" s="174"/>
      <c r="AMC68" s="174"/>
      <c r="AMD68" s="174"/>
      <c r="AME68" s="158"/>
    </row>
    <row r="69" spans="1:1019" s="172" customFormat="1" ht="15" customHeight="1">
      <c r="A69" s="168">
        <f t="shared" si="2"/>
        <v>62</v>
      </c>
      <c r="B69" s="175">
        <v>1568</v>
      </c>
      <c r="C69" s="168" t="s">
        <v>72</v>
      </c>
      <c r="D69" s="169">
        <f>'הנדסה '!D33</f>
        <v>46375301</v>
      </c>
      <c r="E69" s="169">
        <f>'הנדסה '!E33</f>
        <v>46375301</v>
      </c>
      <c r="F69" s="169">
        <f>'הנדסה '!F33</f>
        <v>0</v>
      </c>
      <c r="G69" s="169">
        <f>'הנדסה '!G33</f>
        <v>28875301</v>
      </c>
      <c r="H69" s="169">
        <f>'הנדסה '!H33</f>
        <v>27758685.309999999</v>
      </c>
      <c r="I69" s="169">
        <f>'הנדסה '!I33</f>
        <v>822126.24</v>
      </c>
      <c r="J69" s="169">
        <f>'הנדסה '!J33</f>
        <v>104522.48</v>
      </c>
      <c r="K69" s="169">
        <f>'הנדסה '!K33</f>
        <v>926648.72</v>
      </c>
      <c r="L69" s="169">
        <f>'הנדסה '!L33</f>
        <v>28685334.029999997</v>
      </c>
      <c r="M69" s="169">
        <f>'הנדסה '!M33</f>
        <v>189966.97000000253</v>
      </c>
      <c r="N69" s="169">
        <f>'הנדסה '!N33</f>
        <v>0</v>
      </c>
      <c r="O69" s="169">
        <f>'הנדסה '!O33</f>
        <v>17500000</v>
      </c>
      <c r="P69" s="169">
        <f>'הנדסה '!P33</f>
        <v>189966.97000000253</v>
      </c>
      <c r="Q69" s="169">
        <f>'הנדסה '!Q33</f>
        <v>0</v>
      </c>
      <c r="R69" s="169">
        <f>'הנדסה '!R33</f>
        <v>0</v>
      </c>
      <c r="S69" s="169">
        <f>'הנדסה '!S33</f>
        <v>0</v>
      </c>
      <c r="T69" s="169">
        <f>'הנדסה '!T33</f>
        <v>0</v>
      </c>
      <c r="U69" s="169">
        <f>'הנדסה '!U33</f>
        <v>0</v>
      </c>
      <c r="V69" s="169">
        <f>'הנדסה '!V33</f>
        <v>0</v>
      </c>
      <c r="W69" s="169">
        <f>'הנדסה '!W33</f>
        <v>0</v>
      </c>
      <c r="X69" s="169">
        <f>'הנדסה '!X33</f>
        <v>0</v>
      </c>
      <c r="Y69" s="169">
        <f>'הנדסה '!Y33</f>
        <v>0</v>
      </c>
      <c r="Z69" s="169">
        <f>'הנדסה '!Z33</f>
        <v>0</v>
      </c>
      <c r="AA69" s="659">
        <f>'הנדסה '!AA33</f>
        <v>746000</v>
      </c>
      <c r="AB69" s="157"/>
      <c r="AC69" s="157"/>
      <c r="AD69" s="157"/>
      <c r="AE69" s="157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C69" s="160"/>
      <c r="HD69" s="160"/>
      <c r="HE69" s="160"/>
      <c r="HF69" s="160"/>
      <c r="HG69" s="160"/>
      <c r="HH69" s="160"/>
      <c r="HI69" s="160"/>
      <c r="HJ69" s="160"/>
      <c r="HK69" s="160"/>
      <c r="HL69" s="160"/>
      <c r="HM69" s="160"/>
      <c r="HN69" s="160"/>
      <c r="HO69" s="160"/>
      <c r="HP69" s="160"/>
      <c r="HQ69" s="160"/>
      <c r="HR69" s="160"/>
      <c r="HS69" s="160"/>
      <c r="HT69" s="160"/>
      <c r="HU69" s="160"/>
      <c r="HV69" s="160"/>
      <c r="HW69" s="160"/>
      <c r="HX69" s="160"/>
      <c r="HY69" s="160"/>
      <c r="HZ69" s="160"/>
      <c r="IA69" s="160"/>
      <c r="IB69" s="160"/>
      <c r="IC69" s="160"/>
      <c r="ID69" s="160"/>
      <c r="IE69" s="160"/>
      <c r="IF69" s="160"/>
      <c r="IG69" s="160"/>
      <c r="IH69" s="160"/>
      <c r="II69" s="160"/>
      <c r="IJ69" s="160"/>
      <c r="IK69" s="160"/>
      <c r="IL69" s="160"/>
      <c r="IM69" s="160"/>
      <c r="IN69" s="160"/>
      <c r="IO69" s="160"/>
      <c r="IP69" s="160"/>
      <c r="IQ69" s="160"/>
      <c r="IR69" s="160"/>
      <c r="IS69" s="160"/>
      <c r="IT69" s="160"/>
      <c r="IU69" s="160"/>
      <c r="IV69" s="160"/>
      <c r="IW69" s="160"/>
      <c r="IX69" s="160"/>
      <c r="IY69" s="160"/>
      <c r="IZ69" s="160"/>
      <c r="JA69" s="160"/>
      <c r="JB69" s="160"/>
      <c r="JC69" s="160"/>
      <c r="JD69" s="160"/>
      <c r="JE69" s="160"/>
      <c r="JF69" s="160"/>
      <c r="JG69" s="160"/>
      <c r="JH69" s="160"/>
      <c r="JI69" s="160"/>
      <c r="JJ69" s="160"/>
      <c r="JK69" s="160"/>
      <c r="JL69" s="160"/>
      <c r="JM69" s="160"/>
      <c r="JN69" s="160"/>
      <c r="JO69" s="160"/>
      <c r="JP69" s="160"/>
      <c r="JQ69" s="160"/>
      <c r="JR69" s="160"/>
      <c r="JS69" s="160"/>
      <c r="JT69" s="160"/>
      <c r="JU69" s="160"/>
      <c r="JV69" s="160"/>
      <c r="JW69" s="160"/>
      <c r="JX69" s="160"/>
      <c r="JY69" s="160"/>
      <c r="JZ69" s="160"/>
      <c r="KA69" s="160"/>
      <c r="KB69" s="160"/>
      <c r="KC69" s="160"/>
      <c r="KD69" s="160"/>
      <c r="KE69" s="160"/>
      <c r="KF69" s="160"/>
      <c r="KG69" s="160"/>
      <c r="KH69" s="160"/>
      <c r="KI69" s="160"/>
      <c r="KJ69" s="160"/>
      <c r="KK69" s="160"/>
      <c r="KL69" s="160"/>
      <c r="KM69" s="160"/>
      <c r="KN69" s="160"/>
      <c r="KO69" s="160"/>
      <c r="KP69" s="160"/>
      <c r="KQ69" s="160"/>
      <c r="KR69" s="160"/>
      <c r="KS69" s="160"/>
      <c r="KT69" s="160"/>
      <c r="KU69" s="160"/>
      <c r="KV69" s="160"/>
      <c r="KW69" s="160"/>
      <c r="KX69" s="160"/>
      <c r="KY69" s="160"/>
      <c r="KZ69" s="160"/>
      <c r="LA69" s="160"/>
      <c r="LB69" s="160"/>
      <c r="LC69" s="160"/>
      <c r="LD69" s="160"/>
      <c r="LE69" s="160"/>
      <c r="LF69" s="160"/>
      <c r="LG69" s="160"/>
      <c r="LH69" s="160"/>
      <c r="LI69" s="160"/>
      <c r="LJ69" s="160"/>
      <c r="LK69" s="160"/>
      <c r="LL69" s="160"/>
      <c r="LM69" s="160"/>
      <c r="LN69" s="160"/>
      <c r="LO69" s="160"/>
      <c r="LP69" s="160"/>
      <c r="LQ69" s="160"/>
      <c r="LR69" s="160"/>
      <c r="LS69" s="160"/>
      <c r="LT69" s="160"/>
      <c r="LU69" s="160"/>
      <c r="LV69" s="160"/>
      <c r="LW69" s="160"/>
      <c r="LX69" s="160"/>
      <c r="LY69" s="160"/>
      <c r="LZ69" s="160"/>
      <c r="MA69" s="160"/>
      <c r="MB69" s="160"/>
      <c r="MC69" s="160"/>
      <c r="MD69" s="160"/>
      <c r="ME69" s="160"/>
      <c r="MF69" s="160"/>
      <c r="MG69" s="160"/>
      <c r="MH69" s="160"/>
      <c r="MI69" s="160"/>
      <c r="MJ69" s="160"/>
      <c r="MK69" s="160"/>
      <c r="ML69" s="160"/>
      <c r="MM69" s="160"/>
      <c r="MN69" s="160"/>
      <c r="MO69" s="160"/>
      <c r="MP69" s="160"/>
      <c r="MQ69" s="160"/>
      <c r="MR69" s="160"/>
      <c r="MS69" s="160"/>
      <c r="MT69" s="160"/>
      <c r="MU69" s="160"/>
      <c r="MV69" s="160"/>
      <c r="MW69" s="160"/>
      <c r="MX69" s="160"/>
      <c r="MY69" s="160"/>
      <c r="MZ69" s="160"/>
      <c r="NA69" s="160"/>
      <c r="NB69" s="160"/>
      <c r="NC69" s="160"/>
      <c r="ND69" s="160"/>
      <c r="NE69" s="160"/>
      <c r="NF69" s="160"/>
      <c r="NG69" s="160"/>
      <c r="NH69" s="160"/>
      <c r="NI69" s="160"/>
      <c r="NJ69" s="160"/>
      <c r="NK69" s="160"/>
      <c r="NL69" s="160"/>
      <c r="NM69" s="160"/>
      <c r="NN69" s="160"/>
      <c r="NO69" s="160"/>
      <c r="NP69" s="160"/>
      <c r="NQ69" s="160"/>
      <c r="NR69" s="160"/>
      <c r="NS69" s="160"/>
      <c r="NT69" s="160"/>
      <c r="NU69" s="160"/>
      <c r="NV69" s="160"/>
      <c r="NW69" s="160"/>
      <c r="NX69" s="160"/>
      <c r="NY69" s="160"/>
      <c r="NZ69" s="160"/>
      <c r="OA69" s="160"/>
      <c r="OB69" s="160"/>
      <c r="OC69" s="160"/>
      <c r="OD69" s="160"/>
      <c r="OE69" s="160"/>
      <c r="OF69" s="160"/>
      <c r="OG69" s="160"/>
      <c r="OH69" s="160"/>
      <c r="OI69" s="160"/>
      <c r="OJ69" s="160"/>
      <c r="OK69" s="160"/>
      <c r="OL69" s="160"/>
      <c r="OM69" s="160"/>
      <c r="ON69" s="160"/>
      <c r="OO69" s="160"/>
      <c r="OP69" s="160"/>
      <c r="OQ69" s="160"/>
      <c r="OR69" s="160"/>
      <c r="OS69" s="160"/>
      <c r="OT69" s="160"/>
      <c r="OU69" s="160"/>
      <c r="OV69" s="160"/>
      <c r="OW69" s="160"/>
      <c r="OX69" s="160"/>
      <c r="OY69" s="160"/>
      <c r="OZ69" s="160"/>
      <c r="PA69" s="160"/>
      <c r="PB69" s="160"/>
      <c r="PC69" s="160"/>
      <c r="PD69" s="160"/>
      <c r="PE69" s="160"/>
      <c r="PF69" s="160"/>
      <c r="PG69" s="160"/>
      <c r="PH69" s="160"/>
      <c r="PI69" s="160"/>
      <c r="PJ69" s="160"/>
      <c r="PK69" s="160"/>
      <c r="PL69" s="160"/>
      <c r="PM69" s="160"/>
      <c r="PN69" s="160"/>
      <c r="PO69" s="160"/>
      <c r="PP69" s="160"/>
      <c r="PQ69" s="160"/>
      <c r="PR69" s="160"/>
      <c r="PS69" s="160"/>
      <c r="PT69" s="160"/>
      <c r="PU69" s="160"/>
      <c r="PV69" s="160"/>
      <c r="PW69" s="160"/>
      <c r="PX69" s="160"/>
      <c r="PY69" s="160"/>
      <c r="PZ69" s="160"/>
      <c r="QA69" s="160"/>
      <c r="QB69" s="160"/>
      <c r="QC69" s="160"/>
      <c r="QD69" s="160"/>
      <c r="QE69" s="160"/>
      <c r="QF69" s="160"/>
      <c r="QG69" s="160"/>
      <c r="QH69" s="160"/>
      <c r="QI69" s="160"/>
      <c r="QJ69" s="160"/>
      <c r="QK69" s="160"/>
      <c r="QL69" s="160"/>
      <c r="QM69" s="160"/>
      <c r="QN69" s="160"/>
      <c r="QO69" s="160"/>
      <c r="QP69" s="160"/>
      <c r="QQ69" s="160"/>
      <c r="QR69" s="160"/>
      <c r="QS69" s="160"/>
      <c r="QT69" s="160"/>
      <c r="QU69" s="160"/>
      <c r="QV69" s="160"/>
      <c r="QW69" s="160"/>
      <c r="QX69" s="160"/>
      <c r="QY69" s="160"/>
      <c r="QZ69" s="160"/>
      <c r="RA69" s="160"/>
      <c r="RB69" s="160"/>
      <c r="RC69" s="160"/>
      <c r="RD69" s="160"/>
      <c r="RE69" s="160"/>
      <c r="RF69" s="160"/>
      <c r="RG69" s="160"/>
      <c r="RH69" s="160"/>
      <c r="RI69" s="160"/>
      <c r="RJ69" s="160"/>
      <c r="RK69" s="160"/>
      <c r="RL69" s="160"/>
      <c r="RM69" s="160"/>
      <c r="RN69" s="160"/>
      <c r="RO69" s="160"/>
      <c r="RP69" s="160"/>
      <c r="RQ69" s="160"/>
      <c r="RR69" s="160"/>
      <c r="RS69" s="160"/>
      <c r="RT69" s="160"/>
      <c r="RU69" s="160"/>
      <c r="RV69" s="160"/>
      <c r="RW69" s="160"/>
      <c r="RX69" s="160"/>
      <c r="RY69" s="160"/>
      <c r="RZ69" s="160"/>
      <c r="SA69" s="160"/>
      <c r="SB69" s="160"/>
      <c r="SC69" s="160"/>
      <c r="SD69" s="160"/>
      <c r="SE69" s="160"/>
      <c r="SF69" s="160"/>
      <c r="SG69" s="160"/>
      <c r="SH69" s="160"/>
      <c r="SI69" s="160"/>
      <c r="SJ69" s="160"/>
      <c r="SK69" s="160"/>
      <c r="SL69" s="160"/>
      <c r="SM69" s="160"/>
      <c r="SN69" s="160"/>
      <c r="SO69" s="160"/>
      <c r="SP69" s="160"/>
      <c r="SQ69" s="160"/>
      <c r="SR69" s="160"/>
      <c r="SS69" s="160"/>
      <c r="ST69" s="160"/>
      <c r="SU69" s="160"/>
      <c r="SV69" s="160"/>
      <c r="SW69" s="160"/>
      <c r="SX69" s="160"/>
      <c r="SY69" s="160"/>
      <c r="SZ69" s="160"/>
      <c r="TA69" s="160"/>
      <c r="TB69" s="160"/>
      <c r="TC69" s="160"/>
      <c r="TD69" s="160"/>
      <c r="TE69" s="160"/>
      <c r="TF69" s="160"/>
      <c r="TG69" s="160"/>
      <c r="TH69" s="160"/>
      <c r="TI69" s="160"/>
      <c r="TJ69" s="160"/>
      <c r="TK69" s="160"/>
      <c r="TL69" s="160"/>
      <c r="TM69" s="160"/>
      <c r="TN69" s="160"/>
      <c r="TO69" s="160"/>
      <c r="TP69" s="160"/>
      <c r="TQ69" s="160"/>
      <c r="TR69" s="160"/>
      <c r="TS69" s="160"/>
      <c r="TT69" s="160"/>
      <c r="TU69" s="160"/>
      <c r="TV69" s="160"/>
      <c r="TW69" s="160"/>
      <c r="TX69" s="160"/>
      <c r="TY69" s="160"/>
      <c r="TZ69" s="160"/>
      <c r="UA69" s="160"/>
      <c r="UB69" s="160"/>
      <c r="UC69" s="160"/>
      <c r="UD69" s="160"/>
      <c r="UE69" s="160"/>
      <c r="UF69" s="160"/>
      <c r="UG69" s="160"/>
      <c r="UH69" s="160"/>
      <c r="UI69" s="160"/>
      <c r="UJ69" s="160"/>
      <c r="UK69" s="160"/>
      <c r="UL69" s="160"/>
      <c r="UM69" s="160"/>
      <c r="UN69" s="160"/>
      <c r="UO69" s="160"/>
      <c r="UP69" s="160"/>
      <c r="UQ69" s="160"/>
      <c r="UR69" s="160"/>
      <c r="US69" s="160"/>
      <c r="UT69" s="160"/>
      <c r="UU69" s="160"/>
      <c r="UV69" s="160"/>
      <c r="UW69" s="160"/>
      <c r="UX69" s="160"/>
      <c r="UY69" s="160"/>
      <c r="UZ69" s="160"/>
      <c r="VA69" s="160"/>
      <c r="VB69" s="160"/>
      <c r="VC69" s="160"/>
      <c r="VD69" s="160"/>
      <c r="VE69" s="160"/>
      <c r="VF69" s="160"/>
      <c r="VG69" s="160"/>
      <c r="VH69" s="160"/>
      <c r="VI69" s="160"/>
      <c r="VJ69" s="160"/>
      <c r="VK69" s="160"/>
      <c r="VL69" s="160"/>
      <c r="VM69" s="160"/>
      <c r="VN69" s="160"/>
      <c r="VO69" s="160"/>
      <c r="VP69" s="160"/>
      <c r="VQ69" s="160"/>
      <c r="VR69" s="160"/>
      <c r="VS69" s="160"/>
      <c r="VT69" s="160"/>
      <c r="VU69" s="160"/>
      <c r="VV69" s="160"/>
      <c r="VW69" s="160"/>
      <c r="VX69" s="160"/>
      <c r="VY69" s="160"/>
      <c r="VZ69" s="160"/>
      <c r="WA69" s="160"/>
      <c r="WB69" s="160"/>
      <c r="WC69" s="160"/>
      <c r="WD69" s="160"/>
      <c r="WE69" s="160"/>
      <c r="WF69" s="160"/>
      <c r="WG69" s="160"/>
      <c r="WH69" s="160"/>
      <c r="WI69" s="160"/>
      <c r="WJ69" s="160"/>
      <c r="WK69" s="160"/>
      <c r="WL69" s="160"/>
      <c r="WM69" s="160"/>
      <c r="WN69" s="160"/>
      <c r="WO69" s="160"/>
      <c r="WP69" s="160"/>
      <c r="WQ69" s="160"/>
      <c r="WR69" s="160"/>
      <c r="WS69" s="160"/>
      <c r="WT69" s="160"/>
      <c r="WU69" s="160"/>
      <c r="WV69" s="160"/>
      <c r="WW69" s="160"/>
      <c r="WX69" s="160"/>
      <c r="WY69" s="160"/>
      <c r="WZ69" s="160"/>
      <c r="XA69" s="160"/>
      <c r="XB69" s="160"/>
      <c r="XC69" s="160"/>
      <c r="XD69" s="160"/>
      <c r="XE69" s="160"/>
      <c r="XF69" s="160"/>
      <c r="XG69" s="160"/>
      <c r="XH69" s="160"/>
      <c r="XI69" s="160"/>
      <c r="XJ69" s="160"/>
      <c r="XK69" s="160"/>
      <c r="XL69" s="160"/>
      <c r="XM69" s="160"/>
      <c r="XN69" s="160"/>
      <c r="XO69" s="160"/>
      <c r="XP69" s="160"/>
      <c r="XQ69" s="160"/>
      <c r="XR69" s="160"/>
      <c r="XS69" s="160"/>
      <c r="XT69" s="160"/>
      <c r="XU69" s="160"/>
      <c r="XV69" s="160"/>
      <c r="XW69" s="160"/>
      <c r="XX69" s="160"/>
      <c r="XY69" s="160"/>
      <c r="XZ69" s="160"/>
      <c r="YA69" s="160"/>
      <c r="YB69" s="160"/>
      <c r="YC69" s="160"/>
      <c r="YD69" s="160"/>
      <c r="YE69" s="160"/>
      <c r="YF69" s="160"/>
      <c r="YG69" s="160"/>
      <c r="YH69" s="160"/>
      <c r="YI69" s="160"/>
      <c r="YJ69" s="160"/>
      <c r="YK69" s="160"/>
      <c r="YL69" s="160"/>
      <c r="YM69" s="160"/>
      <c r="YN69" s="160"/>
      <c r="YO69" s="160"/>
      <c r="YP69" s="160"/>
      <c r="YQ69" s="160"/>
      <c r="YR69" s="160"/>
      <c r="YS69" s="160"/>
      <c r="YT69" s="160"/>
      <c r="YU69" s="160"/>
      <c r="YV69" s="160"/>
      <c r="YW69" s="160"/>
      <c r="YX69" s="160"/>
      <c r="YY69" s="160"/>
      <c r="YZ69" s="160"/>
      <c r="ZA69" s="160"/>
      <c r="ZB69" s="160"/>
      <c r="ZC69" s="160"/>
      <c r="ZD69" s="160"/>
      <c r="ZE69" s="160"/>
      <c r="ZF69" s="160"/>
      <c r="ZG69" s="160"/>
      <c r="ZH69" s="160"/>
      <c r="ZI69" s="160"/>
      <c r="ZJ69" s="160"/>
      <c r="ZK69" s="160"/>
      <c r="ZL69" s="160"/>
      <c r="ZM69" s="160"/>
      <c r="ZN69" s="160"/>
      <c r="ZO69" s="160"/>
      <c r="ZP69" s="160"/>
      <c r="ZQ69" s="160"/>
      <c r="ZR69" s="160"/>
      <c r="ZS69" s="160"/>
      <c r="ZT69" s="160"/>
      <c r="ZU69" s="160"/>
      <c r="ZV69" s="160"/>
      <c r="ZW69" s="160"/>
      <c r="ZX69" s="160"/>
      <c r="ZY69" s="160"/>
      <c r="ZZ69" s="160"/>
      <c r="AAA69" s="160"/>
      <c r="AAB69" s="160"/>
      <c r="AAC69" s="160"/>
      <c r="AAD69" s="160"/>
      <c r="AAE69" s="160"/>
      <c r="AAF69" s="160"/>
      <c r="AAG69" s="160"/>
      <c r="AAH69" s="160"/>
      <c r="AAI69" s="160"/>
      <c r="AAJ69" s="160"/>
      <c r="AAK69" s="160"/>
      <c r="AAL69" s="160"/>
      <c r="AAM69" s="160"/>
      <c r="AAN69" s="160"/>
      <c r="AAO69" s="160"/>
      <c r="AAP69" s="160"/>
      <c r="AAQ69" s="160"/>
      <c r="AAR69" s="160"/>
      <c r="AAS69" s="160"/>
      <c r="AAT69" s="160"/>
      <c r="AAU69" s="160"/>
      <c r="AAV69" s="160"/>
      <c r="AAW69" s="160"/>
      <c r="AAX69" s="160"/>
      <c r="AAY69" s="160"/>
      <c r="AAZ69" s="160"/>
      <c r="ABA69" s="160"/>
      <c r="ABB69" s="160"/>
      <c r="ABC69" s="160"/>
      <c r="ABD69" s="160"/>
      <c r="ABE69" s="160"/>
      <c r="ABF69" s="160"/>
      <c r="ABG69" s="160"/>
      <c r="ABH69" s="160"/>
      <c r="ABI69" s="160"/>
      <c r="ABJ69" s="160"/>
      <c r="ABK69" s="160"/>
      <c r="ABL69" s="160"/>
      <c r="ABM69" s="160"/>
      <c r="ABN69" s="160"/>
      <c r="ABO69" s="160"/>
      <c r="ABP69" s="160"/>
      <c r="ABQ69" s="160"/>
      <c r="ABR69" s="160"/>
      <c r="ABS69" s="160"/>
      <c r="ABT69" s="160"/>
      <c r="ABU69" s="160"/>
      <c r="ABV69" s="160"/>
      <c r="ABW69" s="160"/>
      <c r="ABX69" s="160"/>
      <c r="ABY69" s="160"/>
      <c r="ABZ69" s="160"/>
      <c r="ACA69" s="160"/>
      <c r="ACB69" s="160"/>
      <c r="ACC69" s="160"/>
      <c r="ACD69" s="160"/>
      <c r="ACE69" s="160"/>
      <c r="ACF69" s="160"/>
      <c r="ACG69" s="160"/>
      <c r="ACH69" s="160"/>
      <c r="ACI69" s="160"/>
      <c r="ACJ69" s="160"/>
      <c r="ACK69" s="160"/>
      <c r="ACL69" s="160"/>
      <c r="ACM69" s="160"/>
      <c r="ACN69" s="160"/>
      <c r="ACO69" s="160"/>
      <c r="ACP69" s="160"/>
      <c r="ACQ69" s="160"/>
      <c r="ACR69" s="160"/>
      <c r="ACS69" s="160"/>
      <c r="ACT69" s="160"/>
      <c r="ACU69" s="160"/>
      <c r="ACV69" s="160"/>
      <c r="ACW69" s="160"/>
      <c r="ACX69" s="160"/>
      <c r="ACY69" s="160"/>
      <c r="ACZ69" s="160"/>
      <c r="ADA69" s="160"/>
      <c r="ADB69" s="160"/>
      <c r="ADC69" s="160"/>
      <c r="ADD69" s="160"/>
      <c r="ADE69" s="160"/>
      <c r="ADF69" s="160"/>
      <c r="ADG69" s="160"/>
      <c r="ADH69" s="160"/>
      <c r="ADI69" s="160"/>
      <c r="ADJ69" s="160"/>
      <c r="ADK69" s="160"/>
      <c r="ADL69" s="160"/>
      <c r="ADM69" s="160"/>
      <c r="ADN69" s="160"/>
      <c r="ADO69" s="160"/>
      <c r="ADP69" s="160"/>
      <c r="ADQ69" s="160"/>
      <c r="ADR69" s="160"/>
      <c r="ADS69" s="160"/>
      <c r="ADT69" s="160"/>
      <c r="ADU69" s="160"/>
      <c r="ADV69" s="160"/>
      <c r="ADW69" s="160"/>
      <c r="ADX69" s="160"/>
      <c r="ADY69" s="160"/>
      <c r="ADZ69" s="160"/>
      <c r="AEA69" s="160"/>
      <c r="AEB69" s="160"/>
      <c r="AEC69" s="160"/>
      <c r="AED69" s="160"/>
      <c r="AEE69" s="160"/>
      <c r="AEF69" s="160"/>
      <c r="AEG69" s="160"/>
      <c r="AEH69" s="160"/>
      <c r="AEI69" s="160"/>
      <c r="AEJ69" s="160"/>
      <c r="AEK69" s="160"/>
      <c r="AEL69" s="160"/>
      <c r="AEM69" s="160"/>
      <c r="AEN69" s="160"/>
      <c r="AEO69" s="160"/>
      <c r="AEP69" s="160"/>
      <c r="AEQ69" s="160"/>
      <c r="AER69" s="160"/>
      <c r="AES69" s="160"/>
      <c r="AET69" s="160"/>
      <c r="AEU69" s="160"/>
      <c r="AEV69" s="160"/>
      <c r="AEW69" s="160"/>
      <c r="AEX69" s="160"/>
      <c r="AEY69" s="160"/>
      <c r="AEZ69" s="160"/>
      <c r="AFA69" s="160"/>
      <c r="AFB69" s="160"/>
      <c r="AFC69" s="160"/>
      <c r="AFD69" s="160"/>
      <c r="AFE69" s="160"/>
      <c r="AFF69" s="160"/>
      <c r="AFG69" s="160"/>
      <c r="AFH69" s="160"/>
      <c r="AFI69" s="160"/>
      <c r="AFJ69" s="160"/>
      <c r="AFK69" s="160"/>
      <c r="AFL69" s="160"/>
      <c r="AFM69" s="160"/>
      <c r="AFN69" s="160"/>
      <c r="AFO69" s="160"/>
      <c r="AFP69" s="160"/>
      <c r="AFQ69" s="160"/>
      <c r="AFR69" s="160"/>
      <c r="AFS69" s="160"/>
      <c r="AFT69" s="160"/>
      <c r="AFU69" s="160"/>
      <c r="AFV69" s="160"/>
      <c r="AFW69" s="160"/>
      <c r="AFX69" s="160"/>
      <c r="AFY69" s="160"/>
      <c r="AFZ69" s="160"/>
      <c r="AGA69" s="160"/>
      <c r="AGB69" s="160"/>
      <c r="AGC69" s="160"/>
      <c r="AGD69" s="160"/>
      <c r="AGE69" s="160"/>
      <c r="AGF69" s="160"/>
      <c r="AGG69" s="160"/>
      <c r="AGH69" s="160"/>
      <c r="AGI69" s="160"/>
      <c r="AGJ69" s="160"/>
      <c r="AGK69" s="160"/>
      <c r="AGL69" s="160"/>
      <c r="AGM69" s="160"/>
      <c r="AGN69" s="160"/>
      <c r="AGO69" s="160"/>
      <c r="AGP69" s="160"/>
      <c r="AGQ69" s="160"/>
      <c r="AGR69" s="160"/>
      <c r="AGS69" s="160"/>
      <c r="AGT69" s="160"/>
      <c r="AGU69" s="160"/>
      <c r="AGV69" s="160"/>
      <c r="AGW69" s="160"/>
      <c r="AGX69" s="160"/>
      <c r="AGY69" s="160"/>
      <c r="AGZ69" s="160"/>
      <c r="AHA69" s="160"/>
      <c r="AHB69" s="160"/>
      <c r="AHC69" s="160"/>
      <c r="AHD69" s="160"/>
      <c r="AHE69" s="160"/>
      <c r="AHF69" s="160"/>
      <c r="AHG69" s="160"/>
      <c r="AHH69" s="160"/>
      <c r="AHI69" s="160"/>
      <c r="AHJ69" s="160"/>
      <c r="AHK69" s="160"/>
      <c r="AHL69" s="160"/>
      <c r="AHM69" s="160"/>
      <c r="AHN69" s="160"/>
      <c r="AHO69" s="160"/>
      <c r="AHP69" s="160"/>
      <c r="AHQ69" s="160"/>
      <c r="AHR69" s="160"/>
      <c r="AHS69" s="160"/>
      <c r="AHT69" s="160"/>
      <c r="AHU69" s="160"/>
      <c r="AHV69" s="160"/>
      <c r="AHW69" s="160"/>
      <c r="AHX69" s="160"/>
      <c r="AHY69" s="160"/>
      <c r="AHZ69" s="160"/>
      <c r="AIA69" s="160"/>
      <c r="AIB69" s="160"/>
      <c r="AIC69" s="160"/>
      <c r="AID69" s="160"/>
      <c r="AIE69" s="160"/>
      <c r="AIF69" s="160"/>
      <c r="AIG69" s="160"/>
      <c r="AIH69" s="160"/>
      <c r="AII69" s="160"/>
      <c r="AIJ69" s="160"/>
      <c r="AIK69" s="160"/>
      <c r="AIL69" s="160"/>
      <c r="AIM69" s="160"/>
      <c r="AIN69" s="160"/>
      <c r="AIO69" s="160"/>
      <c r="AIP69" s="160"/>
      <c r="AIQ69" s="160"/>
      <c r="AIR69" s="160"/>
      <c r="AIS69" s="160"/>
      <c r="AIT69" s="160"/>
      <c r="AIU69" s="160"/>
      <c r="AIV69" s="160"/>
      <c r="AIW69" s="160"/>
      <c r="AIX69" s="160"/>
      <c r="AIY69" s="160"/>
      <c r="AIZ69" s="160"/>
      <c r="AJA69" s="160"/>
      <c r="AJB69" s="160"/>
      <c r="AJC69" s="160"/>
      <c r="AJD69" s="160"/>
      <c r="AJE69" s="160"/>
      <c r="AJF69" s="160"/>
      <c r="AJG69" s="160"/>
      <c r="AJH69" s="160"/>
      <c r="AJI69" s="160"/>
      <c r="AJJ69" s="160"/>
      <c r="AJK69" s="160"/>
      <c r="AJL69" s="160"/>
      <c r="AJM69" s="160"/>
      <c r="AJN69" s="160"/>
      <c r="AJO69" s="160"/>
      <c r="AJP69" s="160"/>
      <c r="AJQ69" s="160"/>
      <c r="AJR69" s="160"/>
      <c r="AJS69" s="160"/>
      <c r="AJT69" s="160"/>
      <c r="AJU69" s="160"/>
      <c r="AJV69" s="160"/>
      <c r="AJW69" s="160"/>
      <c r="AJX69" s="160"/>
      <c r="AJY69" s="160"/>
      <c r="AJZ69" s="160"/>
      <c r="AKA69" s="160"/>
      <c r="AKB69" s="160"/>
      <c r="AKC69" s="160"/>
      <c r="AKD69" s="160"/>
      <c r="AKE69" s="160"/>
      <c r="AKF69" s="160"/>
      <c r="AKG69" s="160"/>
      <c r="AKH69" s="160"/>
      <c r="AKI69" s="160"/>
      <c r="AKJ69" s="160"/>
      <c r="AKK69" s="160"/>
      <c r="AKL69" s="160"/>
      <c r="AKM69" s="160"/>
      <c r="AKN69" s="160"/>
      <c r="AKO69" s="160"/>
      <c r="AKP69" s="160"/>
      <c r="AKQ69" s="160"/>
      <c r="AKR69" s="160"/>
      <c r="AKS69" s="160"/>
      <c r="AKT69" s="160"/>
      <c r="AKU69" s="160"/>
      <c r="AKV69" s="160"/>
      <c r="AKW69" s="160"/>
      <c r="AKX69" s="160"/>
      <c r="AKY69" s="160"/>
      <c r="AKZ69" s="160"/>
      <c r="ALA69" s="160"/>
      <c r="ALB69" s="160"/>
      <c r="ALC69" s="160"/>
      <c r="ALD69" s="160"/>
      <c r="ALE69" s="160"/>
      <c r="ALF69" s="160"/>
      <c r="ALG69" s="160"/>
      <c r="ALH69" s="160"/>
      <c r="ALI69" s="160"/>
      <c r="ALJ69" s="160"/>
      <c r="ALK69" s="160"/>
      <c r="ALL69" s="160"/>
      <c r="ALM69" s="160"/>
      <c r="ALN69" s="160"/>
      <c r="ALO69" s="160"/>
      <c r="ALP69" s="160"/>
      <c r="ALQ69" s="160"/>
      <c r="ALR69" s="160"/>
      <c r="ALS69" s="160"/>
      <c r="ALT69" s="160"/>
      <c r="ALU69" s="160"/>
      <c r="ALV69" s="160"/>
      <c r="ALW69" s="160"/>
      <c r="ALX69" s="160"/>
      <c r="ALY69" s="160"/>
      <c r="ALZ69" s="160"/>
      <c r="AMA69" s="160"/>
      <c r="AMB69" s="160"/>
      <c r="AMC69" s="160"/>
      <c r="AMD69" s="160"/>
      <c r="AME69" s="158"/>
    </row>
    <row r="70" spans="1:1019" s="176" customFormat="1" ht="15" customHeight="1">
      <c r="A70" s="168">
        <f t="shared" si="2"/>
        <v>63</v>
      </c>
      <c r="B70" s="175">
        <v>1587</v>
      </c>
      <c r="C70" s="168" t="s">
        <v>217</v>
      </c>
      <c r="D70" s="169">
        <f>'הנדסה '!D35</f>
        <v>34200000</v>
      </c>
      <c r="E70" s="169">
        <f>'הנדסה '!E35</f>
        <v>34200000</v>
      </c>
      <c r="F70" s="169">
        <f>'הנדסה '!F35</f>
        <v>0</v>
      </c>
      <c r="G70" s="169">
        <f>'הנדסה '!G35</f>
        <v>10800000</v>
      </c>
      <c r="H70" s="169">
        <f>'הנדסה '!H35</f>
        <v>7933031.1699999999</v>
      </c>
      <c r="I70" s="169">
        <f>'הנדסה '!I35</f>
        <v>512415.18</v>
      </c>
      <c r="J70" s="169">
        <f>'הנדסה '!J35</f>
        <v>79670.53</v>
      </c>
      <c r="K70" s="169">
        <f>'הנדסה '!K35</f>
        <v>592085.71</v>
      </c>
      <c r="L70" s="169">
        <f>'הנדסה '!L35</f>
        <v>8525116.879999999</v>
      </c>
      <c r="M70" s="169">
        <f>'הנדסה '!M35</f>
        <v>474883.12000000104</v>
      </c>
      <c r="N70" s="169">
        <f>'הנדסה '!N35</f>
        <v>1800000</v>
      </c>
      <c r="O70" s="169">
        <f>'הנדסה '!O35</f>
        <v>23400000</v>
      </c>
      <c r="P70" s="169">
        <f>'הנדסה '!P35</f>
        <v>2274883.120000001</v>
      </c>
      <c r="Q70" s="169">
        <f>'הנדסה '!Q35</f>
        <v>0</v>
      </c>
      <c r="R70" s="169">
        <f>'הנדסה '!R35</f>
        <v>0</v>
      </c>
      <c r="S70" s="169">
        <f>'הנדסה '!S35</f>
        <v>0</v>
      </c>
      <c r="T70" s="169">
        <f>'הנדסה '!T35</f>
        <v>1800000</v>
      </c>
      <c r="U70" s="169">
        <f>'הנדסה '!U35</f>
        <v>0</v>
      </c>
      <c r="V70" s="169">
        <f>'הנדסה '!V35</f>
        <v>0</v>
      </c>
      <c r="W70" s="169">
        <f>'הנדסה '!W35</f>
        <v>0</v>
      </c>
      <c r="X70" s="169">
        <f>'הנדסה '!X35</f>
        <v>0</v>
      </c>
      <c r="Y70" s="169">
        <f>'הנדסה '!Y35</f>
        <v>0</v>
      </c>
      <c r="Z70" s="169">
        <f>'הנדסה '!Z35</f>
        <v>0</v>
      </c>
      <c r="AA70" s="659">
        <f>'הנדסה '!AA35</f>
        <v>742000</v>
      </c>
      <c r="AB70" s="157"/>
      <c r="AC70" s="157"/>
      <c r="AD70" s="157"/>
      <c r="AE70" s="157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  <c r="HG70" s="172"/>
      <c r="HH70" s="172"/>
      <c r="HI70" s="172"/>
      <c r="HJ70" s="172"/>
      <c r="HK70" s="172"/>
      <c r="HL70" s="172"/>
      <c r="HM70" s="172"/>
      <c r="HN70" s="172"/>
      <c r="HO70" s="172"/>
      <c r="HP70" s="172"/>
      <c r="HQ70" s="172"/>
      <c r="HR70" s="172"/>
      <c r="HS70" s="172"/>
      <c r="HT70" s="172"/>
      <c r="HU70" s="172"/>
      <c r="HV70" s="172"/>
      <c r="HW70" s="172"/>
      <c r="HX70" s="172"/>
      <c r="HY70" s="172"/>
      <c r="HZ70" s="172"/>
      <c r="IA70" s="172"/>
      <c r="IB70" s="172"/>
      <c r="IC70" s="172"/>
      <c r="ID70" s="172"/>
      <c r="IE70" s="172"/>
      <c r="IF70" s="172"/>
      <c r="IG70" s="172"/>
      <c r="IH70" s="172"/>
      <c r="II70" s="172"/>
      <c r="IJ70" s="172"/>
      <c r="IK70" s="172"/>
      <c r="IL70" s="172"/>
      <c r="IM70" s="172"/>
      <c r="IN70" s="172"/>
      <c r="IO70" s="172"/>
      <c r="IP70" s="172"/>
      <c r="IQ70" s="172"/>
      <c r="IR70" s="172"/>
      <c r="IS70" s="172"/>
      <c r="IT70" s="172"/>
      <c r="IU70" s="172"/>
      <c r="IV70" s="172"/>
      <c r="IW70" s="172"/>
      <c r="IX70" s="172"/>
      <c r="IY70" s="172"/>
      <c r="IZ70" s="172"/>
      <c r="JA70" s="172"/>
      <c r="JB70" s="172"/>
      <c r="JC70" s="172"/>
      <c r="JD70" s="172"/>
      <c r="JE70" s="172"/>
      <c r="JF70" s="172"/>
      <c r="JG70" s="172"/>
      <c r="JH70" s="172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  <c r="OX70" s="172"/>
      <c r="OY70" s="172"/>
      <c r="OZ70" s="172"/>
      <c r="PA70" s="172"/>
      <c r="PB70" s="172"/>
      <c r="PC70" s="172"/>
      <c r="PD70" s="172"/>
      <c r="PE70" s="172"/>
      <c r="PF70" s="172"/>
      <c r="PG70" s="172"/>
      <c r="PH70" s="172"/>
      <c r="PI70" s="172"/>
      <c r="PJ70" s="172"/>
      <c r="PK70" s="172"/>
      <c r="PL70" s="172"/>
      <c r="PM70" s="172"/>
      <c r="PN70" s="172"/>
      <c r="PO70" s="172"/>
      <c r="PP70" s="172"/>
      <c r="PQ70" s="172"/>
      <c r="PR70" s="172"/>
      <c r="PS70" s="172"/>
      <c r="PT70" s="172"/>
      <c r="PU70" s="172"/>
      <c r="PV70" s="172"/>
      <c r="PW70" s="172"/>
      <c r="PX70" s="172"/>
      <c r="PY70" s="172"/>
      <c r="PZ70" s="172"/>
      <c r="QA70" s="172"/>
      <c r="QB70" s="172"/>
      <c r="QC70" s="172"/>
      <c r="QD70" s="172"/>
      <c r="QE70" s="172"/>
      <c r="QF70" s="172"/>
      <c r="QG70" s="172"/>
      <c r="QH70" s="172"/>
      <c r="QI70" s="172"/>
      <c r="QJ70" s="172"/>
      <c r="QK70" s="172"/>
      <c r="QL70" s="172"/>
      <c r="QM70" s="172"/>
      <c r="QN70" s="172"/>
      <c r="QO70" s="172"/>
      <c r="QP70" s="172"/>
      <c r="QQ70" s="172"/>
      <c r="QR70" s="172"/>
      <c r="QS70" s="172"/>
      <c r="QT70" s="172"/>
      <c r="QU70" s="172"/>
      <c r="QV70" s="172"/>
      <c r="QW70" s="172"/>
      <c r="QX70" s="172"/>
      <c r="QY70" s="172"/>
      <c r="QZ70" s="172"/>
      <c r="RA70" s="172"/>
      <c r="RB70" s="172"/>
      <c r="RC70" s="172"/>
      <c r="RD70" s="172"/>
      <c r="RE70" s="172"/>
      <c r="RF70" s="172"/>
      <c r="RG70" s="172"/>
      <c r="RH70" s="172"/>
      <c r="RI70" s="172"/>
      <c r="RJ70" s="172"/>
      <c r="RK70" s="172"/>
      <c r="RL70" s="172"/>
      <c r="RM70" s="172"/>
      <c r="RN70" s="172"/>
      <c r="RO70" s="172"/>
      <c r="RP70" s="172"/>
      <c r="RQ70" s="172"/>
      <c r="RR70" s="172"/>
      <c r="RS70" s="172"/>
      <c r="RT70" s="172"/>
      <c r="RU70" s="172"/>
      <c r="RV70" s="172"/>
      <c r="RW70" s="172"/>
      <c r="RX70" s="172"/>
      <c r="RY70" s="172"/>
      <c r="RZ70" s="172"/>
      <c r="SA70" s="172"/>
      <c r="SB70" s="172"/>
      <c r="SC70" s="172"/>
      <c r="SD70" s="172"/>
      <c r="SE70" s="172"/>
      <c r="SF70" s="172"/>
      <c r="SG70" s="172"/>
      <c r="SH70" s="172"/>
      <c r="SI70" s="172"/>
      <c r="SJ70" s="172"/>
      <c r="SK70" s="172"/>
      <c r="SL70" s="172"/>
      <c r="SM70" s="172"/>
      <c r="SN70" s="172"/>
      <c r="SO70" s="172"/>
      <c r="SP70" s="172"/>
      <c r="SQ70" s="172"/>
      <c r="SR70" s="172"/>
      <c r="SS70" s="172"/>
      <c r="ST70" s="172"/>
      <c r="SU70" s="172"/>
      <c r="SV70" s="172"/>
      <c r="SW70" s="172"/>
      <c r="SX70" s="172"/>
      <c r="SY70" s="172"/>
      <c r="SZ70" s="172"/>
      <c r="TA70" s="172"/>
      <c r="TB70" s="172"/>
      <c r="TC70" s="172"/>
      <c r="TD70" s="172"/>
      <c r="TE70" s="172"/>
      <c r="TF70" s="172"/>
      <c r="TG70" s="172"/>
      <c r="TH70" s="172"/>
      <c r="TI70" s="172"/>
      <c r="TJ70" s="172"/>
      <c r="TK70" s="172"/>
      <c r="TL70" s="172"/>
      <c r="TM70" s="172"/>
      <c r="TN70" s="172"/>
      <c r="TO70" s="172"/>
      <c r="TP70" s="172"/>
      <c r="TQ70" s="172"/>
      <c r="TR70" s="172"/>
      <c r="TS70" s="172"/>
      <c r="TT70" s="172"/>
      <c r="TU70" s="172"/>
      <c r="TV70" s="172"/>
      <c r="TW70" s="172"/>
      <c r="TX70" s="172"/>
      <c r="TY70" s="172"/>
      <c r="TZ70" s="172"/>
      <c r="UA70" s="172"/>
      <c r="UB70" s="172"/>
      <c r="UC70" s="172"/>
      <c r="UD70" s="172"/>
      <c r="UE70" s="172"/>
      <c r="UF70" s="172"/>
      <c r="UG70" s="172"/>
      <c r="UH70" s="172"/>
      <c r="UI70" s="172"/>
      <c r="UJ70" s="172"/>
      <c r="UK70" s="172"/>
      <c r="UL70" s="172"/>
      <c r="UM70" s="172"/>
      <c r="UN70" s="172"/>
      <c r="UO70" s="172"/>
      <c r="UP70" s="172"/>
      <c r="UQ70" s="172"/>
      <c r="UR70" s="172"/>
      <c r="US70" s="172"/>
      <c r="UT70" s="172"/>
      <c r="UU70" s="172"/>
      <c r="UV70" s="172"/>
      <c r="UW70" s="172"/>
      <c r="UX70" s="172"/>
      <c r="UY70" s="172"/>
      <c r="UZ70" s="172"/>
      <c r="VA70" s="172"/>
      <c r="VB70" s="172"/>
      <c r="VC70" s="172"/>
      <c r="VD70" s="172"/>
      <c r="VE70" s="172"/>
      <c r="VF70" s="172"/>
      <c r="VG70" s="172"/>
      <c r="VH70" s="172"/>
      <c r="VI70" s="172"/>
      <c r="VJ70" s="172"/>
      <c r="VK70" s="172"/>
      <c r="VL70" s="172"/>
      <c r="VM70" s="172"/>
      <c r="VN70" s="172"/>
      <c r="VO70" s="172"/>
      <c r="VP70" s="172"/>
      <c r="VQ70" s="172"/>
      <c r="VR70" s="172"/>
      <c r="VS70" s="172"/>
      <c r="VT70" s="172"/>
      <c r="VU70" s="172"/>
      <c r="VV70" s="172"/>
      <c r="VW70" s="172"/>
      <c r="VX70" s="172"/>
      <c r="VY70" s="172"/>
      <c r="VZ70" s="172"/>
      <c r="WA70" s="172"/>
      <c r="WB70" s="172"/>
      <c r="WC70" s="172"/>
      <c r="WD70" s="172"/>
      <c r="WE70" s="172"/>
      <c r="WF70" s="172"/>
      <c r="WG70" s="172"/>
      <c r="WH70" s="172"/>
      <c r="WI70" s="172"/>
      <c r="WJ70" s="172"/>
      <c r="WK70" s="172"/>
      <c r="WL70" s="172"/>
      <c r="WM70" s="172"/>
      <c r="WN70" s="172"/>
      <c r="WO70" s="172"/>
      <c r="WP70" s="172"/>
      <c r="WQ70" s="172"/>
      <c r="WR70" s="172"/>
      <c r="WS70" s="172"/>
      <c r="WT70" s="172"/>
      <c r="WU70" s="172"/>
      <c r="WV70" s="172"/>
      <c r="WW70" s="172"/>
      <c r="WX70" s="172"/>
      <c r="WY70" s="172"/>
      <c r="WZ70" s="172"/>
      <c r="XA70" s="172"/>
      <c r="XB70" s="172"/>
      <c r="XC70" s="172"/>
      <c r="XD70" s="172"/>
      <c r="XE70" s="172"/>
      <c r="XF70" s="172"/>
      <c r="XG70" s="172"/>
      <c r="XH70" s="172"/>
      <c r="XI70" s="172"/>
      <c r="XJ70" s="172"/>
      <c r="XK70" s="172"/>
      <c r="XL70" s="172"/>
      <c r="XM70" s="172"/>
      <c r="XN70" s="172"/>
      <c r="XO70" s="172"/>
      <c r="XP70" s="172"/>
      <c r="XQ70" s="172"/>
      <c r="XR70" s="172"/>
      <c r="XS70" s="172"/>
      <c r="XT70" s="172"/>
      <c r="XU70" s="172"/>
      <c r="XV70" s="172"/>
      <c r="XW70" s="172"/>
      <c r="XX70" s="172"/>
      <c r="XY70" s="172"/>
      <c r="XZ70" s="172"/>
      <c r="YA70" s="172"/>
      <c r="YB70" s="172"/>
      <c r="YC70" s="172"/>
      <c r="YD70" s="172"/>
      <c r="YE70" s="172"/>
      <c r="YF70" s="172"/>
      <c r="YG70" s="172"/>
      <c r="YH70" s="172"/>
      <c r="YI70" s="172"/>
      <c r="YJ70" s="172"/>
      <c r="YK70" s="172"/>
      <c r="YL70" s="172"/>
      <c r="YM70" s="172"/>
      <c r="YN70" s="172"/>
      <c r="YO70" s="172"/>
      <c r="YP70" s="172"/>
      <c r="YQ70" s="172"/>
      <c r="YR70" s="172"/>
      <c r="YS70" s="172"/>
      <c r="YT70" s="172"/>
      <c r="YU70" s="172"/>
      <c r="YV70" s="172"/>
      <c r="YW70" s="172"/>
      <c r="YX70" s="172"/>
      <c r="YY70" s="172"/>
      <c r="YZ70" s="172"/>
      <c r="ZA70" s="172"/>
      <c r="ZB70" s="172"/>
      <c r="ZC70" s="172"/>
      <c r="ZD70" s="172"/>
      <c r="ZE70" s="172"/>
      <c r="ZF70" s="172"/>
      <c r="ZG70" s="172"/>
      <c r="ZH70" s="172"/>
      <c r="ZI70" s="172"/>
      <c r="ZJ70" s="172"/>
      <c r="ZK70" s="172"/>
      <c r="ZL70" s="172"/>
      <c r="ZM70" s="172"/>
      <c r="ZN70" s="172"/>
      <c r="ZO70" s="172"/>
      <c r="ZP70" s="172"/>
      <c r="ZQ70" s="172"/>
      <c r="ZR70" s="172"/>
      <c r="ZS70" s="172"/>
      <c r="ZT70" s="172"/>
      <c r="ZU70" s="172"/>
      <c r="ZV70" s="172"/>
      <c r="ZW70" s="172"/>
      <c r="ZX70" s="172"/>
      <c r="ZY70" s="172"/>
      <c r="ZZ70" s="172"/>
      <c r="AAA70" s="172"/>
      <c r="AAB70" s="172"/>
      <c r="AAC70" s="172"/>
      <c r="AAD70" s="172"/>
      <c r="AAE70" s="172"/>
      <c r="AAF70" s="172"/>
      <c r="AAG70" s="172"/>
      <c r="AAH70" s="172"/>
      <c r="AAI70" s="172"/>
      <c r="AAJ70" s="172"/>
      <c r="AAK70" s="172"/>
      <c r="AAL70" s="172"/>
      <c r="AAM70" s="172"/>
      <c r="AAN70" s="172"/>
      <c r="AAO70" s="172"/>
      <c r="AAP70" s="172"/>
      <c r="AAQ70" s="172"/>
      <c r="AAR70" s="172"/>
      <c r="AAS70" s="172"/>
      <c r="AAT70" s="172"/>
      <c r="AAU70" s="172"/>
      <c r="AAV70" s="172"/>
      <c r="AAW70" s="172"/>
      <c r="AAX70" s="172"/>
      <c r="AAY70" s="172"/>
      <c r="AAZ70" s="172"/>
      <c r="ABA70" s="172"/>
      <c r="ABB70" s="172"/>
      <c r="ABC70" s="172"/>
      <c r="ABD70" s="172"/>
      <c r="ABE70" s="172"/>
      <c r="ABF70" s="172"/>
      <c r="ABG70" s="172"/>
      <c r="ABH70" s="172"/>
      <c r="ABI70" s="172"/>
      <c r="ABJ70" s="172"/>
      <c r="ABK70" s="172"/>
      <c r="ABL70" s="172"/>
      <c r="ABM70" s="172"/>
      <c r="ABN70" s="172"/>
      <c r="ABO70" s="172"/>
      <c r="ABP70" s="172"/>
      <c r="ABQ70" s="172"/>
      <c r="ABR70" s="172"/>
      <c r="ABS70" s="172"/>
      <c r="ABT70" s="172"/>
      <c r="ABU70" s="172"/>
      <c r="ABV70" s="172"/>
      <c r="ABW70" s="172"/>
      <c r="ABX70" s="172"/>
      <c r="ABY70" s="172"/>
      <c r="ABZ70" s="172"/>
      <c r="ACA70" s="172"/>
      <c r="ACB70" s="172"/>
      <c r="ACC70" s="172"/>
      <c r="ACD70" s="172"/>
      <c r="ACE70" s="172"/>
      <c r="ACF70" s="172"/>
      <c r="ACG70" s="172"/>
      <c r="ACH70" s="172"/>
      <c r="ACI70" s="172"/>
      <c r="ACJ70" s="172"/>
      <c r="ACK70" s="172"/>
      <c r="ACL70" s="172"/>
      <c r="ACM70" s="172"/>
      <c r="ACN70" s="172"/>
      <c r="ACO70" s="172"/>
      <c r="ACP70" s="172"/>
      <c r="ACQ70" s="172"/>
      <c r="ACR70" s="172"/>
      <c r="ACS70" s="172"/>
      <c r="ACT70" s="172"/>
      <c r="ACU70" s="172"/>
      <c r="ACV70" s="172"/>
      <c r="ACW70" s="172"/>
      <c r="ACX70" s="172"/>
      <c r="ACY70" s="172"/>
      <c r="ACZ70" s="172"/>
      <c r="ADA70" s="172"/>
      <c r="ADB70" s="172"/>
      <c r="ADC70" s="172"/>
      <c r="ADD70" s="172"/>
      <c r="ADE70" s="172"/>
      <c r="ADF70" s="172"/>
      <c r="ADG70" s="172"/>
      <c r="ADH70" s="172"/>
      <c r="ADI70" s="172"/>
      <c r="ADJ70" s="172"/>
      <c r="ADK70" s="172"/>
      <c r="ADL70" s="172"/>
      <c r="ADM70" s="172"/>
      <c r="ADN70" s="172"/>
      <c r="ADO70" s="172"/>
      <c r="ADP70" s="172"/>
      <c r="ADQ70" s="172"/>
      <c r="ADR70" s="172"/>
      <c r="ADS70" s="172"/>
      <c r="ADT70" s="172"/>
      <c r="ADU70" s="172"/>
      <c r="ADV70" s="172"/>
      <c r="ADW70" s="172"/>
      <c r="ADX70" s="172"/>
      <c r="ADY70" s="172"/>
      <c r="ADZ70" s="172"/>
      <c r="AEA70" s="172"/>
      <c r="AEB70" s="172"/>
      <c r="AEC70" s="172"/>
      <c r="AED70" s="172"/>
      <c r="AEE70" s="172"/>
      <c r="AEF70" s="172"/>
      <c r="AEG70" s="172"/>
      <c r="AEH70" s="172"/>
      <c r="AEI70" s="172"/>
      <c r="AEJ70" s="172"/>
      <c r="AEK70" s="172"/>
      <c r="AEL70" s="172"/>
      <c r="AEM70" s="172"/>
      <c r="AEN70" s="172"/>
      <c r="AEO70" s="172"/>
      <c r="AEP70" s="172"/>
      <c r="AEQ70" s="172"/>
      <c r="AER70" s="172"/>
      <c r="AES70" s="172"/>
      <c r="AET70" s="172"/>
      <c r="AEU70" s="172"/>
      <c r="AEV70" s="172"/>
      <c r="AEW70" s="172"/>
      <c r="AEX70" s="172"/>
      <c r="AEY70" s="172"/>
      <c r="AEZ70" s="172"/>
      <c r="AFA70" s="172"/>
      <c r="AFB70" s="172"/>
      <c r="AFC70" s="172"/>
      <c r="AFD70" s="172"/>
      <c r="AFE70" s="172"/>
      <c r="AFF70" s="172"/>
      <c r="AFG70" s="172"/>
      <c r="AFH70" s="172"/>
      <c r="AFI70" s="172"/>
      <c r="AFJ70" s="172"/>
      <c r="AFK70" s="172"/>
      <c r="AFL70" s="172"/>
      <c r="AFM70" s="172"/>
      <c r="AFN70" s="172"/>
      <c r="AFO70" s="172"/>
      <c r="AFP70" s="172"/>
      <c r="AFQ70" s="172"/>
      <c r="AFR70" s="172"/>
      <c r="AFS70" s="172"/>
      <c r="AFT70" s="172"/>
      <c r="AFU70" s="172"/>
      <c r="AFV70" s="172"/>
      <c r="AFW70" s="172"/>
      <c r="AFX70" s="172"/>
      <c r="AFY70" s="172"/>
      <c r="AFZ70" s="172"/>
      <c r="AGA70" s="172"/>
      <c r="AGB70" s="172"/>
      <c r="AGC70" s="172"/>
      <c r="AGD70" s="172"/>
      <c r="AGE70" s="172"/>
      <c r="AGF70" s="172"/>
      <c r="AGG70" s="172"/>
      <c r="AGH70" s="172"/>
      <c r="AGI70" s="172"/>
      <c r="AGJ70" s="172"/>
      <c r="AGK70" s="172"/>
      <c r="AGL70" s="172"/>
      <c r="AGM70" s="172"/>
      <c r="AGN70" s="172"/>
      <c r="AGO70" s="172"/>
      <c r="AGP70" s="172"/>
      <c r="AGQ70" s="172"/>
      <c r="AGR70" s="172"/>
      <c r="AGS70" s="172"/>
      <c r="AGT70" s="172"/>
      <c r="AGU70" s="172"/>
      <c r="AGV70" s="172"/>
      <c r="AGW70" s="172"/>
      <c r="AGX70" s="172"/>
      <c r="AGY70" s="172"/>
      <c r="AGZ70" s="172"/>
      <c r="AHA70" s="172"/>
      <c r="AHB70" s="172"/>
      <c r="AHC70" s="172"/>
      <c r="AHD70" s="172"/>
      <c r="AHE70" s="172"/>
      <c r="AHF70" s="172"/>
      <c r="AHG70" s="172"/>
      <c r="AHH70" s="172"/>
      <c r="AHI70" s="172"/>
      <c r="AHJ70" s="172"/>
      <c r="AHK70" s="172"/>
      <c r="AHL70" s="172"/>
      <c r="AHM70" s="172"/>
      <c r="AHN70" s="172"/>
      <c r="AHO70" s="172"/>
      <c r="AHP70" s="172"/>
      <c r="AHQ70" s="172"/>
      <c r="AHR70" s="172"/>
      <c r="AHS70" s="172"/>
      <c r="AHT70" s="172"/>
      <c r="AHU70" s="172"/>
      <c r="AHV70" s="172"/>
      <c r="AHW70" s="172"/>
      <c r="AHX70" s="172"/>
      <c r="AHY70" s="172"/>
      <c r="AHZ70" s="172"/>
      <c r="AIA70" s="172"/>
      <c r="AIB70" s="172"/>
      <c r="AIC70" s="172"/>
      <c r="AID70" s="172"/>
      <c r="AIE70" s="172"/>
      <c r="AIF70" s="172"/>
      <c r="AIG70" s="172"/>
      <c r="AIH70" s="172"/>
      <c r="AII70" s="172"/>
      <c r="AIJ70" s="172"/>
      <c r="AIK70" s="172"/>
      <c r="AIL70" s="172"/>
      <c r="AIM70" s="172"/>
      <c r="AIN70" s="172"/>
      <c r="AIO70" s="172"/>
      <c r="AIP70" s="172"/>
      <c r="AIQ70" s="172"/>
      <c r="AIR70" s="172"/>
      <c r="AIS70" s="172"/>
      <c r="AIT70" s="172"/>
      <c r="AIU70" s="172"/>
      <c r="AIV70" s="172"/>
      <c r="AIW70" s="172"/>
      <c r="AIX70" s="172"/>
      <c r="AIY70" s="172"/>
      <c r="AIZ70" s="172"/>
      <c r="AJA70" s="172"/>
      <c r="AJB70" s="172"/>
      <c r="AJC70" s="172"/>
      <c r="AJD70" s="172"/>
      <c r="AJE70" s="172"/>
      <c r="AJF70" s="172"/>
      <c r="AJG70" s="172"/>
      <c r="AJH70" s="172"/>
      <c r="AJI70" s="172"/>
      <c r="AJJ70" s="172"/>
      <c r="AJK70" s="172"/>
      <c r="AJL70" s="172"/>
      <c r="AJM70" s="172"/>
      <c r="AJN70" s="172"/>
      <c r="AJO70" s="172"/>
      <c r="AJP70" s="172"/>
      <c r="AJQ70" s="172"/>
      <c r="AJR70" s="172"/>
      <c r="AJS70" s="172"/>
      <c r="AJT70" s="172"/>
      <c r="AJU70" s="172"/>
      <c r="AJV70" s="172"/>
      <c r="AJW70" s="172"/>
      <c r="AJX70" s="172"/>
      <c r="AJY70" s="172"/>
      <c r="AJZ70" s="172"/>
      <c r="AKA70" s="172"/>
      <c r="AKB70" s="172"/>
      <c r="AKC70" s="172"/>
      <c r="AKD70" s="172"/>
      <c r="AKE70" s="172"/>
      <c r="AKF70" s="172"/>
      <c r="AKG70" s="172"/>
      <c r="AKH70" s="172"/>
      <c r="AKI70" s="172"/>
      <c r="AKJ70" s="172"/>
      <c r="AKK70" s="172"/>
      <c r="AKL70" s="172"/>
      <c r="AKM70" s="172"/>
      <c r="AKN70" s="172"/>
      <c r="AKO70" s="172"/>
      <c r="AKP70" s="172"/>
      <c r="AKQ70" s="172"/>
      <c r="AKR70" s="172"/>
      <c r="AKS70" s="172"/>
      <c r="AKT70" s="172"/>
      <c r="AKU70" s="172"/>
      <c r="AKV70" s="172"/>
      <c r="AKW70" s="172"/>
      <c r="AKX70" s="172"/>
      <c r="AKY70" s="172"/>
      <c r="AKZ70" s="172"/>
      <c r="ALA70" s="172"/>
      <c r="ALB70" s="172"/>
      <c r="ALC70" s="172"/>
      <c r="ALD70" s="172"/>
      <c r="ALE70" s="172"/>
      <c r="ALF70" s="172"/>
      <c r="ALG70" s="172"/>
      <c r="ALH70" s="172"/>
      <c r="ALI70" s="172"/>
      <c r="ALJ70" s="172"/>
      <c r="ALK70" s="172"/>
      <c r="ALL70" s="172"/>
      <c r="ALM70" s="172"/>
      <c r="ALN70" s="172"/>
      <c r="ALO70" s="172"/>
      <c r="ALP70" s="172"/>
      <c r="ALQ70" s="172"/>
      <c r="ALR70" s="172"/>
      <c r="ALS70" s="172"/>
      <c r="ALT70" s="172"/>
      <c r="ALU70" s="172"/>
      <c r="ALV70" s="172"/>
      <c r="ALW70" s="172"/>
      <c r="ALX70" s="172"/>
      <c r="ALY70" s="172"/>
      <c r="ALZ70" s="172"/>
      <c r="AMA70" s="172"/>
      <c r="AMB70" s="172"/>
      <c r="AMC70" s="172"/>
      <c r="AMD70" s="172"/>
      <c r="AME70" s="158"/>
    </row>
    <row r="71" spans="1:1019" s="172" customFormat="1" ht="15" customHeight="1">
      <c r="A71" s="168">
        <f t="shared" si="2"/>
        <v>64</v>
      </c>
      <c r="B71" s="175">
        <v>1601</v>
      </c>
      <c r="C71" s="168" t="s">
        <v>53</v>
      </c>
      <c r="D71" s="169">
        <f>'הנדסה '!D36</f>
        <v>700000</v>
      </c>
      <c r="E71" s="169">
        <f>'הנדסה '!E36</f>
        <v>700000</v>
      </c>
      <c r="F71" s="169">
        <f>'הנדסה '!F36</f>
        <v>0</v>
      </c>
      <c r="G71" s="169">
        <f>'הנדסה '!G36</f>
        <v>500000</v>
      </c>
      <c r="H71" s="169">
        <f>'הנדסה '!H36</f>
        <v>404174.79</v>
      </c>
      <c r="I71" s="169">
        <f>'הנדסה '!I36</f>
        <v>0</v>
      </c>
      <c r="J71" s="169">
        <f>'הנדסה '!J36</f>
        <v>67010.84</v>
      </c>
      <c r="K71" s="169">
        <f>'הנדסה '!K36</f>
        <v>67010.84</v>
      </c>
      <c r="L71" s="169">
        <f>'הנדסה '!L36</f>
        <v>471185.63</v>
      </c>
      <c r="M71" s="169">
        <f>'הנדסה '!M36</f>
        <v>28814.369999999995</v>
      </c>
      <c r="N71" s="169">
        <f>'הנדסה '!N36</f>
        <v>150000</v>
      </c>
      <c r="O71" s="169">
        <f>'הנדסה '!O36</f>
        <v>50000</v>
      </c>
      <c r="P71" s="169">
        <f>'הנדסה '!P36</f>
        <v>28814.369999999995</v>
      </c>
      <c r="Q71" s="169">
        <f>'הנדסה '!Q36</f>
        <v>0</v>
      </c>
      <c r="R71" s="169">
        <f>'הנדסה '!R36</f>
        <v>0</v>
      </c>
      <c r="S71" s="169">
        <f>'הנדסה '!S36</f>
        <v>0</v>
      </c>
      <c r="T71" s="169">
        <f>'הנדסה '!T36</f>
        <v>0</v>
      </c>
      <c r="U71" s="169">
        <f>'הנדסה '!U36</f>
        <v>150000</v>
      </c>
      <c r="V71" s="169">
        <f>'הנדסה '!V36</f>
        <v>150000</v>
      </c>
      <c r="W71" s="169">
        <f>'הנדסה '!W36</f>
        <v>0</v>
      </c>
      <c r="X71" s="169">
        <f>'הנדסה '!X36</f>
        <v>0</v>
      </c>
      <c r="Y71" s="169">
        <f>'הנדסה '!Y36</f>
        <v>0</v>
      </c>
      <c r="Z71" s="169">
        <f>'הנדסה '!Z36</f>
        <v>0</v>
      </c>
      <c r="AA71" s="659">
        <f>'הנדסה '!AA36</f>
        <v>742000</v>
      </c>
      <c r="AB71" s="157"/>
      <c r="AC71" s="157"/>
      <c r="AD71" s="157"/>
      <c r="AE71" s="157"/>
      <c r="AME71" s="158"/>
    </row>
    <row r="72" spans="1:1019" s="172" customFormat="1" ht="15" customHeight="1">
      <c r="A72" s="168">
        <f t="shared" si="2"/>
        <v>65</v>
      </c>
      <c r="B72" s="175">
        <v>1602</v>
      </c>
      <c r="C72" s="168" t="s">
        <v>984</v>
      </c>
      <c r="D72" s="169">
        <f>'הנדסה '!D37</f>
        <v>34500000</v>
      </c>
      <c r="E72" s="169">
        <f>'הנדסה '!E37</f>
        <v>34500000</v>
      </c>
      <c r="F72" s="169">
        <f>'הנדסה '!F37</f>
        <v>0</v>
      </c>
      <c r="G72" s="169">
        <f>'הנדסה '!G37</f>
        <v>34500000</v>
      </c>
      <c r="H72" s="169">
        <f>'הנדסה '!H37</f>
        <v>1793295.18</v>
      </c>
      <c r="I72" s="169">
        <f>'הנדסה '!I37</f>
        <v>29430679.43</v>
      </c>
      <c r="J72" s="169">
        <f>'הנדסה '!J37</f>
        <v>738138.81</v>
      </c>
      <c r="K72" s="169">
        <f>'הנדסה '!K37</f>
        <v>30168818.239999998</v>
      </c>
      <c r="L72" s="169">
        <f>'הנדסה '!L37</f>
        <v>31962113.419999998</v>
      </c>
      <c r="M72" s="169">
        <f>'הנדסה '!M37</f>
        <v>2537886.5800000019</v>
      </c>
      <c r="N72" s="169">
        <f>'הנדסה '!N37</f>
        <v>0</v>
      </c>
      <c r="O72" s="169">
        <f>'הנדסה '!O37</f>
        <v>0</v>
      </c>
      <c r="P72" s="169">
        <f>'הנדסה '!P37</f>
        <v>2537886.5800000019</v>
      </c>
      <c r="Q72" s="169">
        <f>'הנדסה '!Q37</f>
        <v>0</v>
      </c>
      <c r="R72" s="169">
        <f>'הנדסה '!R37</f>
        <v>0</v>
      </c>
      <c r="S72" s="169">
        <f>'הנדסה '!S37</f>
        <v>0</v>
      </c>
      <c r="T72" s="169">
        <f>'הנדסה '!T37</f>
        <v>0</v>
      </c>
      <c r="U72" s="169">
        <f>'הנדסה '!U37</f>
        <v>0</v>
      </c>
      <c r="V72" s="169">
        <f>'הנדסה '!V37</f>
        <v>-488827</v>
      </c>
      <c r="W72" s="169">
        <f>'הנדסה '!W37</f>
        <v>0</v>
      </c>
      <c r="X72" s="169">
        <f>'הנדסה '!X37</f>
        <v>0</v>
      </c>
      <c r="Y72" s="169">
        <f>'הנדסה '!Y37</f>
        <v>0</v>
      </c>
      <c r="Z72" s="169">
        <f>'הנדסה '!Z37</f>
        <v>488827</v>
      </c>
      <c r="AA72" s="659">
        <f>'הנדסה '!AA37</f>
        <v>742000</v>
      </c>
      <c r="AB72" s="157"/>
      <c r="AC72" s="157"/>
      <c r="AD72" s="157"/>
      <c r="AE72" s="157"/>
      <c r="AME72" s="158"/>
    </row>
    <row r="73" spans="1:1019" s="172" customFormat="1" ht="30" customHeight="1">
      <c r="A73" s="168">
        <f t="shared" si="2"/>
        <v>66</v>
      </c>
      <c r="B73" s="175">
        <v>1670</v>
      </c>
      <c r="C73" s="168" t="s">
        <v>218</v>
      </c>
      <c r="D73" s="169">
        <f>'הנדסה '!D39</f>
        <v>12500000</v>
      </c>
      <c r="E73" s="169">
        <f>'הנדסה '!E39</f>
        <v>12500000</v>
      </c>
      <c r="F73" s="169">
        <f>'הנדסה '!F39</f>
        <v>0</v>
      </c>
      <c r="G73" s="169">
        <f>'הנדסה '!G39</f>
        <v>3800000</v>
      </c>
      <c r="H73" s="169">
        <f>'הנדסה '!H39</f>
        <v>143086</v>
      </c>
      <c r="I73" s="169">
        <f>'הנדסה '!I39</f>
        <v>57002.400000000001</v>
      </c>
      <c r="J73" s="169">
        <f>'הנדסה '!J39</f>
        <v>24018</v>
      </c>
      <c r="K73" s="169">
        <f>'הנדסה '!K39</f>
        <v>81020.399999999994</v>
      </c>
      <c r="L73" s="169">
        <f>'הנדסה '!L39</f>
        <v>224106.4</v>
      </c>
      <c r="M73" s="169">
        <f>'הנדסה '!M39</f>
        <v>3575893.6</v>
      </c>
      <c r="N73" s="169">
        <f>'הנדסה '!N39</f>
        <v>0</v>
      </c>
      <c r="O73" s="169">
        <f>'הנדסה '!O39</f>
        <v>8700000</v>
      </c>
      <c r="P73" s="169">
        <f>'הנדסה '!P39</f>
        <v>3575893.6</v>
      </c>
      <c r="Q73" s="169">
        <f>'הנדסה '!Q39</f>
        <v>0</v>
      </c>
      <c r="R73" s="169">
        <f>'הנדסה '!R39</f>
        <v>0</v>
      </c>
      <c r="S73" s="169">
        <f>'הנדסה '!S39</f>
        <v>0</v>
      </c>
      <c r="T73" s="169">
        <f>'הנדסה '!T39</f>
        <v>0</v>
      </c>
      <c r="U73" s="169">
        <f>'הנדסה '!U39</f>
        <v>0</v>
      </c>
      <c r="V73" s="169">
        <f>'הנדסה '!V39</f>
        <v>0</v>
      </c>
      <c r="W73" s="169">
        <f>'הנדסה '!W39</f>
        <v>0</v>
      </c>
      <c r="X73" s="169">
        <f>'הנדסה '!X39</f>
        <v>0</v>
      </c>
      <c r="Y73" s="169">
        <f>'הנדסה '!Y39</f>
        <v>0</v>
      </c>
      <c r="Z73" s="169">
        <f>'הנדסה '!Z39</f>
        <v>0</v>
      </c>
      <c r="AA73" s="659">
        <f>'הנדסה '!AA39</f>
        <v>742000</v>
      </c>
      <c r="AB73" s="157"/>
      <c r="AC73" s="157"/>
      <c r="AD73" s="157"/>
      <c r="AE73" s="157"/>
      <c r="AME73" s="158"/>
    </row>
    <row r="74" spans="1:1019" s="176" customFormat="1" ht="15" customHeight="1">
      <c r="A74" s="168">
        <f t="shared" si="2"/>
        <v>67</v>
      </c>
      <c r="B74" s="175">
        <v>1719</v>
      </c>
      <c r="C74" s="168" t="s">
        <v>75</v>
      </c>
      <c r="D74" s="169">
        <f>'הנדסה '!D40</f>
        <v>485000</v>
      </c>
      <c r="E74" s="169">
        <f>'הנדסה '!E40</f>
        <v>1000000</v>
      </c>
      <c r="F74" s="169">
        <f>'הנדסה '!F40</f>
        <v>-515000</v>
      </c>
      <c r="G74" s="169">
        <f>'הנדסה '!G40</f>
        <v>1000000</v>
      </c>
      <c r="H74" s="169">
        <f>'הנדסה '!H40</f>
        <v>482652.87</v>
      </c>
      <c r="I74" s="169">
        <f>'הנדסה '!I40</f>
        <v>0</v>
      </c>
      <c r="J74" s="169">
        <f>'הנדסה '!J40</f>
        <v>1899.06</v>
      </c>
      <c r="K74" s="169">
        <f>'הנדסה '!K40</f>
        <v>1899.06</v>
      </c>
      <c r="L74" s="169">
        <f>'הנדסה '!L40</f>
        <v>484551.93</v>
      </c>
      <c r="M74" s="169">
        <f>'הנדסה '!M40</f>
        <v>448.07000000000698</v>
      </c>
      <c r="N74" s="169">
        <f>'הנדסה '!N40</f>
        <v>0</v>
      </c>
      <c r="O74" s="169">
        <f>'הנדסה '!O40</f>
        <v>0</v>
      </c>
      <c r="P74" s="169">
        <f>'הנדסה '!P40</f>
        <v>515448.07</v>
      </c>
      <c r="Q74" s="169">
        <f>'הנדסה '!Q40</f>
        <v>0</v>
      </c>
      <c r="R74" s="169">
        <f>'הנדסה '!R40</f>
        <v>0</v>
      </c>
      <c r="S74" s="169">
        <f>'הנדסה '!S40</f>
        <v>0</v>
      </c>
      <c r="T74" s="169">
        <f>'הנדסה '!T40</f>
        <v>515000</v>
      </c>
      <c r="U74" s="169">
        <f>'הנדסה '!U40</f>
        <v>-515000</v>
      </c>
      <c r="V74" s="169">
        <f>'הנדסה '!V40</f>
        <v>-515000</v>
      </c>
      <c r="W74" s="169">
        <f>'הנדסה '!W40</f>
        <v>0</v>
      </c>
      <c r="X74" s="169">
        <f>'הנדסה '!X40</f>
        <v>0</v>
      </c>
      <c r="Y74" s="169">
        <f>'הנדסה '!Y40</f>
        <v>0</v>
      </c>
      <c r="Z74" s="169">
        <f>'הנדסה '!Z40</f>
        <v>0</v>
      </c>
      <c r="AA74" s="659">
        <f>'הנדסה '!AA40</f>
        <v>742000</v>
      </c>
      <c r="AB74" s="157"/>
      <c r="AC74" s="157"/>
      <c r="AD74" s="157"/>
      <c r="AE74" s="157"/>
      <c r="AF74" s="172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0"/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0"/>
      <c r="FG74" s="160"/>
      <c r="FH74" s="160"/>
      <c r="FI74" s="160"/>
      <c r="FJ74" s="160"/>
      <c r="FK74" s="160"/>
      <c r="FL74" s="160"/>
      <c r="FM74" s="160"/>
      <c r="FN74" s="160"/>
      <c r="FO74" s="160"/>
      <c r="FP74" s="160"/>
      <c r="FQ74" s="160"/>
      <c r="FR74" s="160"/>
      <c r="FS74" s="160"/>
      <c r="FT74" s="160"/>
      <c r="FU74" s="160"/>
      <c r="FV74" s="160"/>
      <c r="FW74" s="160"/>
      <c r="FX74" s="160"/>
      <c r="FY74" s="160"/>
      <c r="FZ74" s="160"/>
      <c r="GA74" s="160"/>
      <c r="GB74" s="160"/>
      <c r="GC74" s="160"/>
      <c r="GD74" s="160"/>
      <c r="GE74" s="160"/>
      <c r="GF74" s="160"/>
      <c r="GG74" s="160"/>
      <c r="GH74" s="160"/>
      <c r="GI74" s="160"/>
      <c r="GJ74" s="160"/>
      <c r="GK74" s="160"/>
      <c r="GL74" s="160"/>
      <c r="GM74" s="160"/>
      <c r="GN74" s="160"/>
      <c r="GO74" s="160"/>
      <c r="GP74" s="160"/>
      <c r="GQ74" s="160"/>
      <c r="GR74" s="160"/>
      <c r="GS74" s="160"/>
      <c r="GT74" s="160"/>
      <c r="GU74" s="160"/>
      <c r="GV74" s="160"/>
      <c r="GW74" s="160"/>
      <c r="GX74" s="160"/>
      <c r="GY74" s="160"/>
      <c r="GZ74" s="160"/>
      <c r="HA74" s="160"/>
      <c r="HB74" s="160"/>
      <c r="HC74" s="160"/>
      <c r="HD74" s="160"/>
      <c r="HE74" s="160"/>
      <c r="HF74" s="160"/>
      <c r="HG74" s="160"/>
      <c r="HH74" s="160"/>
      <c r="HI74" s="160"/>
      <c r="HJ74" s="160"/>
      <c r="HK74" s="160"/>
      <c r="HL74" s="160"/>
      <c r="HM74" s="160"/>
      <c r="HN74" s="160"/>
      <c r="HO74" s="160"/>
      <c r="HP74" s="160"/>
      <c r="HQ74" s="160"/>
      <c r="HR74" s="160"/>
      <c r="HS74" s="160"/>
      <c r="HT74" s="160"/>
      <c r="HU74" s="160"/>
      <c r="HV74" s="160"/>
      <c r="HW74" s="160"/>
      <c r="HX74" s="160"/>
      <c r="HY74" s="160"/>
      <c r="HZ74" s="160"/>
      <c r="IA74" s="160"/>
      <c r="IB74" s="160"/>
      <c r="IC74" s="160"/>
      <c r="ID74" s="160"/>
      <c r="IE74" s="160"/>
      <c r="IF74" s="160"/>
      <c r="IG74" s="160"/>
      <c r="IH74" s="160"/>
      <c r="II74" s="160"/>
      <c r="IJ74" s="160"/>
      <c r="IK74" s="160"/>
      <c r="IL74" s="160"/>
      <c r="IM74" s="160"/>
      <c r="IN74" s="160"/>
      <c r="IO74" s="160"/>
      <c r="IP74" s="160"/>
      <c r="IQ74" s="160"/>
      <c r="IR74" s="160"/>
      <c r="IS74" s="160"/>
      <c r="IT74" s="160"/>
      <c r="IU74" s="160"/>
      <c r="IV74" s="160"/>
      <c r="IW74" s="160"/>
      <c r="IX74" s="160"/>
      <c r="IY74" s="160"/>
      <c r="IZ74" s="160"/>
      <c r="JA74" s="160"/>
      <c r="JB74" s="160"/>
      <c r="JC74" s="160"/>
      <c r="JD74" s="160"/>
      <c r="JE74" s="160"/>
      <c r="JF74" s="160"/>
      <c r="JG74" s="160"/>
      <c r="JH74" s="160"/>
      <c r="JI74" s="160"/>
      <c r="JJ74" s="160"/>
      <c r="JK74" s="160"/>
      <c r="JL74" s="160"/>
      <c r="JM74" s="160"/>
      <c r="JN74" s="160"/>
      <c r="JO74" s="160"/>
      <c r="JP74" s="160"/>
      <c r="JQ74" s="160"/>
      <c r="JR74" s="160"/>
      <c r="JS74" s="160"/>
      <c r="JT74" s="160"/>
      <c r="JU74" s="160"/>
      <c r="JV74" s="160"/>
      <c r="JW74" s="160"/>
      <c r="JX74" s="160"/>
      <c r="JY74" s="160"/>
      <c r="JZ74" s="160"/>
      <c r="KA74" s="160"/>
      <c r="KB74" s="160"/>
      <c r="KC74" s="160"/>
      <c r="KD74" s="160"/>
      <c r="KE74" s="160"/>
      <c r="KF74" s="160"/>
      <c r="KG74" s="160"/>
      <c r="KH74" s="160"/>
      <c r="KI74" s="160"/>
      <c r="KJ74" s="160"/>
      <c r="KK74" s="160"/>
      <c r="KL74" s="160"/>
      <c r="KM74" s="160"/>
      <c r="KN74" s="160"/>
      <c r="KO74" s="160"/>
      <c r="KP74" s="160"/>
      <c r="KQ74" s="160"/>
      <c r="KR74" s="160"/>
      <c r="KS74" s="160"/>
      <c r="KT74" s="160"/>
      <c r="KU74" s="160"/>
      <c r="KV74" s="160"/>
      <c r="KW74" s="160"/>
      <c r="KX74" s="160"/>
      <c r="KY74" s="160"/>
      <c r="KZ74" s="160"/>
      <c r="LA74" s="160"/>
      <c r="LB74" s="160"/>
      <c r="LC74" s="160"/>
      <c r="LD74" s="160"/>
      <c r="LE74" s="160"/>
      <c r="LF74" s="160"/>
      <c r="LG74" s="160"/>
      <c r="LH74" s="160"/>
      <c r="LI74" s="160"/>
      <c r="LJ74" s="160"/>
      <c r="LK74" s="160"/>
      <c r="LL74" s="160"/>
      <c r="LM74" s="160"/>
      <c r="LN74" s="160"/>
      <c r="LO74" s="160"/>
      <c r="LP74" s="160"/>
      <c r="LQ74" s="160"/>
      <c r="LR74" s="160"/>
      <c r="LS74" s="160"/>
      <c r="LT74" s="160"/>
      <c r="LU74" s="160"/>
      <c r="LV74" s="160"/>
      <c r="LW74" s="160"/>
      <c r="LX74" s="160"/>
      <c r="LY74" s="160"/>
      <c r="LZ74" s="160"/>
      <c r="MA74" s="160"/>
      <c r="MB74" s="160"/>
      <c r="MC74" s="160"/>
      <c r="MD74" s="160"/>
      <c r="ME74" s="160"/>
      <c r="MF74" s="160"/>
      <c r="MG74" s="160"/>
      <c r="MH74" s="160"/>
      <c r="MI74" s="160"/>
      <c r="MJ74" s="160"/>
      <c r="MK74" s="160"/>
      <c r="ML74" s="160"/>
      <c r="MM74" s="160"/>
      <c r="MN74" s="160"/>
      <c r="MO74" s="160"/>
      <c r="MP74" s="160"/>
      <c r="MQ74" s="160"/>
      <c r="MR74" s="160"/>
      <c r="MS74" s="160"/>
      <c r="MT74" s="160"/>
      <c r="MU74" s="160"/>
      <c r="MV74" s="160"/>
      <c r="MW74" s="160"/>
      <c r="MX74" s="160"/>
      <c r="MY74" s="160"/>
      <c r="MZ74" s="160"/>
      <c r="NA74" s="160"/>
      <c r="NB74" s="160"/>
      <c r="NC74" s="160"/>
      <c r="ND74" s="160"/>
      <c r="NE74" s="160"/>
      <c r="NF74" s="160"/>
      <c r="NG74" s="160"/>
      <c r="NH74" s="160"/>
      <c r="NI74" s="160"/>
      <c r="NJ74" s="160"/>
      <c r="NK74" s="160"/>
      <c r="NL74" s="160"/>
      <c r="NM74" s="160"/>
      <c r="NN74" s="160"/>
      <c r="NO74" s="160"/>
      <c r="NP74" s="160"/>
      <c r="NQ74" s="160"/>
      <c r="NR74" s="160"/>
      <c r="NS74" s="160"/>
      <c r="NT74" s="160"/>
      <c r="NU74" s="160"/>
      <c r="NV74" s="160"/>
      <c r="NW74" s="160"/>
      <c r="NX74" s="160"/>
      <c r="NY74" s="160"/>
      <c r="NZ74" s="160"/>
      <c r="OA74" s="160"/>
      <c r="OB74" s="160"/>
      <c r="OC74" s="160"/>
      <c r="OD74" s="160"/>
      <c r="OE74" s="160"/>
      <c r="OF74" s="160"/>
      <c r="OG74" s="160"/>
      <c r="OH74" s="160"/>
      <c r="OI74" s="160"/>
      <c r="OJ74" s="160"/>
      <c r="OK74" s="160"/>
      <c r="OL74" s="160"/>
      <c r="OM74" s="160"/>
      <c r="ON74" s="160"/>
      <c r="OO74" s="160"/>
      <c r="OP74" s="160"/>
      <c r="OQ74" s="160"/>
      <c r="OR74" s="160"/>
      <c r="OS74" s="160"/>
      <c r="OT74" s="160"/>
      <c r="OU74" s="160"/>
      <c r="OV74" s="160"/>
      <c r="OW74" s="160"/>
      <c r="OX74" s="160"/>
      <c r="OY74" s="160"/>
      <c r="OZ74" s="160"/>
      <c r="PA74" s="160"/>
      <c r="PB74" s="160"/>
      <c r="PC74" s="160"/>
      <c r="PD74" s="160"/>
      <c r="PE74" s="160"/>
      <c r="PF74" s="160"/>
      <c r="PG74" s="160"/>
      <c r="PH74" s="160"/>
      <c r="PI74" s="160"/>
      <c r="PJ74" s="160"/>
      <c r="PK74" s="160"/>
      <c r="PL74" s="160"/>
      <c r="PM74" s="160"/>
      <c r="PN74" s="160"/>
      <c r="PO74" s="160"/>
      <c r="PP74" s="160"/>
      <c r="PQ74" s="160"/>
      <c r="PR74" s="160"/>
      <c r="PS74" s="160"/>
      <c r="PT74" s="160"/>
      <c r="PU74" s="160"/>
      <c r="PV74" s="160"/>
      <c r="PW74" s="160"/>
      <c r="PX74" s="160"/>
      <c r="PY74" s="160"/>
      <c r="PZ74" s="160"/>
      <c r="QA74" s="160"/>
      <c r="QB74" s="160"/>
      <c r="QC74" s="160"/>
      <c r="QD74" s="160"/>
      <c r="QE74" s="160"/>
      <c r="QF74" s="160"/>
      <c r="QG74" s="160"/>
      <c r="QH74" s="160"/>
      <c r="QI74" s="160"/>
      <c r="QJ74" s="160"/>
      <c r="QK74" s="160"/>
      <c r="QL74" s="160"/>
      <c r="QM74" s="160"/>
      <c r="QN74" s="160"/>
      <c r="QO74" s="160"/>
      <c r="QP74" s="160"/>
      <c r="QQ74" s="160"/>
      <c r="QR74" s="160"/>
      <c r="QS74" s="160"/>
      <c r="QT74" s="160"/>
      <c r="QU74" s="160"/>
      <c r="QV74" s="160"/>
      <c r="QW74" s="160"/>
      <c r="QX74" s="160"/>
      <c r="QY74" s="160"/>
      <c r="QZ74" s="160"/>
      <c r="RA74" s="160"/>
      <c r="RB74" s="160"/>
      <c r="RC74" s="160"/>
      <c r="RD74" s="160"/>
      <c r="RE74" s="160"/>
      <c r="RF74" s="160"/>
      <c r="RG74" s="160"/>
      <c r="RH74" s="160"/>
      <c r="RI74" s="160"/>
      <c r="RJ74" s="160"/>
      <c r="RK74" s="160"/>
      <c r="RL74" s="160"/>
      <c r="RM74" s="160"/>
      <c r="RN74" s="160"/>
      <c r="RO74" s="160"/>
      <c r="RP74" s="160"/>
      <c r="RQ74" s="160"/>
      <c r="RR74" s="160"/>
      <c r="RS74" s="160"/>
      <c r="RT74" s="160"/>
      <c r="RU74" s="160"/>
      <c r="RV74" s="160"/>
      <c r="RW74" s="160"/>
      <c r="RX74" s="160"/>
      <c r="RY74" s="160"/>
      <c r="RZ74" s="160"/>
      <c r="SA74" s="160"/>
      <c r="SB74" s="160"/>
      <c r="SC74" s="160"/>
      <c r="SD74" s="160"/>
      <c r="SE74" s="160"/>
      <c r="SF74" s="160"/>
      <c r="SG74" s="160"/>
      <c r="SH74" s="160"/>
      <c r="SI74" s="160"/>
      <c r="SJ74" s="160"/>
      <c r="SK74" s="160"/>
      <c r="SL74" s="160"/>
      <c r="SM74" s="160"/>
      <c r="SN74" s="160"/>
      <c r="SO74" s="160"/>
      <c r="SP74" s="160"/>
      <c r="SQ74" s="160"/>
      <c r="SR74" s="160"/>
      <c r="SS74" s="160"/>
      <c r="ST74" s="160"/>
      <c r="SU74" s="160"/>
      <c r="SV74" s="160"/>
      <c r="SW74" s="160"/>
      <c r="SX74" s="160"/>
      <c r="SY74" s="160"/>
      <c r="SZ74" s="160"/>
      <c r="TA74" s="160"/>
      <c r="TB74" s="160"/>
      <c r="TC74" s="160"/>
      <c r="TD74" s="160"/>
      <c r="TE74" s="160"/>
      <c r="TF74" s="160"/>
      <c r="TG74" s="160"/>
      <c r="TH74" s="160"/>
      <c r="TI74" s="160"/>
      <c r="TJ74" s="160"/>
      <c r="TK74" s="160"/>
      <c r="TL74" s="160"/>
      <c r="TM74" s="160"/>
      <c r="TN74" s="160"/>
      <c r="TO74" s="160"/>
      <c r="TP74" s="160"/>
      <c r="TQ74" s="160"/>
      <c r="TR74" s="160"/>
      <c r="TS74" s="160"/>
      <c r="TT74" s="160"/>
      <c r="TU74" s="160"/>
      <c r="TV74" s="160"/>
      <c r="TW74" s="160"/>
      <c r="TX74" s="160"/>
      <c r="TY74" s="160"/>
      <c r="TZ74" s="160"/>
      <c r="UA74" s="160"/>
      <c r="UB74" s="160"/>
      <c r="UC74" s="160"/>
      <c r="UD74" s="160"/>
      <c r="UE74" s="160"/>
      <c r="UF74" s="160"/>
      <c r="UG74" s="160"/>
      <c r="UH74" s="160"/>
      <c r="UI74" s="160"/>
      <c r="UJ74" s="160"/>
      <c r="UK74" s="160"/>
      <c r="UL74" s="160"/>
      <c r="UM74" s="160"/>
      <c r="UN74" s="160"/>
      <c r="UO74" s="160"/>
      <c r="UP74" s="160"/>
      <c r="UQ74" s="160"/>
      <c r="UR74" s="160"/>
      <c r="US74" s="160"/>
      <c r="UT74" s="160"/>
      <c r="UU74" s="160"/>
      <c r="UV74" s="160"/>
      <c r="UW74" s="160"/>
      <c r="UX74" s="160"/>
      <c r="UY74" s="160"/>
      <c r="UZ74" s="160"/>
      <c r="VA74" s="160"/>
      <c r="VB74" s="160"/>
      <c r="VC74" s="160"/>
      <c r="VD74" s="160"/>
      <c r="VE74" s="160"/>
      <c r="VF74" s="160"/>
      <c r="VG74" s="160"/>
      <c r="VH74" s="160"/>
      <c r="VI74" s="160"/>
      <c r="VJ74" s="160"/>
      <c r="VK74" s="160"/>
      <c r="VL74" s="160"/>
      <c r="VM74" s="160"/>
      <c r="VN74" s="160"/>
      <c r="VO74" s="160"/>
      <c r="VP74" s="160"/>
      <c r="VQ74" s="160"/>
      <c r="VR74" s="160"/>
      <c r="VS74" s="160"/>
      <c r="VT74" s="160"/>
      <c r="VU74" s="160"/>
      <c r="VV74" s="160"/>
      <c r="VW74" s="160"/>
      <c r="VX74" s="160"/>
      <c r="VY74" s="160"/>
      <c r="VZ74" s="160"/>
      <c r="WA74" s="160"/>
      <c r="WB74" s="160"/>
      <c r="WC74" s="160"/>
      <c r="WD74" s="160"/>
      <c r="WE74" s="160"/>
      <c r="WF74" s="160"/>
      <c r="WG74" s="160"/>
      <c r="WH74" s="160"/>
      <c r="WI74" s="160"/>
      <c r="WJ74" s="160"/>
      <c r="WK74" s="160"/>
      <c r="WL74" s="160"/>
      <c r="WM74" s="160"/>
      <c r="WN74" s="160"/>
      <c r="WO74" s="160"/>
      <c r="WP74" s="160"/>
      <c r="WQ74" s="160"/>
      <c r="WR74" s="160"/>
      <c r="WS74" s="160"/>
      <c r="WT74" s="160"/>
      <c r="WU74" s="160"/>
      <c r="WV74" s="160"/>
      <c r="WW74" s="160"/>
      <c r="WX74" s="160"/>
      <c r="WY74" s="160"/>
      <c r="WZ74" s="160"/>
      <c r="XA74" s="160"/>
      <c r="XB74" s="160"/>
      <c r="XC74" s="160"/>
      <c r="XD74" s="160"/>
      <c r="XE74" s="160"/>
      <c r="XF74" s="160"/>
      <c r="XG74" s="160"/>
      <c r="XH74" s="160"/>
      <c r="XI74" s="160"/>
      <c r="XJ74" s="160"/>
      <c r="XK74" s="160"/>
      <c r="XL74" s="160"/>
      <c r="XM74" s="160"/>
      <c r="XN74" s="160"/>
      <c r="XO74" s="160"/>
      <c r="XP74" s="160"/>
      <c r="XQ74" s="160"/>
      <c r="XR74" s="160"/>
      <c r="XS74" s="160"/>
      <c r="XT74" s="160"/>
      <c r="XU74" s="160"/>
      <c r="XV74" s="160"/>
      <c r="XW74" s="160"/>
      <c r="XX74" s="160"/>
      <c r="XY74" s="160"/>
      <c r="XZ74" s="160"/>
      <c r="YA74" s="160"/>
      <c r="YB74" s="160"/>
      <c r="YC74" s="160"/>
      <c r="YD74" s="160"/>
      <c r="YE74" s="160"/>
      <c r="YF74" s="160"/>
      <c r="YG74" s="160"/>
      <c r="YH74" s="160"/>
      <c r="YI74" s="160"/>
      <c r="YJ74" s="160"/>
      <c r="YK74" s="160"/>
      <c r="YL74" s="160"/>
      <c r="YM74" s="160"/>
      <c r="YN74" s="160"/>
      <c r="YO74" s="160"/>
      <c r="YP74" s="160"/>
      <c r="YQ74" s="160"/>
      <c r="YR74" s="160"/>
      <c r="YS74" s="160"/>
      <c r="YT74" s="160"/>
      <c r="YU74" s="160"/>
      <c r="YV74" s="160"/>
      <c r="YW74" s="160"/>
      <c r="YX74" s="160"/>
      <c r="YY74" s="160"/>
      <c r="YZ74" s="160"/>
      <c r="ZA74" s="160"/>
      <c r="ZB74" s="160"/>
      <c r="ZC74" s="160"/>
      <c r="ZD74" s="160"/>
      <c r="ZE74" s="160"/>
      <c r="ZF74" s="160"/>
      <c r="ZG74" s="160"/>
      <c r="ZH74" s="160"/>
      <c r="ZI74" s="160"/>
      <c r="ZJ74" s="160"/>
      <c r="ZK74" s="160"/>
      <c r="ZL74" s="160"/>
      <c r="ZM74" s="160"/>
      <c r="ZN74" s="160"/>
      <c r="ZO74" s="160"/>
      <c r="ZP74" s="160"/>
      <c r="ZQ74" s="160"/>
      <c r="ZR74" s="160"/>
      <c r="ZS74" s="160"/>
      <c r="ZT74" s="160"/>
      <c r="ZU74" s="160"/>
      <c r="ZV74" s="160"/>
      <c r="ZW74" s="160"/>
      <c r="ZX74" s="160"/>
      <c r="ZY74" s="160"/>
      <c r="ZZ74" s="160"/>
      <c r="AAA74" s="160"/>
      <c r="AAB74" s="160"/>
      <c r="AAC74" s="160"/>
      <c r="AAD74" s="160"/>
      <c r="AAE74" s="160"/>
      <c r="AAF74" s="160"/>
      <c r="AAG74" s="160"/>
      <c r="AAH74" s="160"/>
      <c r="AAI74" s="160"/>
      <c r="AAJ74" s="160"/>
      <c r="AAK74" s="160"/>
      <c r="AAL74" s="160"/>
      <c r="AAM74" s="160"/>
      <c r="AAN74" s="160"/>
      <c r="AAO74" s="160"/>
      <c r="AAP74" s="160"/>
      <c r="AAQ74" s="160"/>
      <c r="AAR74" s="160"/>
      <c r="AAS74" s="160"/>
      <c r="AAT74" s="160"/>
      <c r="AAU74" s="160"/>
      <c r="AAV74" s="160"/>
      <c r="AAW74" s="160"/>
      <c r="AAX74" s="160"/>
      <c r="AAY74" s="160"/>
      <c r="AAZ74" s="160"/>
      <c r="ABA74" s="160"/>
      <c r="ABB74" s="160"/>
      <c r="ABC74" s="160"/>
      <c r="ABD74" s="160"/>
      <c r="ABE74" s="160"/>
      <c r="ABF74" s="160"/>
      <c r="ABG74" s="160"/>
      <c r="ABH74" s="160"/>
      <c r="ABI74" s="160"/>
      <c r="ABJ74" s="160"/>
      <c r="ABK74" s="160"/>
      <c r="ABL74" s="160"/>
      <c r="ABM74" s="160"/>
      <c r="ABN74" s="160"/>
      <c r="ABO74" s="160"/>
      <c r="ABP74" s="160"/>
      <c r="ABQ74" s="160"/>
      <c r="ABR74" s="160"/>
      <c r="ABS74" s="160"/>
      <c r="ABT74" s="160"/>
      <c r="ABU74" s="160"/>
      <c r="ABV74" s="160"/>
      <c r="ABW74" s="160"/>
      <c r="ABX74" s="160"/>
      <c r="ABY74" s="160"/>
      <c r="ABZ74" s="160"/>
      <c r="ACA74" s="160"/>
      <c r="ACB74" s="160"/>
      <c r="ACC74" s="160"/>
      <c r="ACD74" s="160"/>
      <c r="ACE74" s="160"/>
      <c r="ACF74" s="160"/>
      <c r="ACG74" s="160"/>
      <c r="ACH74" s="160"/>
      <c r="ACI74" s="160"/>
      <c r="ACJ74" s="160"/>
      <c r="ACK74" s="160"/>
      <c r="ACL74" s="160"/>
      <c r="ACM74" s="160"/>
      <c r="ACN74" s="160"/>
      <c r="ACO74" s="160"/>
      <c r="ACP74" s="160"/>
      <c r="ACQ74" s="160"/>
      <c r="ACR74" s="160"/>
      <c r="ACS74" s="160"/>
      <c r="ACT74" s="160"/>
      <c r="ACU74" s="160"/>
      <c r="ACV74" s="160"/>
      <c r="ACW74" s="160"/>
      <c r="ACX74" s="160"/>
      <c r="ACY74" s="160"/>
      <c r="ACZ74" s="160"/>
      <c r="ADA74" s="160"/>
      <c r="ADB74" s="160"/>
      <c r="ADC74" s="160"/>
      <c r="ADD74" s="160"/>
      <c r="ADE74" s="160"/>
      <c r="ADF74" s="160"/>
      <c r="ADG74" s="160"/>
      <c r="ADH74" s="160"/>
      <c r="ADI74" s="160"/>
      <c r="ADJ74" s="160"/>
      <c r="ADK74" s="160"/>
      <c r="ADL74" s="160"/>
      <c r="ADM74" s="160"/>
      <c r="ADN74" s="160"/>
      <c r="ADO74" s="160"/>
      <c r="ADP74" s="160"/>
      <c r="ADQ74" s="160"/>
      <c r="ADR74" s="160"/>
      <c r="ADS74" s="160"/>
      <c r="ADT74" s="160"/>
      <c r="ADU74" s="160"/>
      <c r="ADV74" s="160"/>
      <c r="ADW74" s="160"/>
      <c r="ADX74" s="160"/>
      <c r="ADY74" s="160"/>
      <c r="ADZ74" s="160"/>
      <c r="AEA74" s="160"/>
      <c r="AEB74" s="160"/>
      <c r="AEC74" s="160"/>
      <c r="AED74" s="160"/>
      <c r="AEE74" s="160"/>
      <c r="AEF74" s="160"/>
      <c r="AEG74" s="160"/>
      <c r="AEH74" s="160"/>
      <c r="AEI74" s="160"/>
      <c r="AEJ74" s="160"/>
      <c r="AEK74" s="160"/>
      <c r="AEL74" s="160"/>
      <c r="AEM74" s="160"/>
      <c r="AEN74" s="160"/>
      <c r="AEO74" s="160"/>
      <c r="AEP74" s="160"/>
      <c r="AEQ74" s="160"/>
      <c r="AER74" s="160"/>
      <c r="AES74" s="160"/>
      <c r="AET74" s="160"/>
      <c r="AEU74" s="160"/>
      <c r="AEV74" s="160"/>
      <c r="AEW74" s="160"/>
      <c r="AEX74" s="160"/>
      <c r="AEY74" s="160"/>
      <c r="AEZ74" s="160"/>
      <c r="AFA74" s="160"/>
      <c r="AFB74" s="160"/>
      <c r="AFC74" s="160"/>
      <c r="AFD74" s="160"/>
      <c r="AFE74" s="160"/>
      <c r="AFF74" s="160"/>
      <c r="AFG74" s="160"/>
      <c r="AFH74" s="160"/>
      <c r="AFI74" s="160"/>
      <c r="AFJ74" s="160"/>
      <c r="AFK74" s="160"/>
      <c r="AFL74" s="160"/>
      <c r="AFM74" s="160"/>
      <c r="AFN74" s="160"/>
      <c r="AFO74" s="160"/>
      <c r="AFP74" s="160"/>
      <c r="AFQ74" s="160"/>
      <c r="AFR74" s="160"/>
      <c r="AFS74" s="160"/>
      <c r="AFT74" s="160"/>
      <c r="AFU74" s="160"/>
      <c r="AFV74" s="160"/>
      <c r="AFW74" s="160"/>
      <c r="AFX74" s="160"/>
      <c r="AFY74" s="160"/>
      <c r="AFZ74" s="160"/>
      <c r="AGA74" s="160"/>
      <c r="AGB74" s="160"/>
      <c r="AGC74" s="160"/>
      <c r="AGD74" s="160"/>
      <c r="AGE74" s="160"/>
      <c r="AGF74" s="160"/>
      <c r="AGG74" s="160"/>
      <c r="AGH74" s="160"/>
      <c r="AGI74" s="160"/>
      <c r="AGJ74" s="160"/>
      <c r="AGK74" s="160"/>
      <c r="AGL74" s="160"/>
      <c r="AGM74" s="160"/>
      <c r="AGN74" s="160"/>
      <c r="AGO74" s="160"/>
      <c r="AGP74" s="160"/>
      <c r="AGQ74" s="160"/>
      <c r="AGR74" s="160"/>
      <c r="AGS74" s="160"/>
      <c r="AGT74" s="160"/>
      <c r="AGU74" s="160"/>
      <c r="AGV74" s="160"/>
      <c r="AGW74" s="160"/>
      <c r="AGX74" s="160"/>
      <c r="AGY74" s="160"/>
      <c r="AGZ74" s="160"/>
      <c r="AHA74" s="160"/>
      <c r="AHB74" s="160"/>
      <c r="AHC74" s="160"/>
      <c r="AHD74" s="160"/>
      <c r="AHE74" s="160"/>
      <c r="AHF74" s="160"/>
      <c r="AHG74" s="160"/>
      <c r="AHH74" s="160"/>
      <c r="AHI74" s="160"/>
      <c r="AHJ74" s="160"/>
      <c r="AHK74" s="160"/>
      <c r="AHL74" s="160"/>
      <c r="AHM74" s="160"/>
      <c r="AHN74" s="160"/>
      <c r="AHO74" s="160"/>
      <c r="AHP74" s="160"/>
      <c r="AHQ74" s="160"/>
      <c r="AHR74" s="160"/>
      <c r="AHS74" s="160"/>
      <c r="AHT74" s="160"/>
      <c r="AHU74" s="160"/>
      <c r="AHV74" s="160"/>
      <c r="AHW74" s="160"/>
      <c r="AHX74" s="160"/>
      <c r="AHY74" s="160"/>
      <c r="AHZ74" s="160"/>
      <c r="AIA74" s="160"/>
      <c r="AIB74" s="160"/>
      <c r="AIC74" s="160"/>
      <c r="AID74" s="160"/>
      <c r="AIE74" s="160"/>
      <c r="AIF74" s="160"/>
      <c r="AIG74" s="160"/>
      <c r="AIH74" s="160"/>
      <c r="AII74" s="160"/>
      <c r="AIJ74" s="160"/>
      <c r="AIK74" s="160"/>
      <c r="AIL74" s="160"/>
      <c r="AIM74" s="160"/>
      <c r="AIN74" s="160"/>
      <c r="AIO74" s="160"/>
      <c r="AIP74" s="160"/>
      <c r="AIQ74" s="160"/>
      <c r="AIR74" s="160"/>
      <c r="AIS74" s="160"/>
      <c r="AIT74" s="160"/>
      <c r="AIU74" s="160"/>
      <c r="AIV74" s="160"/>
      <c r="AIW74" s="160"/>
      <c r="AIX74" s="160"/>
      <c r="AIY74" s="160"/>
      <c r="AIZ74" s="160"/>
      <c r="AJA74" s="160"/>
      <c r="AJB74" s="160"/>
      <c r="AJC74" s="160"/>
      <c r="AJD74" s="160"/>
      <c r="AJE74" s="160"/>
      <c r="AJF74" s="160"/>
      <c r="AJG74" s="160"/>
      <c r="AJH74" s="160"/>
      <c r="AJI74" s="160"/>
      <c r="AJJ74" s="160"/>
      <c r="AJK74" s="160"/>
      <c r="AJL74" s="160"/>
      <c r="AJM74" s="160"/>
      <c r="AJN74" s="160"/>
      <c r="AJO74" s="160"/>
      <c r="AJP74" s="160"/>
      <c r="AJQ74" s="160"/>
      <c r="AJR74" s="160"/>
      <c r="AJS74" s="160"/>
      <c r="AJT74" s="160"/>
      <c r="AJU74" s="160"/>
      <c r="AJV74" s="160"/>
      <c r="AJW74" s="160"/>
      <c r="AJX74" s="160"/>
      <c r="AJY74" s="160"/>
      <c r="AJZ74" s="160"/>
      <c r="AKA74" s="160"/>
      <c r="AKB74" s="160"/>
      <c r="AKC74" s="160"/>
      <c r="AKD74" s="160"/>
      <c r="AKE74" s="160"/>
      <c r="AKF74" s="160"/>
      <c r="AKG74" s="160"/>
      <c r="AKH74" s="160"/>
      <c r="AKI74" s="160"/>
      <c r="AKJ74" s="160"/>
      <c r="AKK74" s="160"/>
      <c r="AKL74" s="160"/>
      <c r="AKM74" s="160"/>
      <c r="AKN74" s="160"/>
      <c r="AKO74" s="160"/>
      <c r="AKP74" s="160"/>
      <c r="AKQ74" s="160"/>
      <c r="AKR74" s="160"/>
      <c r="AKS74" s="160"/>
      <c r="AKT74" s="160"/>
      <c r="AKU74" s="160"/>
      <c r="AKV74" s="160"/>
      <c r="AKW74" s="160"/>
      <c r="AKX74" s="160"/>
      <c r="AKY74" s="160"/>
      <c r="AKZ74" s="160"/>
      <c r="ALA74" s="160"/>
      <c r="ALB74" s="160"/>
      <c r="ALC74" s="160"/>
      <c r="ALD74" s="160"/>
      <c r="ALE74" s="160"/>
      <c r="ALF74" s="160"/>
      <c r="ALG74" s="160"/>
      <c r="ALH74" s="160"/>
      <c r="ALI74" s="160"/>
      <c r="ALJ74" s="160"/>
      <c r="ALK74" s="160"/>
      <c r="ALL74" s="160"/>
      <c r="ALM74" s="160"/>
      <c r="ALN74" s="160"/>
      <c r="ALO74" s="160"/>
      <c r="ALP74" s="160"/>
      <c r="ALQ74" s="160"/>
      <c r="ALR74" s="160"/>
      <c r="ALS74" s="160"/>
      <c r="ALT74" s="160"/>
      <c r="ALU74" s="160"/>
      <c r="ALV74" s="160"/>
      <c r="ALW74" s="160"/>
      <c r="ALX74" s="160"/>
      <c r="ALY74" s="160"/>
      <c r="ALZ74" s="160"/>
      <c r="AMA74" s="160"/>
      <c r="AMB74" s="160"/>
      <c r="AMC74" s="160"/>
      <c r="AMD74" s="160"/>
      <c r="AME74" s="158"/>
    </row>
    <row r="75" spans="1:1019" s="172" customFormat="1" ht="15" customHeight="1">
      <c r="A75" s="168">
        <f t="shared" si="2"/>
        <v>68</v>
      </c>
      <c r="B75" s="175">
        <v>1722</v>
      </c>
      <c r="C75" s="168" t="s">
        <v>55</v>
      </c>
      <c r="D75" s="169">
        <f>'הנדסה '!D41</f>
        <v>2400000</v>
      </c>
      <c r="E75" s="169">
        <f>'הנדסה '!E41</f>
        <v>2400000</v>
      </c>
      <c r="F75" s="169">
        <f>'הנדסה '!F41</f>
        <v>0</v>
      </c>
      <c r="G75" s="169">
        <f>'הנדסה '!G41</f>
        <v>400000</v>
      </c>
      <c r="H75" s="169">
        <f>'הנדסה '!H41</f>
        <v>98067.4</v>
      </c>
      <c r="I75" s="169">
        <f>'הנדסה '!I41</f>
        <v>67052.7</v>
      </c>
      <c r="J75" s="169">
        <f>'הנדסה '!J41</f>
        <v>47158.73</v>
      </c>
      <c r="K75" s="169">
        <f>'הנדסה '!K41</f>
        <v>114211.43</v>
      </c>
      <c r="L75" s="169">
        <f>'הנדסה '!L41</f>
        <v>212278.83</v>
      </c>
      <c r="M75" s="169">
        <f>'הנדסה '!M41</f>
        <v>7721.1700000000128</v>
      </c>
      <c r="N75" s="169">
        <f>'הנדסה '!N41</f>
        <v>180000</v>
      </c>
      <c r="O75" s="169">
        <f>'הנדסה '!O41</f>
        <v>2000000</v>
      </c>
      <c r="P75" s="169">
        <f>'הנדסה '!P41</f>
        <v>187721.17</v>
      </c>
      <c r="Q75" s="169">
        <f>'הנדסה '!Q41</f>
        <v>0</v>
      </c>
      <c r="R75" s="169">
        <f>'הנדסה '!R41</f>
        <v>0</v>
      </c>
      <c r="S75" s="169">
        <f>'הנדסה '!S41</f>
        <v>0</v>
      </c>
      <c r="T75" s="169">
        <f>'הנדסה '!T41</f>
        <v>180000</v>
      </c>
      <c r="U75" s="169">
        <f>'הנדסה '!U41</f>
        <v>0</v>
      </c>
      <c r="V75" s="169">
        <f>'הנדסה '!V41</f>
        <v>0</v>
      </c>
      <c r="W75" s="169">
        <f>'הנדסה '!W41</f>
        <v>0</v>
      </c>
      <c r="X75" s="169">
        <f>'הנדסה '!X41</f>
        <v>0</v>
      </c>
      <c r="Y75" s="169">
        <f>'הנדסה '!Y41</f>
        <v>0</v>
      </c>
      <c r="Z75" s="169">
        <f>'הנדסה '!Z41</f>
        <v>0</v>
      </c>
      <c r="AA75" s="659">
        <f>'הנדסה '!AA41</f>
        <v>742000</v>
      </c>
      <c r="AB75" s="157"/>
      <c r="AC75" s="157"/>
      <c r="AD75" s="157"/>
      <c r="AE75" s="157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  <c r="EM75" s="160"/>
      <c r="EN75" s="160"/>
      <c r="EO75" s="160"/>
      <c r="EP75" s="160"/>
      <c r="EQ75" s="160"/>
      <c r="ER75" s="160"/>
      <c r="ES75" s="160"/>
      <c r="ET75" s="160"/>
      <c r="EU75" s="160"/>
      <c r="EV75" s="160"/>
      <c r="EW75" s="160"/>
      <c r="EX75" s="160"/>
      <c r="EY75" s="160"/>
      <c r="EZ75" s="160"/>
      <c r="FA75" s="160"/>
      <c r="FB75" s="160"/>
      <c r="FC75" s="160"/>
      <c r="FD75" s="160"/>
      <c r="FE75" s="160"/>
      <c r="FF75" s="160"/>
      <c r="FG75" s="160"/>
      <c r="FH75" s="160"/>
      <c r="FI75" s="160"/>
      <c r="FJ75" s="160"/>
      <c r="FK75" s="160"/>
      <c r="FL75" s="160"/>
      <c r="FM75" s="160"/>
      <c r="FN75" s="160"/>
      <c r="FO75" s="160"/>
      <c r="FP75" s="160"/>
      <c r="FQ75" s="160"/>
      <c r="FR75" s="160"/>
      <c r="FS75" s="160"/>
      <c r="FT75" s="160"/>
      <c r="FU75" s="160"/>
      <c r="FV75" s="160"/>
      <c r="FW75" s="160"/>
      <c r="FX75" s="160"/>
      <c r="FY75" s="160"/>
      <c r="FZ75" s="160"/>
      <c r="GA75" s="160"/>
      <c r="GB75" s="160"/>
      <c r="GC75" s="160"/>
      <c r="GD75" s="160"/>
      <c r="GE75" s="160"/>
      <c r="GF75" s="160"/>
      <c r="GG75" s="160"/>
      <c r="GH75" s="160"/>
      <c r="GI75" s="160"/>
      <c r="GJ75" s="160"/>
      <c r="GK75" s="160"/>
      <c r="GL75" s="160"/>
      <c r="GM75" s="160"/>
      <c r="GN75" s="160"/>
      <c r="GO75" s="160"/>
      <c r="GP75" s="160"/>
      <c r="GQ75" s="160"/>
      <c r="GR75" s="160"/>
      <c r="GS75" s="160"/>
      <c r="GT75" s="160"/>
      <c r="GU75" s="160"/>
      <c r="GV75" s="160"/>
      <c r="GW75" s="160"/>
      <c r="GX75" s="160"/>
      <c r="GY75" s="160"/>
      <c r="GZ75" s="160"/>
      <c r="HA75" s="160"/>
      <c r="HB75" s="160"/>
      <c r="HC75" s="160"/>
      <c r="HD75" s="160"/>
      <c r="HE75" s="160"/>
      <c r="HF75" s="160"/>
      <c r="HG75" s="160"/>
      <c r="HH75" s="160"/>
      <c r="HI75" s="160"/>
      <c r="HJ75" s="160"/>
      <c r="HK75" s="160"/>
      <c r="HL75" s="160"/>
      <c r="HM75" s="160"/>
      <c r="HN75" s="160"/>
      <c r="HO75" s="160"/>
      <c r="HP75" s="160"/>
      <c r="HQ75" s="160"/>
      <c r="HR75" s="160"/>
      <c r="HS75" s="160"/>
      <c r="HT75" s="160"/>
      <c r="HU75" s="160"/>
      <c r="HV75" s="160"/>
      <c r="HW75" s="160"/>
      <c r="HX75" s="160"/>
      <c r="HY75" s="160"/>
      <c r="HZ75" s="160"/>
      <c r="IA75" s="160"/>
      <c r="IB75" s="160"/>
      <c r="IC75" s="160"/>
      <c r="ID75" s="160"/>
      <c r="IE75" s="160"/>
      <c r="IF75" s="160"/>
      <c r="IG75" s="160"/>
      <c r="IH75" s="160"/>
      <c r="II75" s="160"/>
      <c r="IJ75" s="160"/>
      <c r="IK75" s="160"/>
      <c r="IL75" s="160"/>
      <c r="IM75" s="160"/>
      <c r="IN75" s="160"/>
      <c r="IO75" s="160"/>
      <c r="IP75" s="160"/>
      <c r="IQ75" s="160"/>
      <c r="IR75" s="160"/>
      <c r="IS75" s="160"/>
      <c r="IT75" s="160"/>
      <c r="IU75" s="160"/>
      <c r="IV75" s="160"/>
      <c r="IW75" s="160"/>
      <c r="IX75" s="160"/>
      <c r="IY75" s="160"/>
      <c r="IZ75" s="160"/>
      <c r="JA75" s="160"/>
      <c r="JB75" s="160"/>
      <c r="JC75" s="160"/>
      <c r="JD75" s="160"/>
      <c r="JE75" s="160"/>
      <c r="JF75" s="160"/>
      <c r="JG75" s="160"/>
      <c r="JH75" s="160"/>
      <c r="JI75" s="160"/>
      <c r="JJ75" s="160"/>
      <c r="JK75" s="160"/>
      <c r="JL75" s="160"/>
      <c r="JM75" s="160"/>
      <c r="JN75" s="160"/>
      <c r="JO75" s="160"/>
      <c r="JP75" s="160"/>
      <c r="JQ75" s="160"/>
      <c r="JR75" s="160"/>
      <c r="JS75" s="160"/>
      <c r="JT75" s="160"/>
      <c r="JU75" s="160"/>
      <c r="JV75" s="160"/>
      <c r="JW75" s="160"/>
      <c r="JX75" s="160"/>
      <c r="JY75" s="160"/>
      <c r="JZ75" s="160"/>
      <c r="KA75" s="160"/>
      <c r="KB75" s="160"/>
      <c r="KC75" s="160"/>
      <c r="KD75" s="160"/>
      <c r="KE75" s="160"/>
      <c r="KF75" s="160"/>
      <c r="KG75" s="160"/>
      <c r="KH75" s="160"/>
      <c r="KI75" s="160"/>
      <c r="KJ75" s="160"/>
      <c r="KK75" s="160"/>
      <c r="KL75" s="160"/>
      <c r="KM75" s="160"/>
      <c r="KN75" s="160"/>
      <c r="KO75" s="160"/>
      <c r="KP75" s="160"/>
      <c r="KQ75" s="160"/>
      <c r="KR75" s="160"/>
      <c r="KS75" s="160"/>
      <c r="KT75" s="160"/>
      <c r="KU75" s="160"/>
      <c r="KV75" s="160"/>
      <c r="KW75" s="160"/>
      <c r="KX75" s="160"/>
      <c r="KY75" s="160"/>
      <c r="KZ75" s="160"/>
      <c r="LA75" s="160"/>
      <c r="LB75" s="160"/>
      <c r="LC75" s="160"/>
      <c r="LD75" s="160"/>
      <c r="LE75" s="160"/>
      <c r="LF75" s="160"/>
      <c r="LG75" s="160"/>
      <c r="LH75" s="160"/>
      <c r="LI75" s="160"/>
      <c r="LJ75" s="160"/>
      <c r="LK75" s="160"/>
      <c r="LL75" s="160"/>
      <c r="LM75" s="160"/>
      <c r="LN75" s="160"/>
      <c r="LO75" s="160"/>
      <c r="LP75" s="160"/>
      <c r="LQ75" s="160"/>
      <c r="LR75" s="160"/>
      <c r="LS75" s="160"/>
      <c r="LT75" s="160"/>
      <c r="LU75" s="160"/>
      <c r="LV75" s="160"/>
      <c r="LW75" s="160"/>
      <c r="LX75" s="160"/>
      <c r="LY75" s="160"/>
      <c r="LZ75" s="160"/>
      <c r="MA75" s="160"/>
      <c r="MB75" s="160"/>
      <c r="MC75" s="160"/>
      <c r="MD75" s="160"/>
      <c r="ME75" s="160"/>
      <c r="MF75" s="160"/>
      <c r="MG75" s="160"/>
      <c r="MH75" s="160"/>
      <c r="MI75" s="160"/>
      <c r="MJ75" s="160"/>
      <c r="MK75" s="160"/>
      <c r="ML75" s="160"/>
      <c r="MM75" s="160"/>
      <c r="MN75" s="160"/>
      <c r="MO75" s="160"/>
      <c r="MP75" s="160"/>
      <c r="MQ75" s="160"/>
      <c r="MR75" s="160"/>
      <c r="MS75" s="160"/>
      <c r="MT75" s="160"/>
      <c r="MU75" s="160"/>
      <c r="MV75" s="160"/>
      <c r="MW75" s="160"/>
      <c r="MX75" s="160"/>
      <c r="MY75" s="160"/>
      <c r="MZ75" s="160"/>
      <c r="NA75" s="160"/>
      <c r="NB75" s="160"/>
      <c r="NC75" s="160"/>
      <c r="ND75" s="160"/>
      <c r="NE75" s="160"/>
      <c r="NF75" s="160"/>
      <c r="NG75" s="160"/>
      <c r="NH75" s="160"/>
      <c r="NI75" s="160"/>
      <c r="NJ75" s="160"/>
      <c r="NK75" s="160"/>
      <c r="NL75" s="160"/>
      <c r="NM75" s="160"/>
      <c r="NN75" s="160"/>
      <c r="NO75" s="160"/>
      <c r="NP75" s="160"/>
      <c r="NQ75" s="160"/>
      <c r="NR75" s="160"/>
      <c r="NS75" s="160"/>
      <c r="NT75" s="160"/>
      <c r="NU75" s="160"/>
      <c r="NV75" s="160"/>
      <c r="NW75" s="160"/>
      <c r="NX75" s="160"/>
      <c r="NY75" s="160"/>
      <c r="NZ75" s="160"/>
      <c r="OA75" s="160"/>
      <c r="OB75" s="160"/>
      <c r="OC75" s="160"/>
      <c r="OD75" s="160"/>
      <c r="OE75" s="160"/>
      <c r="OF75" s="160"/>
      <c r="OG75" s="160"/>
      <c r="OH75" s="160"/>
      <c r="OI75" s="160"/>
      <c r="OJ75" s="160"/>
      <c r="OK75" s="160"/>
      <c r="OL75" s="160"/>
      <c r="OM75" s="160"/>
      <c r="ON75" s="160"/>
      <c r="OO75" s="160"/>
      <c r="OP75" s="160"/>
      <c r="OQ75" s="160"/>
      <c r="OR75" s="160"/>
      <c r="OS75" s="160"/>
      <c r="OT75" s="160"/>
      <c r="OU75" s="160"/>
      <c r="OV75" s="160"/>
      <c r="OW75" s="160"/>
      <c r="OX75" s="160"/>
      <c r="OY75" s="160"/>
      <c r="OZ75" s="160"/>
      <c r="PA75" s="160"/>
      <c r="PB75" s="160"/>
      <c r="PC75" s="160"/>
      <c r="PD75" s="160"/>
      <c r="PE75" s="160"/>
      <c r="PF75" s="160"/>
      <c r="PG75" s="160"/>
      <c r="PH75" s="160"/>
      <c r="PI75" s="160"/>
      <c r="PJ75" s="160"/>
      <c r="PK75" s="160"/>
      <c r="PL75" s="160"/>
      <c r="PM75" s="160"/>
      <c r="PN75" s="160"/>
      <c r="PO75" s="160"/>
      <c r="PP75" s="160"/>
      <c r="PQ75" s="160"/>
      <c r="PR75" s="160"/>
      <c r="PS75" s="160"/>
      <c r="PT75" s="160"/>
      <c r="PU75" s="160"/>
      <c r="PV75" s="160"/>
      <c r="PW75" s="160"/>
      <c r="PX75" s="160"/>
      <c r="PY75" s="160"/>
      <c r="PZ75" s="160"/>
      <c r="QA75" s="160"/>
      <c r="QB75" s="160"/>
      <c r="QC75" s="160"/>
      <c r="QD75" s="160"/>
      <c r="QE75" s="160"/>
      <c r="QF75" s="160"/>
      <c r="QG75" s="160"/>
      <c r="QH75" s="160"/>
      <c r="QI75" s="160"/>
      <c r="QJ75" s="160"/>
      <c r="QK75" s="160"/>
      <c r="QL75" s="160"/>
      <c r="QM75" s="160"/>
      <c r="QN75" s="160"/>
      <c r="QO75" s="160"/>
      <c r="QP75" s="160"/>
      <c r="QQ75" s="160"/>
      <c r="QR75" s="160"/>
      <c r="QS75" s="160"/>
      <c r="QT75" s="160"/>
      <c r="QU75" s="160"/>
      <c r="QV75" s="160"/>
      <c r="QW75" s="160"/>
      <c r="QX75" s="160"/>
      <c r="QY75" s="160"/>
      <c r="QZ75" s="160"/>
      <c r="RA75" s="160"/>
      <c r="RB75" s="160"/>
      <c r="RC75" s="160"/>
      <c r="RD75" s="160"/>
      <c r="RE75" s="160"/>
      <c r="RF75" s="160"/>
      <c r="RG75" s="160"/>
      <c r="RH75" s="160"/>
      <c r="RI75" s="160"/>
      <c r="RJ75" s="160"/>
      <c r="RK75" s="160"/>
      <c r="RL75" s="160"/>
      <c r="RM75" s="160"/>
      <c r="RN75" s="160"/>
      <c r="RO75" s="160"/>
      <c r="RP75" s="160"/>
      <c r="RQ75" s="160"/>
      <c r="RR75" s="160"/>
      <c r="RS75" s="160"/>
      <c r="RT75" s="160"/>
      <c r="RU75" s="160"/>
      <c r="RV75" s="160"/>
      <c r="RW75" s="160"/>
      <c r="RX75" s="160"/>
      <c r="RY75" s="160"/>
      <c r="RZ75" s="160"/>
      <c r="SA75" s="160"/>
      <c r="SB75" s="160"/>
      <c r="SC75" s="160"/>
      <c r="SD75" s="160"/>
      <c r="SE75" s="160"/>
      <c r="SF75" s="160"/>
      <c r="SG75" s="160"/>
      <c r="SH75" s="160"/>
      <c r="SI75" s="160"/>
      <c r="SJ75" s="160"/>
      <c r="SK75" s="160"/>
      <c r="SL75" s="160"/>
      <c r="SM75" s="160"/>
      <c r="SN75" s="160"/>
      <c r="SO75" s="160"/>
      <c r="SP75" s="160"/>
      <c r="SQ75" s="160"/>
      <c r="SR75" s="160"/>
      <c r="SS75" s="160"/>
      <c r="ST75" s="160"/>
      <c r="SU75" s="160"/>
      <c r="SV75" s="160"/>
      <c r="SW75" s="160"/>
      <c r="SX75" s="160"/>
      <c r="SY75" s="160"/>
      <c r="SZ75" s="160"/>
      <c r="TA75" s="160"/>
      <c r="TB75" s="160"/>
      <c r="TC75" s="160"/>
      <c r="TD75" s="160"/>
      <c r="TE75" s="160"/>
      <c r="TF75" s="160"/>
      <c r="TG75" s="160"/>
      <c r="TH75" s="160"/>
      <c r="TI75" s="160"/>
      <c r="TJ75" s="160"/>
      <c r="TK75" s="160"/>
      <c r="TL75" s="160"/>
      <c r="TM75" s="160"/>
      <c r="TN75" s="160"/>
      <c r="TO75" s="160"/>
      <c r="TP75" s="160"/>
      <c r="TQ75" s="160"/>
      <c r="TR75" s="160"/>
      <c r="TS75" s="160"/>
      <c r="TT75" s="160"/>
      <c r="TU75" s="160"/>
      <c r="TV75" s="160"/>
      <c r="TW75" s="160"/>
      <c r="TX75" s="160"/>
      <c r="TY75" s="160"/>
      <c r="TZ75" s="160"/>
      <c r="UA75" s="160"/>
      <c r="UB75" s="160"/>
      <c r="UC75" s="160"/>
      <c r="UD75" s="160"/>
      <c r="UE75" s="160"/>
      <c r="UF75" s="160"/>
      <c r="UG75" s="160"/>
      <c r="UH75" s="160"/>
      <c r="UI75" s="160"/>
      <c r="UJ75" s="160"/>
      <c r="UK75" s="160"/>
      <c r="UL75" s="160"/>
      <c r="UM75" s="160"/>
      <c r="UN75" s="160"/>
      <c r="UO75" s="160"/>
      <c r="UP75" s="160"/>
      <c r="UQ75" s="160"/>
      <c r="UR75" s="160"/>
      <c r="US75" s="160"/>
      <c r="UT75" s="160"/>
      <c r="UU75" s="160"/>
      <c r="UV75" s="160"/>
      <c r="UW75" s="160"/>
      <c r="UX75" s="160"/>
      <c r="UY75" s="160"/>
      <c r="UZ75" s="160"/>
      <c r="VA75" s="160"/>
      <c r="VB75" s="160"/>
      <c r="VC75" s="160"/>
      <c r="VD75" s="160"/>
      <c r="VE75" s="160"/>
      <c r="VF75" s="160"/>
      <c r="VG75" s="160"/>
      <c r="VH75" s="160"/>
      <c r="VI75" s="160"/>
      <c r="VJ75" s="160"/>
      <c r="VK75" s="160"/>
      <c r="VL75" s="160"/>
      <c r="VM75" s="160"/>
      <c r="VN75" s="160"/>
      <c r="VO75" s="160"/>
      <c r="VP75" s="160"/>
      <c r="VQ75" s="160"/>
      <c r="VR75" s="160"/>
      <c r="VS75" s="160"/>
      <c r="VT75" s="160"/>
      <c r="VU75" s="160"/>
      <c r="VV75" s="160"/>
      <c r="VW75" s="160"/>
      <c r="VX75" s="160"/>
      <c r="VY75" s="160"/>
      <c r="VZ75" s="160"/>
      <c r="WA75" s="160"/>
      <c r="WB75" s="160"/>
      <c r="WC75" s="160"/>
      <c r="WD75" s="160"/>
      <c r="WE75" s="160"/>
      <c r="WF75" s="160"/>
      <c r="WG75" s="160"/>
      <c r="WH75" s="160"/>
      <c r="WI75" s="160"/>
      <c r="WJ75" s="160"/>
      <c r="WK75" s="160"/>
      <c r="WL75" s="160"/>
      <c r="WM75" s="160"/>
      <c r="WN75" s="160"/>
      <c r="WO75" s="160"/>
      <c r="WP75" s="160"/>
      <c r="WQ75" s="160"/>
      <c r="WR75" s="160"/>
      <c r="WS75" s="160"/>
      <c r="WT75" s="160"/>
      <c r="WU75" s="160"/>
      <c r="WV75" s="160"/>
      <c r="WW75" s="160"/>
      <c r="WX75" s="160"/>
      <c r="WY75" s="160"/>
      <c r="WZ75" s="160"/>
      <c r="XA75" s="160"/>
      <c r="XB75" s="160"/>
      <c r="XC75" s="160"/>
      <c r="XD75" s="160"/>
      <c r="XE75" s="160"/>
      <c r="XF75" s="160"/>
      <c r="XG75" s="160"/>
      <c r="XH75" s="160"/>
      <c r="XI75" s="160"/>
      <c r="XJ75" s="160"/>
      <c r="XK75" s="160"/>
      <c r="XL75" s="160"/>
      <c r="XM75" s="160"/>
      <c r="XN75" s="160"/>
      <c r="XO75" s="160"/>
      <c r="XP75" s="160"/>
      <c r="XQ75" s="160"/>
      <c r="XR75" s="160"/>
      <c r="XS75" s="160"/>
      <c r="XT75" s="160"/>
      <c r="XU75" s="160"/>
      <c r="XV75" s="160"/>
      <c r="XW75" s="160"/>
      <c r="XX75" s="160"/>
      <c r="XY75" s="160"/>
      <c r="XZ75" s="160"/>
      <c r="YA75" s="160"/>
      <c r="YB75" s="160"/>
      <c r="YC75" s="160"/>
      <c r="YD75" s="160"/>
      <c r="YE75" s="160"/>
      <c r="YF75" s="160"/>
      <c r="YG75" s="160"/>
      <c r="YH75" s="160"/>
      <c r="YI75" s="160"/>
      <c r="YJ75" s="160"/>
      <c r="YK75" s="160"/>
      <c r="YL75" s="160"/>
      <c r="YM75" s="160"/>
      <c r="YN75" s="160"/>
      <c r="YO75" s="160"/>
      <c r="YP75" s="160"/>
      <c r="YQ75" s="160"/>
      <c r="YR75" s="160"/>
      <c r="YS75" s="160"/>
      <c r="YT75" s="160"/>
      <c r="YU75" s="160"/>
      <c r="YV75" s="160"/>
      <c r="YW75" s="160"/>
      <c r="YX75" s="160"/>
      <c r="YY75" s="160"/>
      <c r="YZ75" s="160"/>
      <c r="ZA75" s="160"/>
      <c r="ZB75" s="160"/>
      <c r="ZC75" s="160"/>
      <c r="ZD75" s="160"/>
      <c r="ZE75" s="160"/>
      <c r="ZF75" s="160"/>
      <c r="ZG75" s="160"/>
      <c r="ZH75" s="160"/>
      <c r="ZI75" s="160"/>
      <c r="ZJ75" s="160"/>
      <c r="ZK75" s="160"/>
      <c r="ZL75" s="160"/>
      <c r="ZM75" s="160"/>
      <c r="ZN75" s="160"/>
      <c r="ZO75" s="160"/>
      <c r="ZP75" s="160"/>
      <c r="ZQ75" s="160"/>
      <c r="ZR75" s="160"/>
      <c r="ZS75" s="160"/>
      <c r="ZT75" s="160"/>
      <c r="ZU75" s="160"/>
      <c r="ZV75" s="160"/>
      <c r="ZW75" s="160"/>
      <c r="ZX75" s="160"/>
      <c r="ZY75" s="160"/>
      <c r="ZZ75" s="160"/>
      <c r="AAA75" s="160"/>
      <c r="AAB75" s="160"/>
      <c r="AAC75" s="160"/>
      <c r="AAD75" s="160"/>
      <c r="AAE75" s="160"/>
      <c r="AAF75" s="160"/>
      <c r="AAG75" s="160"/>
      <c r="AAH75" s="160"/>
      <c r="AAI75" s="160"/>
      <c r="AAJ75" s="160"/>
      <c r="AAK75" s="160"/>
      <c r="AAL75" s="160"/>
      <c r="AAM75" s="160"/>
      <c r="AAN75" s="160"/>
      <c r="AAO75" s="160"/>
      <c r="AAP75" s="160"/>
      <c r="AAQ75" s="160"/>
      <c r="AAR75" s="160"/>
      <c r="AAS75" s="160"/>
      <c r="AAT75" s="160"/>
      <c r="AAU75" s="160"/>
      <c r="AAV75" s="160"/>
      <c r="AAW75" s="160"/>
      <c r="AAX75" s="160"/>
      <c r="AAY75" s="160"/>
      <c r="AAZ75" s="160"/>
      <c r="ABA75" s="160"/>
      <c r="ABB75" s="160"/>
      <c r="ABC75" s="160"/>
      <c r="ABD75" s="160"/>
      <c r="ABE75" s="160"/>
      <c r="ABF75" s="160"/>
      <c r="ABG75" s="160"/>
      <c r="ABH75" s="160"/>
      <c r="ABI75" s="160"/>
      <c r="ABJ75" s="160"/>
      <c r="ABK75" s="160"/>
      <c r="ABL75" s="160"/>
      <c r="ABM75" s="160"/>
      <c r="ABN75" s="160"/>
      <c r="ABO75" s="160"/>
      <c r="ABP75" s="160"/>
      <c r="ABQ75" s="160"/>
      <c r="ABR75" s="160"/>
      <c r="ABS75" s="160"/>
      <c r="ABT75" s="160"/>
      <c r="ABU75" s="160"/>
      <c r="ABV75" s="160"/>
      <c r="ABW75" s="160"/>
      <c r="ABX75" s="160"/>
      <c r="ABY75" s="160"/>
      <c r="ABZ75" s="160"/>
      <c r="ACA75" s="160"/>
      <c r="ACB75" s="160"/>
      <c r="ACC75" s="160"/>
      <c r="ACD75" s="160"/>
      <c r="ACE75" s="160"/>
      <c r="ACF75" s="160"/>
      <c r="ACG75" s="160"/>
      <c r="ACH75" s="160"/>
      <c r="ACI75" s="160"/>
      <c r="ACJ75" s="160"/>
      <c r="ACK75" s="160"/>
      <c r="ACL75" s="160"/>
      <c r="ACM75" s="160"/>
      <c r="ACN75" s="160"/>
      <c r="ACO75" s="160"/>
      <c r="ACP75" s="160"/>
      <c r="ACQ75" s="160"/>
      <c r="ACR75" s="160"/>
      <c r="ACS75" s="160"/>
      <c r="ACT75" s="160"/>
      <c r="ACU75" s="160"/>
      <c r="ACV75" s="160"/>
      <c r="ACW75" s="160"/>
      <c r="ACX75" s="160"/>
      <c r="ACY75" s="160"/>
      <c r="ACZ75" s="160"/>
      <c r="ADA75" s="160"/>
      <c r="ADB75" s="160"/>
      <c r="ADC75" s="160"/>
      <c r="ADD75" s="160"/>
      <c r="ADE75" s="160"/>
      <c r="ADF75" s="160"/>
      <c r="ADG75" s="160"/>
      <c r="ADH75" s="160"/>
      <c r="ADI75" s="160"/>
      <c r="ADJ75" s="160"/>
      <c r="ADK75" s="160"/>
      <c r="ADL75" s="160"/>
      <c r="ADM75" s="160"/>
      <c r="ADN75" s="160"/>
      <c r="ADO75" s="160"/>
      <c r="ADP75" s="160"/>
      <c r="ADQ75" s="160"/>
      <c r="ADR75" s="160"/>
      <c r="ADS75" s="160"/>
      <c r="ADT75" s="160"/>
      <c r="ADU75" s="160"/>
      <c r="ADV75" s="160"/>
      <c r="ADW75" s="160"/>
      <c r="ADX75" s="160"/>
      <c r="ADY75" s="160"/>
      <c r="ADZ75" s="160"/>
      <c r="AEA75" s="160"/>
      <c r="AEB75" s="160"/>
      <c r="AEC75" s="160"/>
      <c r="AED75" s="160"/>
      <c r="AEE75" s="160"/>
      <c r="AEF75" s="160"/>
      <c r="AEG75" s="160"/>
      <c r="AEH75" s="160"/>
      <c r="AEI75" s="160"/>
      <c r="AEJ75" s="160"/>
      <c r="AEK75" s="160"/>
      <c r="AEL75" s="160"/>
      <c r="AEM75" s="160"/>
      <c r="AEN75" s="160"/>
      <c r="AEO75" s="160"/>
      <c r="AEP75" s="160"/>
      <c r="AEQ75" s="160"/>
      <c r="AER75" s="160"/>
      <c r="AES75" s="160"/>
      <c r="AET75" s="160"/>
      <c r="AEU75" s="160"/>
      <c r="AEV75" s="160"/>
      <c r="AEW75" s="160"/>
      <c r="AEX75" s="160"/>
      <c r="AEY75" s="160"/>
      <c r="AEZ75" s="160"/>
      <c r="AFA75" s="160"/>
      <c r="AFB75" s="160"/>
      <c r="AFC75" s="160"/>
      <c r="AFD75" s="160"/>
      <c r="AFE75" s="160"/>
      <c r="AFF75" s="160"/>
      <c r="AFG75" s="160"/>
      <c r="AFH75" s="160"/>
      <c r="AFI75" s="160"/>
      <c r="AFJ75" s="160"/>
      <c r="AFK75" s="160"/>
      <c r="AFL75" s="160"/>
      <c r="AFM75" s="160"/>
      <c r="AFN75" s="160"/>
      <c r="AFO75" s="160"/>
      <c r="AFP75" s="160"/>
      <c r="AFQ75" s="160"/>
      <c r="AFR75" s="160"/>
      <c r="AFS75" s="160"/>
      <c r="AFT75" s="160"/>
      <c r="AFU75" s="160"/>
      <c r="AFV75" s="160"/>
      <c r="AFW75" s="160"/>
      <c r="AFX75" s="160"/>
      <c r="AFY75" s="160"/>
      <c r="AFZ75" s="160"/>
      <c r="AGA75" s="160"/>
      <c r="AGB75" s="160"/>
      <c r="AGC75" s="160"/>
      <c r="AGD75" s="160"/>
      <c r="AGE75" s="160"/>
      <c r="AGF75" s="160"/>
      <c r="AGG75" s="160"/>
      <c r="AGH75" s="160"/>
      <c r="AGI75" s="160"/>
      <c r="AGJ75" s="160"/>
      <c r="AGK75" s="160"/>
      <c r="AGL75" s="160"/>
      <c r="AGM75" s="160"/>
      <c r="AGN75" s="160"/>
      <c r="AGO75" s="160"/>
      <c r="AGP75" s="160"/>
      <c r="AGQ75" s="160"/>
      <c r="AGR75" s="160"/>
      <c r="AGS75" s="160"/>
      <c r="AGT75" s="160"/>
      <c r="AGU75" s="160"/>
      <c r="AGV75" s="160"/>
      <c r="AGW75" s="160"/>
      <c r="AGX75" s="160"/>
      <c r="AGY75" s="160"/>
      <c r="AGZ75" s="160"/>
      <c r="AHA75" s="160"/>
      <c r="AHB75" s="160"/>
      <c r="AHC75" s="160"/>
      <c r="AHD75" s="160"/>
      <c r="AHE75" s="160"/>
      <c r="AHF75" s="160"/>
      <c r="AHG75" s="160"/>
      <c r="AHH75" s="160"/>
      <c r="AHI75" s="160"/>
      <c r="AHJ75" s="160"/>
      <c r="AHK75" s="160"/>
      <c r="AHL75" s="160"/>
      <c r="AHM75" s="160"/>
      <c r="AHN75" s="160"/>
      <c r="AHO75" s="160"/>
      <c r="AHP75" s="160"/>
      <c r="AHQ75" s="160"/>
      <c r="AHR75" s="160"/>
      <c r="AHS75" s="160"/>
      <c r="AHT75" s="160"/>
      <c r="AHU75" s="160"/>
      <c r="AHV75" s="160"/>
      <c r="AHW75" s="160"/>
      <c r="AHX75" s="160"/>
      <c r="AHY75" s="160"/>
      <c r="AHZ75" s="160"/>
      <c r="AIA75" s="160"/>
      <c r="AIB75" s="160"/>
      <c r="AIC75" s="160"/>
      <c r="AID75" s="160"/>
      <c r="AIE75" s="160"/>
      <c r="AIF75" s="160"/>
      <c r="AIG75" s="160"/>
      <c r="AIH75" s="160"/>
      <c r="AII75" s="160"/>
      <c r="AIJ75" s="160"/>
      <c r="AIK75" s="160"/>
      <c r="AIL75" s="160"/>
      <c r="AIM75" s="160"/>
      <c r="AIN75" s="160"/>
      <c r="AIO75" s="160"/>
      <c r="AIP75" s="160"/>
      <c r="AIQ75" s="160"/>
      <c r="AIR75" s="160"/>
      <c r="AIS75" s="160"/>
      <c r="AIT75" s="160"/>
      <c r="AIU75" s="160"/>
      <c r="AIV75" s="160"/>
      <c r="AIW75" s="160"/>
      <c r="AIX75" s="160"/>
      <c r="AIY75" s="160"/>
      <c r="AIZ75" s="160"/>
      <c r="AJA75" s="160"/>
      <c r="AJB75" s="160"/>
      <c r="AJC75" s="160"/>
      <c r="AJD75" s="160"/>
      <c r="AJE75" s="160"/>
      <c r="AJF75" s="160"/>
      <c r="AJG75" s="160"/>
      <c r="AJH75" s="160"/>
      <c r="AJI75" s="160"/>
      <c r="AJJ75" s="160"/>
      <c r="AJK75" s="160"/>
      <c r="AJL75" s="160"/>
      <c r="AJM75" s="160"/>
      <c r="AJN75" s="160"/>
      <c r="AJO75" s="160"/>
      <c r="AJP75" s="160"/>
      <c r="AJQ75" s="160"/>
      <c r="AJR75" s="160"/>
      <c r="AJS75" s="160"/>
      <c r="AJT75" s="160"/>
      <c r="AJU75" s="160"/>
      <c r="AJV75" s="160"/>
      <c r="AJW75" s="160"/>
      <c r="AJX75" s="160"/>
      <c r="AJY75" s="160"/>
      <c r="AJZ75" s="160"/>
      <c r="AKA75" s="160"/>
      <c r="AKB75" s="160"/>
      <c r="AKC75" s="160"/>
      <c r="AKD75" s="160"/>
      <c r="AKE75" s="160"/>
      <c r="AKF75" s="160"/>
      <c r="AKG75" s="160"/>
      <c r="AKH75" s="160"/>
      <c r="AKI75" s="160"/>
      <c r="AKJ75" s="160"/>
      <c r="AKK75" s="160"/>
      <c r="AKL75" s="160"/>
      <c r="AKM75" s="160"/>
      <c r="AKN75" s="160"/>
      <c r="AKO75" s="160"/>
      <c r="AKP75" s="160"/>
      <c r="AKQ75" s="160"/>
      <c r="AKR75" s="160"/>
      <c r="AKS75" s="160"/>
      <c r="AKT75" s="160"/>
      <c r="AKU75" s="160"/>
      <c r="AKV75" s="160"/>
      <c r="AKW75" s="160"/>
      <c r="AKX75" s="160"/>
      <c r="AKY75" s="160"/>
      <c r="AKZ75" s="160"/>
      <c r="ALA75" s="160"/>
      <c r="ALB75" s="160"/>
      <c r="ALC75" s="160"/>
      <c r="ALD75" s="160"/>
      <c r="ALE75" s="160"/>
      <c r="ALF75" s="160"/>
      <c r="ALG75" s="160"/>
      <c r="ALH75" s="160"/>
      <c r="ALI75" s="160"/>
      <c r="ALJ75" s="160"/>
      <c r="ALK75" s="160"/>
      <c r="ALL75" s="160"/>
      <c r="ALM75" s="160"/>
      <c r="ALN75" s="160"/>
      <c r="ALO75" s="160"/>
      <c r="ALP75" s="160"/>
      <c r="ALQ75" s="160"/>
      <c r="ALR75" s="160"/>
      <c r="ALS75" s="160"/>
      <c r="ALT75" s="160"/>
      <c r="ALU75" s="160"/>
      <c r="ALV75" s="160"/>
      <c r="ALW75" s="160"/>
      <c r="ALX75" s="160"/>
      <c r="ALY75" s="160"/>
      <c r="ALZ75" s="160"/>
      <c r="AMA75" s="160"/>
      <c r="AMB75" s="160"/>
      <c r="AMC75" s="160"/>
      <c r="AMD75" s="160"/>
      <c r="AME75" s="158"/>
    </row>
    <row r="76" spans="1:1019" s="176" customFormat="1" ht="15" customHeight="1">
      <c r="A76" s="168">
        <f t="shared" si="2"/>
        <v>69</v>
      </c>
      <c r="B76" s="175">
        <v>1725</v>
      </c>
      <c r="C76" s="168" t="s">
        <v>56</v>
      </c>
      <c r="D76" s="169">
        <f>'הנדסה '!D42</f>
        <v>13520000</v>
      </c>
      <c r="E76" s="169">
        <f>'הנדסה '!E42</f>
        <v>13700000</v>
      </c>
      <c r="F76" s="169">
        <f>'הנדסה '!F42</f>
        <v>-180000</v>
      </c>
      <c r="G76" s="169">
        <f>'הנדסה '!G42</f>
        <v>13700000</v>
      </c>
      <c r="H76" s="169">
        <f>'הנדסה '!H42</f>
        <v>13343609.32</v>
      </c>
      <c r="I76" s="169">
        <f>'הנדסה '!I42</f>
        <v>48702.71</v>
      </c>
      <c r="J76" s="169">
        <f>'הנדסה '!J42</f>
        <v>122599.34</v>
      </c>
      <c r="K76" s="169">
        <f>'הנדסה '!K42</f>
        <v>171302.05</v>
      </c>
      <c r="L76" s="169">
        <f>'הנדסה '!L42</f>
        <v>13514911.370000001</v>
      </c>
      <c r="M76" s="169">
        <f>'הנדסה '!M42</f>
        <v>5088.6299999989569</v>
      </c>
      <c r="N76" s="169">
        <f>'הנדסה '!N42</f>
        <v>0</v>
      </c>
      <c r="O76" s="169">
        <f>'הנדסה '!O42</f>
        <v>0</v>
      </c>
      <c r="P76" s="169">
        <f>'הנדסה '!P42</f>
        <v>185088.62999999896</v>
      </c>
      <c r="Q76" s="169">
        <f>'הנדסה '!Q42</f>
        <v>0</v>
      </c>
      <c r="R76" s="169">
        <f>'הנדסה '!R42</f>
        <v>0</v>
      </c>
      <c r="S76" s="169">
        <f>'הנדסה '!S42</f>
        <v>0</v>
      </c>
      <c r="T76" s="169">
        <f>'הנדסה '!T42</f>
        <v>180000</v>
      </c>
      <c r="U76" s="169">
        <f>'הנדסה '!U42</f>
        <v>-180000</v>
      </c>
      <c r="V76" s="169">
        <f>'הנדסה '!V42</f>
        <v>-180000</v>
      </c>
      <c r="W76" s="169">
        <f>'הנדסה '!W42</f>
        <v>0</v>
      </c>
      <c r="X76" s="169">
        <f>'הנדסה '!X42</f>
        <v>0</v>
      </c>
      <c r="Y76" s="169">
        <f>'הנדסה '!Y42</f>
        <v>0</v>
      </c>
      <c r="Z76" s="169">
        <f>'הנדסה '!Z42</f>
        <v>0</v>
      </c>
      <c r="AA76" s="659">
        <f>'הנדסה '!AA42</f>
        <v>742000</v>
      </c>
      <c r="AB76" s="157"/>
      <c r="AC76" s="157"/>
      <c r="AD76" s="157"/>
      <c r="AE76" s="157"/>
      <c r="AF76" s="172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  <c r="CJ76" s="160"/>
      <c r="CK76" s="160"/>
      <c r="CL76" s="160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0"/>
      <c r="ES76" s="160"/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0"/>
      <c r="FF76" s="160"/>
      <c r="FG76" s="160"/>
      <c r="FH76" s="160"/>
      <c r="FI76" s="160"/>
      <c r="FJ76" s="160"/>
      <c r="FK76" s="160"/>
      <c r="FL76" s="160"/>
      <c r="FM76" s="160"/>
      <c r="FN76" s="160"/>
      <c r="FO76" s="160"/>
      <c r="FP76" s="160"/>
      <c r="FQ76" s="160"/>
      <c r="FR76" s="160"/>
      <c r="FS76" s="160"/>
      <c r="FT76" s="160"/>
      <c r="FU76" s="160"/>
      <c r="FV76" s="160"/>
      <c r="FW76" s="160"/>
      <c r="FX76" s="160"/>
      <c r="FY76" s="160"/>
      <c r="FZ76" s="160"/>
      <c r="GA76" s="160"/>
      <c r="GB76" s="160"/>
      <c r="GC76" s="160"/>
      <c r="GD76" s="160"/>
      <c r="GE76" s="160"/>
      <c r="GF76" s="160"/>
      <c r="GG76" s="160"/>
      <c r="GH76" s="160"/>
      <c r="GI76" s="160"/>
      <c r="GJ76" s="160"/>
      <c r="GK76" s="160"/>
      <c r="GL76" s="160"/>
      <c r="GM76" s="160"/>
      <c r="GN76" s="160"/>
      <c r="GO76" s="160"/>
      <c r="GP76" s="160"/>
      <c r="GQ76" s="160"/>
      <c r="GR76" s="160"/>
      <c r="GS76" s="160"/>
      <c r="GT76" s="160"/>
      <c r="GU76" s="160"/>
      <c r="GV76" s="160"/>
      <c r="GW76" s="160"/>
      <c r="GX76" s="160"/>
      <c r="GY76" s="160"/>
      <c r="GZ76" s="160"/>
      <c r="HA76" s="160"/>
      <c r="HB76" s="160"/>
      <c r="HC76" s="160"/>
      <c r="HD76" s="160"/>
      <c r="HE76" s="160"/>
      <c r="HF76" s="160"/>
      <c r="HG76" s="160"/>
      <c r="HH76" s="160"/>
      <c r="HI76" s="160"/>
      <c r="HJ76" s="160"/>
      <c r="HK76" s="160"/>
      <c r="HL76" s="160"/>
      <c r="HM76" s="160"/>
      <c r="HN76" s="160"/>
      <c r="HO76" s="160"/>
      <c r="HP76" s="160"/>
      <c r="HQ76" s="160"/>
      <c r="HR76" s="160"/>
      <c r="HS76" s="160"/>
      <c r="HT76" s="160"/>
      <c r="HU76" s="160"/>
      <c r="HV76" s="160"/>
      <c r="HW76" s="160"/>
      <c r="HX76" s="160"/>
      <c r="HY76" s="160"/>
      <c r="HZ76" s="160"/>
      <c r="IA76" s="160"/>
      <c r="IB76" s="160"/>
      <c r="IC76" s="160"/>
      <c r="ID76" s="160"/>
      <c r="IE76" s="160"/>
      <c r="IF76" s="160"/>
      <c r="IG76" s="160"/>
      <c r="IH76" s="160"/>
      <c r="II76" s="160"/>
      <c r="IJ76" s="160"/>
      <c r="IK76" s="160"/>
      <c r="IL76" s="160"/>
      <c r="IM76" s="160"/>
      <c r="IN76" s="160"/>
      <c r="IO76" s="160"/>
      <c r="IP76" s="160"/>
      <c r="IQ76" s="160"/>
      <c r="IR76" s="160"/>
      <c r="IS76" s="160"/>
      <c r="IT76" s="160"/>
      <c r="IU76" s="160"/>
      <c r="IV76" s="160"/>
      <c r="IW76" s="160"/>
      <c r="IX76" s="160"/>
      <c r="IY76" s="160"/>
      <c r="IZ76" s="160"/>
      <c r="JA76" s="160"/>
      <c r="JB76" s="160"/>
      <c r="JC76" s="160"/>
      <c r="JD76" s="160"/>
      <c r="JE76" s="160"/>
      <c r="JF76" s="160"/>
      <c r="JG76" s="160"/>
      <c r="JH76" s="160"/>
      <c r="JI76" s="160"/>
      <c r="JJ76" s="160"/>
      <c r="JK76" s="160"/>
      <c r="JL76" s="160"/>
      <c r="JM76" s="160"/>
      <c r="JN76" s="160"/>
      <c r="JO76" s="160"/>
      <c r="JP76" s="160"/>
      <c r="JQ76" s="160"/>
      <c r="JR76" s="160"/>
      <c r="JS76" s="160"/>
      <c r="JT76" s="160"/>
      <c r="JU76" s="160"/>
      <c r="JV76" s="160"/>
      <c r="JW76" s="160"/>
      <c r="JX76" s="160"/>
      <c r="JY76" s="160"/>
      <c r="JZ76" s="160"/>
      <c r="KA76" s="160"/>
      <c r="KB76" s="160"/>
      <c r="KC76" s="160"/>
      <c r="KD76" s="160"/>
      <c r="KE76" s="160"/>
      <c r="KF76" s="160"/>
      <c r="KG76" s="160"/>
      <c r="KH76" s="160"/>
      <c r="KI76" s="160"/>
      <c r="KJ76" s="160"/>
      <c r="KK76" s="160"/>
      <c r="KL76" s="160"/>
      <c r="KM76" s="160"/>
      <c r="KN76" s="160"/>
      <c r="KO76" s="160"/>
      <c r="KP76" s="160"/>
      <c r="KQ76" s="160"/>
      <c r="KR76" s="160"/>
      <c r="KS76" s="160"/>
      <c r="KT76" s="160"/>
      <c r="KU76" s="160"/>
      <c r="KV76" s="160"/>
      <c r="KW76" s="160"/>
      <c r="KX76" s="160"/>
      <c r="KY76" s="160"/>
      <c r="KZ76" s="160"/>
      <c r="LA76" s="160"/>
      <c r="LB76" s="160"/>
      <c r="LC76" s="160"/>
      <c r="LD76" s="160"/>
      <c r="LE76" s="160"/>
      <c r="LF76" s="160"/>
      <c r="LG76" s="160"/>
      <c r="LH76" s="160"/>
      <c r="LI76" s="160"/>
      <c r="LJ76" s="160"/>
      <c r="LK76" s="160"/>
      <c r="LL76" s="160"/>
      <c r="LM76" s="160"/>
      <c r="LN76" s="160"/>
      <c r="LO76" s="160"/>
      <c r="LP76" s="160"/>
      <c r="LQ76" s="160"/>
      <c r="LR76" s="160"/>
      <c r="LS76" s="160"/>
      <c r="LT76" s="160"/>
      <c r="LU76" s="160"/>
      <c r="LV76" s="160"/>
      <c r="LW76" s="160"/>
      <c r="LX76" s="160"/>
      <c r="LY76" s="160"/>
      <c r="LZ76" s="160"/>
      <c r="MA76" s="160"/>
      <c r="MB76" s="160"/>
      <c r="MC76" s="160"/>
      <c r="MD76" s="160"/>
      <c r="ME76" s="160"/>
      <c r="MF76" s="160"/>
      <c r="MG76" s="160"/>
      <c r="MH76" s="160"/>
      <c r="MI76" s="160"/>
      <c r="MJ76" s="160"/>
      <c r="MK76" s="160"/>
      <c r="ML76" s="160"/>
      <c r="MM76" s="160"/>
      <c r="MN76" s="160"/>
      <c r="MO76" s="160"/>
      <c r="MP76" s="160"/>
      <c r="MQ76" s="160"/>
      <c r="MR76" s="160"/>
      <c r="MS76" s="160"/>
      <c r="MT76" s="160"/>
      <c r="MU76" s="160"/>
      <c r="MV76" s="160"/>
      <c r="MW76" s="160"/>
      <c r="MX76" s="160"/>
      <c r="MY76" s="160"/>
      <c r="MZ76" s="160"/>
      <c r="NA76" s="160"/>
      <c r="NB76" s="160"/>
      <c r="NC76" s="160"/>
      <c r="ND76" s="160"/>
      <c r="NE76" s="160"/>
      <c r="NF76" s="160"/>
      <c r="NG76" s="160"/>
      <c r="NH76" s="160"/>
      <c r="NI76" s="160"/>
      <c r="NJ76" s="160"/>
      <c r="NK76" s="160"/>
      <c r="NL76" s="160"/>
      <c r="NM76" s="160"/>
      <c r="NN76" s="160"/>
      <c r="NO76" s="160"/>
      <c r="NP76" s="160"/>
      <c r="NQ76" s="160"/>
      <c r="NR76" s="160"/>
      <c r="NS76" s="160"/>
      <c r="NT76" s="160"/>
      <c r="NU76" s="160"/>
      <c r="NV76" s="160"/>
      <c r="NW76" s="160"/>
      <c r="NX76" s="160"/>
      <c r="NY76" s="160"/>
      <c r="NZ76" s="160"/>
      <c r="OA76" s="160"/>
      <c r="OB76" s="160"/>
      <c r="OC76" s="160"/>
      <c r="OD76" s="160"/>
      <c r="OE76" s="160"/>
      <c r="OF76" s="160"/>
      <c r="OG76" s="160"/>
      <c r="OH76" s="160"/>
      <c r="OI76" s="160"/>
      <c r="OJ76" s="160"/>
      <c r="OK76" s="160"/>
      <c r="OL76" s="160"/>
      <c r="OM76" s="160"/>
      <c r="ON76" s="160"/>
      <c r="OO76" s="160"/>
      <c r="OP76" s="160"/>
      <c r="OQ76" s="160"/>
      <c r="OR76" s="160"/>
      <c r="OS76" s="160"/>
      <c r="OT76" s="160"/>
      <c r="OU76" s="160"/>
      <c r="OV76" s="160"/>
      <c r="OW76" s="160"/>
      <c r="OX76" s="160"/>
      <c r="OY76" s="160"/>
      <c r="OZ76" s="160"/>
      <c r="PA76" s="160"/>
      <c r="PB76" s="160"/>
      <c r="PC76" s="160"/>
      <c r="PD76" s="160"/>
      <c r="PE76" s="160"/>
      <c r="PF76" s="160"/>
      <c r="PG76" s="160"/>
      <c r="PH76" s="160"/>
      <c r="PI76" s="160"/>
      <c r="PJ76" s="160"/>
      <c r="PK76" s="160"/>
      <c r="PL76" s="160"/>
      <c r="PM76" s="160"/>
      <c r="PN76" s="160"/>
      <c r="PO76" s="160"/>
      <c r="PP76" s="160"/>
      <c r="PQ76" s="160"/>
      <c r="PR76" s="160"/>
      <c r="PS76" s="160"/>
      <c r="PT76" s="160"/>
      <c r="PU76" s="160"/>
      <c r="PV76" s="160"/>
      <c r="PW76" s="160"/>
      <c r="PX76" s="160"/>
      <c r="PY76" s="160"/>
      <c r="PZ76" s="160"/>
      <c r="QA76" s="160"/>
      <c r="QB76" s="160"/>
      <c r="QC76" s="160"/>
      <c r="QD76" s="160"/>
      <c r="QE76" s="160"/>
      <c r="QF76" s="160"/>
      <c r="QG76" s="160"/>
      <c r="QH76" s="160"/>
      <c r="QI76" s="160"/>
      <c r="QJ76" s="160"/>
      <c r="QK76" s="160"/>
      <c r="QL76" s="160"/>
      <c r="QM76" s="160"/>
      <c r="QN76" s="160"/>
      <c r="QO76" s="160"/>
      <c r="QP76" s="160"/>
      <c r="QQ76" s="160"/>
      <c r="QR76" s="160"/>
      <c r="QS76" s="160"/>
      <c r="QT76" s="160"/>
      <c r="QU76" s="160"/>
      <c r="QV76" s="160"/>
      <c r="QW76" s="160"/>
      <c r="QX76" s="160"/>
      <c r="QY76" s="160"/>
      <c r="QZ76" s="160"/>
      <c r="RA76" s="160"/>
      <c r="RB76" s="160"/>
      <c r="RC76" s="160"/>
      <c r="RD76" s="160"/>
      <c r="RE76" s="160"/>
      <c r="RF76" s="160"/>
      <c r="RG76" s="160"/>
      <c r="RH76" s="160"/>
      <c r="RI76" s="160"/>
      <c r="RJ76" s="160"/>
      <c r="RK76" s="160"/>
      <c r="RL76" s="160"/>
      <c r="RM76" s="160"/>
      <c r="RN76" s="160"/>
      <c r="RO76" s="160"/>
      <c r="RP76" s="160"/>
      <c r="RQ76" s="160"/>
      <c r="RR76" s="160"/>
      <c r="RS76" s="160"/>
      <c r="RT76" s="160"/>
      <c r="RU76" s="160"/>
      <c r="RV76" s="160"/>
      <c r="RW76" s="160"/>
      <c r="RX76" s="160"/>
      <c r="RY76" s="160"/>
      <c r="RZ76" s="160"/>
      <c r="SA76" s="160"/>
      <c r="SB76" s="160"/>
      <c r="SC76" s="160"/>
      <c r="SD76" s="160"/>
      <c r="SE76" s="160"/>
      <c r="SF76" s="160"/>
      <c r="SG76" s="160"/>
      <c r="SH76" s="160"/>
      <c r="SI76" s="160"/>
      <c r="SJ76" s="160"/>
      <c r="SK76" s="160"/>
      <c r="SL76" s="160"/>
      <c r="SM76" s="160"/>
      <c r="SN76" s="160"/>
      <c r="SO76" s="160"/>
      <c r="SP76" s="160"/>
      <c r="SQ76" s="160"/>
      <c r="SR76" s="160"/>
      <c r="SS76" s="160"/>
      <c r="ST76" s="160"/>
      <c r="SU76" s="160"/>
      <c r="SV76" s="160"/>
      <c r="SW76" s="160"/>
      <c r="SX76" s="160"/>
      <c r="SY76" s="160"/>
      <c r="SZ76" s="160"/>
      <c r="TA76" s="160"/>
      <c r="TB76" s="160"/>
      <c r="TC76" s="160"/>
      <c r="TD76" s="160"/>
      <c r="TE76" s="160"/>
      <c r="TF76" s="160"/>
      <c r="TG76" s="160"/>
      <c r="TH76" s="160"/>
      <c r="TI76" s="160"/>
      <c r="TJ76" s="160"/>
      <c r="TK76" s="160"/>
      <c r="TL76" s="160"/>
      <c r="TM76" s="160"/>
      <c r="TN76" s="160"/>
      <c r="TO76" s="160"/>
      <c r="TP76" s="160"/>
      <c r="TQ76" s="160"/>
      <c r="TR76" s="160"/>
      <c r="TS76" s="160"/>
      <c r="TT76" s="160"/>
      <c r="TU76" s="160"/>
      <c r="TV76" s="160"/>
      <c r="TW76" s="160"/>
      <c r="TX76" s="160"/>
      <c r="TY76" s="160"/>
      <c r="TZ76" s="160"/>
      <c r="UA76" s="160"/>
      <c r="UB76" s="160"/>
      <c r="UC76" s="160"/>
      <c r="UD76" s="160"/>
      <c r="UE76" s="160"/>
      <c r="UF76" s="160"/>
      <c r="UG76" s="160"/>
      <c r="UH76" s="160"/>
      <c r="UI76" s="160"/>
      <c r="UJ76" s="160"/>
      <c r="UK76" s="160"/>
      <c r="UL76" s="160"/>
      <c r="UM76" s="160"/>
      <c r="UN76" s="160"/>
      <c r="UO76" s="160"/>
      <c r="UP76" s="160"/>
      <c r="UQ76" s="160"/>
      <c r="UR76" s="160"/>
      <c r="US76" s="160"/>
      <c r="UT76" s="160"/>
      <c r="UU76" s="160"/>
      <c r="UV76" s="160"/>
      <c r="UW76" s="160"/>
      <c r="UX76" s="160"/>
      <c r="UY76" s="160"/>
      <c r="UZ76" s="160"/>
      <c r="VA76" s="160"/>
      <c r="VB76" s="160"/>
      <c r="VC76" s="160"/>
      <c r="VD76" s="160"/>
      <c r="VE76" s="160"/>
      <c r="VF76" s="160"/>
      <c r="VG76" s="160"/>
      <c r="VH76" s="160"/>
      <c r="VI76" s="160"/>
      <c r="VJ76" s="160"/>
      <c r="VK76" s="160"/>
      <c r="VL76" s="160"/>
      <c r="VM76" s="160"/>
      <c r="VN76" s="160"/>
      <c r="VO76" s="160"/>
      <c r="VP76" s="160"/>
      <c r="VQ76" s="160"/>
      <c r="VR76" s="160"/>
      <c r="VS76" s="160"/>
      <c r="VT76" s="160"/>
      <c r="VU76" s="160"/>
      <c r="VV76" s="160"/>
      <c r="VW76" s="160"/>
      <c r="VX76" s="160"/>
      <c r="VY76" s="160"/>
      <c r="VZ76" s="160"/>
      <c r="WA76" s="160"/>
      <c r="WB76" s="160"/>
      <c r="WC76" s="160"/>
      <c r="WD76" s="160"/>
      <c r="WE76" s="160"/>
      <c r="WF76" s="160"/>
      <c r="WG76" s="160"/>
      <c r="WH76" s="160"/>
      <c r="WI76" s="160"/>
      <c r="WJ76" s="160"/>
      <c r="WK76" s="160"/>
      <c r="WL76" s="160"/>
      <c r="WM76" s="160"/>
      <c r="WN76" s="160"/>
      <c r="WO76" s="160"/>
      <c r="WP76" s="160"/>
      <c r="WQ76" s="160"/>
      <c r="WR76" s="160"/>
      <c r="WS76" s="160"/>
      <c r="WT76" s="160"/>
      <c r="WU76" s="160"/>
      <c r="WV76" s="160"/>
      <c r="WW76" s="160"/>
      <c r="WX76" s="160"/>
      <c r="WY76" s="160"/>
      <c r="WZ76" s="160"/>
      <c r="XA76" s="160"/>
      <c r="XB76" s="160"/>
      <c r="XC76" s="160"/>
      <c r="XD76" s="160"/>
      <c r="XE76" s="160"/>
      <c r="XF76" s="160"/>
      <c r="XG76" s="160"/>
      <c r="XH76" s="160"/>
      <c r="XI76" s="160"/>
      <c r="XJ76" s="160"/>
      <c r="XK76" s="160"/>
      <c r="XL76" s="160"/>
      <c r="XM76" s="160"/>
      <c r="XN76" s="160"/>
      <c r="XO76" s="160"/>
      <c r="XP76" s="160"/>
      <c r="XQ76" s="160"/>
      <c r="XR76" s="160"/>
      <c r="XS76" s="160"/>
      <c r="XT76" s="160"/>
      <c r="XU76" s="160"/>
      <c r="XV76" s="160"/>
      <c r="XW76" s="160"/>
      <c r="XX76" s="160"/>
      <c r="XY76" s="160"/>
      <c r="XZ76" s="160"/>
      <c r="YA76" s="160"/>
      <c r="YB76" s="160"/>
      <c r="YC76" s="160"/>
      <c r="YD76" s="160"/>
      <c r="YE76" s="160"/>
      <c r="YF76" s="160"/>
      <c r="YG76" s="160"/>
      <c r="YH76" s="160"/>
      <c r="YI76" s="160"/>
      <c r="YJ76" s="160"/>
      <c r="YK76" s="160"/>
      <c r="YL76" s="160"/>
      <c r="YM76" s="160"/>
      <c r="YN76" s="160"/>
      <c r="YO76" s="160"/>
      <c r="YP76" s="160"/>
      <c r="YQ76" s="160"/>
      <c r="YR76" s="160"/>
      <c r="YS76" s="160"/>
      <c r="YT76" s="160"/>
      <c r="YU76" s="160"/>
      <c r="YV76" s="160"/>
      <c r="YW76" s="160"/>
      <c r="YX76" s="160"/>
      <c r="YY76" s="160"/>
      <c r="YZ76" s="160"/>
      <c r="ZA76" s="160"/>
      <c r="ZB76" s="160"/>
      <c r="ZC76" s="160"/>
      <c r="ZD76" s="160"/>
      <c r="ZE76" s="160"/>
      <c r="ZF76" s="160"/>
      <c r="ZG76" s="160"/>
      <c r="ZH76" s="160"/>
      <c r="ZI76" s="160"/>
      <c r="ZJ76" s="160"/>
      <c r="ZK76" s="160"/>
      <c r="ZL76" s="160"/>
      <c r="ZM76" s="160"/>
      <c r="ZN76" s="160"/>
      <c r="ZO76" s="160"/>
      <c r="ZP76" s="160"/>
      <c r="ZQ76" s="160"/>
      <c r="ZR76" s="160"/>
      <c r="ZS76" s="160"/>
      <c r="ZT76" s="160"/>
      <c r="ZU76" s="160"/>
      <c r="ZV76" s="160"/>
      <c r="ZW76" s="160"/>
      <c r="ZX76" s="160"/>
      <c r="ZY76" s="160"/>
      <c r="ZZ76" s="160"/>
      <c r="AAA76" s="160"/>
      <c r="AAB76" s="160"/>
      <c r="AAC76" s="160"/>
      <c r="AAD76" s="160"/>
      <c r="AAE76" s="160"/>
      <c r="AAF76" s="160"/>
      <c r="AAG76" s="160"/>
      <c r="AAH76" s="160"/>
      <c r="AAI76" s="160"/>
      <c r="AAJ76" s="160"/>
      <c r="AAK76" s="160"/>
      <c r="AAL76" s="160"/>
      <c r="AAM76" s="160"/>
      <c r="AAN76" s="160"/>
      <c r="AAO76" s="160"/>
      <c r="AAP76" s="160"/>
      <c r="AAQ76" s="160"/>
      <c r="AAR76" s="160"/>
      <c r="AAS76" s="160"/>
      <c r="AAT76" s="160"/>
      <c r="AAU76" s="160"/>
      <c r="AAV76" s="160"/>
      <c r="AAW76" s="160"/>
      <c r="AAX76" s="160"/>
      <c r="AAY76" s="160"/>
      <c r="AAZ76" s="160"/>
      <c r="ABA76" s="160"/>
      <c r="ABB76" s="160"/>
      <c r="ABC76" s="160"/>
      <c r="ABD76" s="160"/>
      <c r="ABE76" s="160"/>
      <c r="ABF76" s="160"/>
      <c r="ABG76" s="160"/>
      <c r="ABH76" s="160"/>
      <c r="ABI76" s="160"/>
      <c r="ABJ76" s="160"/>
      <c r="ABK76" s="160"/>
      <c r="ABL76" s="160"/>
      <c r="ABM76" s="160"/>
      <c r="ABN76" s="160"/>
      <c r="ABO76" s="160"/>
      <c r="ABP76" s="160"/>
      <c r="ABQ76" s="160"/>
      <c r="ABR76" s="160"/>
      <c r="ABS76" s="160"/>
      <c r="ABT76" s="160"/>
      <c r="ABU76" s="160"/>
      <c r="ABV76" s="160"/>
      <c r="ABW76" s="160"/>
      <c r="ABX76" s="160"/>
      <c r="ABY76" s="160"/>
      <c r="ABZ76" s="160"/>
      <c r="ACA76" s="160"/>
      <c r="ACB76" s="160"/>
      <c r="ACC76" s="160"/>
      <c r="ACD76" s="160"/>
      <c r="ACE76" s="160"/>
      <c r="ACF76" s="160"/>
      <c r="ACG76" s="160"/>
      <c r="ACH76" s="160"/>
      <c r="ACI76" s="160"/>
      <c r="ACJ76" s="160"/>
      <c r="ACK76" s="160"/>
      <c r="ACL76" s="160"/>
      <c r="ACM76" s="160"/>
      <c r="ACN76" s="160"/>
      <c r="ACO76" s="160"/>
      <c r="ACP76" s="160"/>
      <c r="ACQ76" s="160"/>
      <c r="ACR76" s="160"/>
      <c r="ACS76" s="160"/>
      <c r="ACT76" s="160"/>
      <c r="ACU76" s="160"/>
      <c r="ACV76" s="160"/>
      <c r="ACW76" s="160"/>
      <c r="ACX76" s="160"/>
      <c r="ACY76" s="160"/>
      <c r="ACZ76" s="160"/>
      <c r="ADA76" s="160"/>
      <c r="ADB76" s="160"/>
      <c r="ADC76" s="160"/>
      <c r="ADD76" s="160"/>
      <c r="ADE76" s="160"/>
      <c r="ADF76" s="160"/>
      <c r="ADG76" s="160"/>
      <c r="ADH76" s="160"/>
      <c r="ADI76" s="160"/>
      <c r="ADJ76" s="160"/>
      <c r="ADK76" s="160"/>
      <c r="ADL76" s="160"/>
      <c r="ADM76" s="160"/>
      <c r="ADN76" s="160"/>
      <c r="ADO76" s="160"/>
      <c r="ADP76" s="160"/>
      <c r="ADQ76" s="160"/>
      <c r="ADR76" s="160"/>
      <c r="ADS76" s="160"/>
      <c r="ADT76" s="160"/>
      <c r="ADU76" s="160"/>
      <c r="ADV76" s="160"/>
      <c r="ADW76" s="160"/>
      <c r="ADX76" s="160"/>
      <c r="ADY76" s="160"/>
      <c r="ADZ76" s="160"/>
      <c r="AEA76" s="160"/>
      <c r="AEB76" s="160"/>
      <c r="AEC76" s="160"/>
      <c r="AED76" s="160"/>
      <c r="AEE76" s="160"/>
      <c r="AEF76" s="160"/>
      <c r="AEG76" s="160"/>
      <c r="AEH76" s="160"/>
      <c r="AEI76" s="160"/>
      <c r="AEJ76" s="160"/>
      <c r="AEK76" s="160"/>
      <c r="AEL76" s="160"/>
      <c r="AEM76" s="160"/>
      <c r="AEN76" s="160"/>
      <c r="AEO76" s="160"/>
      <c r="AEP76" s="160"/>
      <c r="AEQ76" s="160"/>
      <c r="AER76" s="160"/>
      <c r="AES76" s="160"/>
      <c r="AET76" s="160"/>
      <c r="AEU76" s="160"/>
      <c r="AEV76" s="160"/>
      <c r="AEW76" s="160"/>
      <c r="AEX76" s="160"/>
      <c r="AEY76" s="160"/>
      <c r="AEZ76" s="160"/>
      <c r="AFA76" s="160"/>
      <c r="AFB76" s="160"/>
      <c r="AFC76" s="160"/>
      <c r="AFD76" s="160"/>
      <c r="AFE76" s="160"/>
      <c r="AFF76" s="160"/>
      <c r="AFG76" s="160"/>
      <c r="AFH76" s="160"/>
      <c r="AFI76" s="160"/>
      <c r="AFJ76" s="160"/>
      <c r="AFK76" s="160"/>
      <c r="AFL76" s="160"/>
      <c r="AFM76" s="160"/>
      <c r="AFN76" s="160"/>
      <c r="AFO76" s="160"/>
      <c r="AFP76" s="160"/>
      <c r="AFQ76" s="160"/>
      <c r="AFR76" s="160"/>
      <c r="AFS76" s="160"/>
      <c r="AFT76" s="160"/>
      <c r="AFU76" s="160"/>
      <c r="AFV76" s="160"/>
      <c r="AFW76" s="160"/>
      <c r="AFX76" s="160"/>
      <c r="AFY76" s="160"/>
      <c r="AFZ76" s="160"/>
      <c r="AGA76" s="160"/>
      <c r="AGB76" s="160"/>
      <c r="AGC76" s="160"/>
      <c r="AGD76" s="160"/>
      <c r="AGE76" s="160"/>
      <c r="AGF76" s="160"/>
      <c r="AGG76" s="160"/>
      <c r="AGH76" s="160"/>
      <c r="AGI76" s="160"/>
      <c r="AGJ76" s="160"/>
      <c r="AGK76" s="160"/>
      <c r="AGL76" s="160"/>
      <c r="AGM76" s="160"/>
      <c r="AGN76" s="160"/>
      <c r="AGO76" s="160"/>
      <c r="AGP76" s="160"/>
      <c r="AGQ76" s="160"/>
      <c r="AGR76" s="160"/>
      <c r="AGS76" s="160"/>
      <c r="AGT76" s="160"/>
      <c r="AGU76" s="160"/>
      <c r="AGV76" s="160"/>
      <c r="AGW76" s="160"/>
      <c r="AGX76" s="160"/>
      <c r="AGY76" s="160"/>
      <c r="AGZ76" s="160"/>
      <c r="AHA76" s="160"/>
      <c r="AHB76" s="160"/>
      <c r="AHC76" s="160"/>
      <c r="AHD76" s="160"/>
      <c r="AHE76" s="160"/>
      <c r="AHF76" s="160"/>
      <c r="AHG76" s="160"/>
      <c r="AHH76" s="160"/>
      <c r="AHI76" s="160"/>
      <c r="AHJ76" s="160"/>
      <c r="AHK76" s="160"/>
      <c r="AHL76" s="160"/>
      <c r="AHM76" s="160"/>
      <c r="AHN76" s="160"/>
      <c r="AHO76" s="160"/>
      <c r="AHP76" s="160"/>
      <c r="AHQ76" s="160"/>
      <c r="AHR76" s="160"/>
      <c r="AHS76" s="160"/>
      <c r="AHT76" s="160"/>
      <c r="AHU76" s="160"/>
      <c r="AHV76" s="160"/>
      <c r="AHW76" s="160"/>
      <c r="AHX76" s="160"/>
      <c r="AHY76" s="160"/>
      <c r="AHZ76" s="160"/>
      <c r="AIA76" s="160"/>
      <c r="AIB76" s="160"/>
      <c r="AIC76" s="160"/>
      <c r="AID76" s="160"/>
      <c r="AIE76" s="160"/>
      <c r="AIF76" s="160"/>
      <c r="AIG76" s="160"/>
      <c r="AIH76" s="160"/>
      <c r="AII76" s="160"/>
      <c r="AIJ76" s="160"/>
      <c r="AIK76" s="160"/>
      <c r="AIL76" s="160"/>
      <c r="AIM76" s="160"/>
      <c r="AIN76" s="160"/>
      <c r="AIO76" s="160"/>
      <c r="AIP76" s="160"/>
      <c r="AIQ76" s="160"/>
      <c r="AIR76" s="160"/>
      <c r="AIS76" s="160"/>
      <c r="AIT76" s="160"/>
      <c r="AIU76" s="160"/>
      <c r="AIV76" s="160"/>
      <c r="AIW76" s="160"/>
      <c r="AIX76" s="160"/>
      <c r="AIY76" s="160"/>
      <c r="AIZ76" s="160"/>
      <c r="AJA76" s="160"/>
      <c r="AJB76" s="160"/>
      <c r="AJC76" s="160"/>
      <c r="AJD76" s="160"/>
      <c r="AJE76" s="160"/>
      <c r="AJF76" s="160"/>
      <c r="AJG76" s="160"/>
      <c r="AJH76" s="160"/>
      <c r="AJI76" s="160"/>
      <c r="AJJ76" s="160"/>
      <c r="AJK76" s="160"/>
      <c r="AJL76" s="160"/>
      <c r="AJM76" s="160"/>
      <c r="AJN76" s="160"/>
      <c r="AJO76" s="160"/>
      <c r="AJP76" s="160"/>
      <c r="AJQ76" s="160"/>
      <c r="AJR76" s="160"/>
      <c r="AJS76" s="160"/>
      <c r="AJT76" s="160"/>
      <c r="AJU76" s="160"/>
      <c r="AJV76" s="160"/>
      <c r="AJW76" s="160"/>
      <c r="AJX76" s="160"/>
      <c r="AJY76" s="160"/>
      <c r="AJZ76" s="160"/>
      <c r="AKA76" s="160"/>
      <c r="AKB76" s="160"/>
      <c r="AKC76" s="160"/>
      <c r="AKD76" s="160"/>
      <c r="AKE76" s="160"/>
      <c r="AKF76" s="160"/>
      <c r="AKG76" s="160"/>
      <c r="AKH76" s="160"/>
      <c r="AKI76" s="160"/>
      <c r="AKJ76" s="160"/>
      <c r="AKK76" s="160"/>
      <c r="AKL76" s="160"/>
      <c r="AKM76" s="160"/>
      <c r="AKN76" s="160"/>
      <c r="AKO76" s="160"/>
      <c r="AKP76" s="160"/>
      <c r="AKQ76" s="160"/>
      <c r="AKR76" s="160"/>
      <c r="AKS76" s="160"/>
      <c r="AKT76" s="160"/>
      <c r="AKU76" s="160"/>
      <c r="AKV76" s="160"/>
      <c r="AKW76" s="160"/>
      <c r="AKX76" s="160"/>
      <c r="AKY76" s="160"/>
      <c r="AKZ76" s="160"/>
      <c r="ALA76" s="160"/>
      <c r="ALB76" s="160"/>
      <c r="ALC76" s="160"/>
      <c r="ALD76" s="160"/>
      <c r="ALE76" s="160"/>
      <c r="ALF76" s="160"/>
      <c r="ALG76" s="160"/>
      <c r="ALH76" s="160"/>
      <c r="ALI76" s="160"/>
      <c r="ALJ76" s="160"/>
      <c r="ALK76" s="160"/>
      <c r="ALL76" s="160"/>
      <c r="ALM76" s="160"/>
      <c r="ALN76" s="160"/>
      <c r="ALO76" s="160"/>
      <c r="ALP76" s="160"/>
      <c r="ALQ76" s="160"/>
      <c r="ALR76" s="160"/>
      <c r="ALS76" s="160"/>
      <c r="ALT76" s="160"/>
      <c r="ALU76" s="160"/>
      <c r="ALV76" s="160"/>
      <c r="ALW76" s="160"/>
      <c r="ALX76" s="160"/>
      <c r="ALY76" s="160"/>
      <c r="ALZ76" s="160"/>
      <c r="AMA76" s="160"/>
      <c r="AMB76" s="160"/>
      <c r="AMC76" s="160"/>
      <c r="AMD76" s="160"/>
      <c r="AME76" s="158"/>
    </row>
    <row r="77" spans="1:1019" ht="15" customHeight="1">
      <c r="A77" s="168">
        <f t="shared" si="2"/>
        <v>70</v>
      </c>
      <c r="B77" s="175">
        <v>1744</v>
      </c>
      <c r="C77" s="168" t="s">
        <v>58</v>
      </c>
      <c r="D77" s="169">
        <f>'הנדסה '!D43</f>
        <v>13000000</v>
      </c>
      <c r="E77" s="169">
        <f>'הנדסה '!E43</f>
        <v>13000000</v>
      </c>
      <c r="F77" s="169">
        <f>'הנדסה '!F43</f>
        <v>0</v>
      </c>
      <c r="G77" s="169">
        <f>'הנדסה '!G43</f>
        <v>7200000</v>
      </c>
      <c r="H77" s="169">
        <f>'הנדסה '!H43</f>
        <v>0</v>
      </c>
      <c r="I77" s="169">
        <f>'הנדסה '!I43</f>
        <v>0</v>
      </c>
      <c r="J77" s="169">
        <f>'הנדסה '!J43</f>
        <v>6122626.3799999999</v>
      </c>
      <c r="K77" s="169">
        <f>'הנדסה '!K43</f>
        <v>6122626.3799999999</v>
      </c>
      <c r="L77" s="169">
        <f>'הנדסה '!L43</f>
        <v>6122626.3799999999</v>
      </c>
      <c r="M77" s="169">
        <f>'הנדסה '!M43</f>
        <v>1077373.6200000001</v>
      </c>
      <c r="N77" s="169">
        <f>'הנדסה '!N43</f>
        <v>3000000</v>
      </c>
      <c r="O77" s="169">
        <f>'הנדסה '!O43</f>
        <v>2800000</v>
      </c>
      <c r="P77" s="169">
        <f>'הנדסה '!P43</f>
        <v>1077373.6200000001</v>
      </c>
      <c r="Q77" s="169">
        <f>'הנדסה '!Q43</f>
        <v>0</v>
      </c>
      <c r="R77" s="169">
        <f>'הנדסה '!R43</f>
        <v>0</v>
      </c>
      <c r="S77" s="169">
        <f>'הנדסה '!S43</f>
        <v>0</v>
      </c>
      <c r="T77" s="169">
        <f>'הנדסה '!T43</f>
        <v>0</v>
      </c>
      <c r="U77" s="169">
        <f>'הנדסה '!U43</f>
        <v>3000000</v>
      </c>
      <c r="V77" s="169">
        <f>'הנדסה '!V43</f>
        <v>3000000</v>
      </c>
      <c r="W77" s="169">
        <f>'הנדסה '!W43</f>
        <v>0</v>
      </c>
      <c r="X77" s="169">
        <f>'הנדסה '!X43</f>
        <v>0</v>
      </c>
      <c r="Y77" s="169">
        <f>'הנדסה '!Y43</f>
        <v>0</v>
      </c>
      <c r="Z77" s="169">
        <f>'הנדסה '!Z43</f>
        <v>0</v>
      </c>
      <c r="AA77" s="659">
        <f>'הנדסה '!AA43</f>
        <v>742000</v>
      </c>
      <c r="AB77" s="157"/>
      <c r="AF77" s="172"/>
    </row>
    <row r="78" spans="1:1019" s="177" customFormat="1">
      <c r="A78" s="168">
        <f t="shared" si="2"/>
        <v>71</v>
      </c>
      <c r="B78" s="175">
        <v>1746</v>
      </c>
      <c r="C78" s="168" t="s">
        <v>40</v>
      </c>
      <c r="D78" s="169">
        <f>'הנדסה '!D44</f>
        <v>55000000</v>
      </c>
      <c r="E78" s="169">
        <f>'הנדסה '!E44</f>
        <v>55000000</v>
      </c>
      <c r="F78" s="169">
        <f>'הנדסה '!F44</f>
        <v>0</v>
      </c>
      <c r="G78" s="169">
        <f>'הנדסה '!G44</f>
        <v>0</v>
      </c>
      <c r="H78" s="169">
        <f>'הנדסה '!H44</f>
        <v>0</v>
      </c>
      <c r="I78" s="169">
        <f>'הנדסה '!I44</f>
        <v>0</v>
      </c>
      <c r="J78" s="169">
        <f>'הנדסה '!J44</f>
        <v>0</v>
      </c>
      <c r="K78" s="169">
        <f>'הנדסה '!K44</f>
        <v>0</v>
      </c>
      <c r="L78" s="169">
        <f>'הנדסה '!L44</f>
        <v>0</v>
      </c>
      <c r="M78" s="169">
        <f>'הנדסה '!M44</f>
        <v>0</v>
      </c>
      <c r="N78" s="169">
        <f>'הנדסה '!N44</f>
        <v>0</v>
      </c>
      <c r="O78" s="169">
        <f>'הנדסה '!O44</f>
        <v>55000000</v>
      </c>
      <c r="P78" s="169">
        <f>'הנדסה '!P44</f>
        <v>0</v>
      </c>
      <c r="Q78" s="169">
        <f>'הנדסה '!Q44</f>
        <v>0</v>
      </c>
      <c r="R78" s="169">
        <f>'הנדסה '!R44</f>
        <v>0</v>
      </c>
      <c r="S78" s="169">
        <f>'הנדסה '!S44</f>
        <v>0</v>
      </c>
      <c r="T78" s="169">
        <f>'הנדסה '!T44</f>
        <v>0</v>
      </c>
      <c r="U78" s="169">
        <f>'הנדסה '!U44</f>
        <v>0</v>
      </c>
      <c r="V78" s="169">
        <f>'הנדסה '!V44</f>
        <v>0</v>
      </c>
      <c r="W78" s="169">
        <f>'הנדסה '!W44</f>
        <v>0</v>
      </c>
      <c r="X78" s="169">
        <f>'הנדסה '!X44</f>
        <v>0</v>
      </c>
      <c r="Y78" s="169">
        <f>'הנדסה '!Y44</f>
        <v>0</v>
      </c>
      <c r="Z78" s="169">
        <f>'הנדסה '!Z44</f>
        <v>0</v>
      </c>
      <c r="AA78" s="659">
        <f>'הנדסה '!AA44</f>
        <v>742000</v>
      </c>
      <c r="AB78" s="157"/>
      <c r="AC78" s="157"/>
      <c r="AD78" s="157"/>
      <c r="AE78" s="157"/>
      <c r="AF78" s="176"/>
      <c r="AG78" s="176"/>
      <c r="AH78" s="176"/>
      <c r="AI78" s="176"/>
      <c r="AJ78" s="176"/>
      <c r="AK78" s="176"/>
      <c r="AME78" s="158"/>
    </row>
    <row r="79" spans="1:1019" s="172" customFormat="1" ht="15" customHeight="1">
      <c r="A79" s="168">
        <f t="shared" si="2"/>
        <v>72</v>
      </c>
      <c r="B79" s="175">
        <v>1804</v>
      </c>
      <c r="C79" s="168" t="s">
        <v>235</v>
      </c>
      <c r="D79" s="169">
        <f>'הנדסה '!D46</f>
        <v>50000</v>
      </c>
      <c r="E79" s="169">
        <f>'הנדסה '!E46</f>
        <v>200000</v>
      </c>
      <c r="F79" s="169">
        <f>'הנדסה '!F46</f>
        <v>-150000</v>
      </c>
      <c r="G79" s="169">
        <f>'הנדסה '!G46</f>
        <v>200000</v>
      </c>
      <c r="H79" s="169">
        <f>'הנדסה '!H46</f>
        <v>0</v>
      </c>
      <c r="I79" s="169">
        <f>'הנדסה '!I46</f>
        <v>0</v>
      </c>
      <c r="J79" s="169">
        <f>'הנדסה '!J46</f>
        <v>25745.85</v>
      </c>
      <c r="K79" s="169">
        <f>'הנדסה '!K46</f>
        <v>25745.85</v>
      </c>
      <c r="L79" s="169">
        <f>'הנדסה '!L46</f>
        <v>25745.85</v>
      </c>
      <c r="M79" s="169">
        <f>'הנדסה '!M46</f>
        <v>24254.149999999994</v>
      </c>
      <c r="N79" s="169">
        <f>'הנדסה '!N46</f>
        <v>0</v>
      </c>
      <c r="O79" s="169">
        <f>'הנדסה '!O46</f>
        <v>7.2759576141834259E-12</v>
      </c>
      <c r="P79" s="169">
        <f>'הנדסה '!P46</f>
        <v>174254.15</v>
      </c>
      <c r="Q79" s="169">
        <f>'הנדסה '!Q46</f>
        <v>0</v>
      </c>
      <c r="R79" s="169">
        <f>'הנדסה '!R46</f>
        <v>0</v>
      </c>
      <c r="S79" s="169">
        <f>'הנדסה '!S46</f>
        <v>0</v>
      </c>
      <c r="T79" s="169">
        <f>'הנדסה '!T46</f>
        <v>150000</v>
      </c>
      <c r="U79" s="169">
        <f>'הנדסה '!U46</f>
        <v>-150000</v>
      </c>
      <c r="V79" s="169">
        <f>'הנדסה '!V46</f>
        <v>-150000</v>
      </c>
      <c r="W79" s="169">
        <f>'הנדסה '!W46</f>
        <v>0</v>
      </c>
      <c r="X79" s="169">
        <f>'הנדסה '!X46</f>
        <v>0</v>
      </c>
      <c r="Y79" s="169">
        <f>'הנדסה '!Y46</f>
        <v>0</v>
      </c>
      <c r="Z79" s="169">
        <f>'הנדסה '!Z46</f>
        <v>0</v>
      </c>
      <c r="AA79" s="659">
        <f>'הנדסה '!AA46</f>
        <v>742000</v>
      </c>
      <c r="AB79" s="157"/>
      <c r="AC79" s="157"/>
      <c r="AD79" s="157"/>
      <c r="AE79" s="157"/>
      <c r="AME79" s="158"/>
    </row>
    <row r="80" spans="1:1019" s="176" customFormat="1" ht="15" customHeight="1">
      <c r="A80" s="168">
        <f t="shared" si="2"/>
        <v>73</v>
      </c>
      <c r="B80" s="175">
        <v>1805</v>
      </c>
      <c r="C80" s="168" t="s">
        <v>236</v>
      </c>
      <c r="D80" s="169">
        <f>'הנדסה '!D47</f>
        <v>1000000</v>
      </c>
      <c r="E80" s="169">
        <f>'הנדסה '!E47</f>
        <v>1000000</v>
      </c>
      <c r="F80" s="169">
        <f>'הנדסה '!F47</f>
        <v>0</v>
      </c>
      <c r="G80" s="169">
        <f>'הנדסה '!G47</f>
        <v>1000000</v>
      </c>
      <c r="H80" s="169">
        <f>'הנדסה '!H47</f>
        <v>2677</v>
      </c>
      <c r="I80" s="169">
        <f>'הנדסה '!I47</f>
        <v>0</v>
      </c>
      <c r="J80" s="169">
        <f>'הנדסה '!J47</f>
        <v>0</v>
      </c>
      <c r="K80" s="169">
        <f>'הנדסה '!K47</f>
        <v>0</v>
      </c>
      <c r="L80" s="169">
        <f>'הנדסה '!L47</f>
        <v>2677</v>
      </c>
      <c r="M80" s="169">
        <f>'הנדסה '!M47</f>
        <v>7323</v>
      </c>
      <c r="N80" s="169">
        <f>'הנדסה '!N47</f>
        <v>100000</v>
      </c>
      <c r="O80" s="169">
        <f>'הנדסה '!O47</f>
        <v>890000</v>
      </c>
      <c r="P80" s="169">
        <f>'הנדסה '!P47</f>
        <v>997323</v>
      </c>
      <c r="Q80" s="169">
        <f>'הנדסה '!Q47</f>
        <v>0</v>
      </c>
      <c r="R80" s="169">
        <f>'הנדסה '!R47</f>
        <v>0</v>
      </c>
      <c r="S80" s="169">
        <f>'הנדסה '!S47</f>
        <v>0</v>
      </c>
      <c r="T80" s="169">
        <f>'הנדסה '!T47</f>
        <v>990000</v>
      </c>
      <c r="U80" s="169">
        <f>'הנדסה '!U47</f>
        <v>-890000</v>
      </c>
      <c r="V80" s="169">
        <f>'הנדסה '!V47</f>
        <v>-890000</v>
      </c>
      <c r="W80" s="169">
        <f>'הנדסה '!W47</f>
        <v>0</v>
      </c>
      <c r="X80" s="169">
        <f>'הנדסה '!X47</f>
        <v>0</v>
      </c>
      <c r="Y80" s="169">
        <f>'הנדסה '!Y47</f>
        <v>0</v>
      </c>
      <c r="Z80" s="169">
        <f>'הנדסה '!Z47</f>
        <v>0</v>
      </c>
      <c r="AA80" s="659">
        <f>'הנדסה '!AA47</f>
        <v>742000</v>
      </c>
      <c r="AB80" s="157"/>
      <c r="AC80" s="157"/>
      <c r="AD80" s="157"/>
      <c r="AE80" s="157"/>
      <c r="AF80" s="172"/>
      <c r="AG80" s="172"/>
      <c r="AH80" s="172"/>
      <c r="AI80" s="172"/>
      <c r="AJ80" s="172"/>
      <c r="AK80" s="172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  <c r="DZ80" s="174"/>
      <c r="EA80" s="174"/>
      <c r="EB80" s="174"/>
      <c r="EC80" s="174"/>
      <c r="ED80" s="174"/>
      <c r="EE80" s="174"/>
      <c r="EF80" s="174"/>
      <c r="EG80" s="174"/>
      <c r="EH80" s="174"/>
      <c r="EI80" s="174"/>
      <c r="EJ80" s="174"/>
      <c r="EK80" s="174"/>
      <c r="EL80" s="174"/>
      <c r="EM80" s="174"/>
      <c r="EN80" s="174"/>
      <c r="EO80" s="174"/>
      <c r="EP80" s="174"/>
      <c r="EQ80" s="174"/>
      <c r="ER80" s="174"/>
      <c r="ES80" s="174"/>
      <c r="ET80" s="174"/>
      <c r="EU80" s="174"/>
      <c r="EV80" s="174"/>
      <c r="EW80" s="174"/>
      <c r="EX80" s="174"/>
      <c r="EY80" s="174"/>
      <c r="EZ80" s="174"/>
      <c r="FA80" s="174"/>
      <c r="FB80" s="174"/>
      <c r="FC80" s="174"/>
      <c r="FD80" s="174"/>
      <c r="FE80" s="174"/>
      <c r="FF80" s="174"/>
      <c r="FG80" s="174"/>
      <c r="FH80" s="174"/>
      <c r="FI80" s="174"/>
      <c r="FJ80" s="174"/>
      <c r="FK80" s="174"/>
      <c r="FL80" s="174"/>
      <c r="FM80" s="174"/>
      <c r="FN80" s="174"/>
      <c r="FO80" s="174"/>
      <c r="FP80" s="174"/>
      <c r="FQ80" s="174"/>
      <c r="FR80" s="174"/>
      <c r="FS80" s="174"/>
      <c r="FT80" s="174"/>
      <c r="FU80" s="174"/>
      <c r="FV80" s="174"/>
      <c r="FW80" s="174"/>
      <c r="FX80" s="174"/>
      <c r="FY80" s="174"/>
      <c r="FZ80" s="174"/>
      <c r="GA80" s="174"/>
      <c r="GB80" s="174"/>
      <c r="GC80" s="174"/>
      <c r="GD80" s="174"/>
      <c r="GE80" s="174"/>
      <c r="GF80" s="174"/>
      <c r="GG80" s="174"/>
      <c r="GH80" s="174"/>
      <c r="GI80" s="174"/>
      <c r="GJ80" s="174"/>
      <c r="GK80" s="174"/>
      <c r="GL80" s="174"/>
      <c r="GM80" s="174"/>
      <c r="GN80" s="174"/>
      <c r="GO80" s="174"/>
      <c r="GP80" s="174"/>
      <c r="GQ80" s="174"/>
      <c r="GR80" s="174"/>
      <c r="GS80" s="174"/>
      <c r="GT80" s="174"/>
      <c r="GU80" s="174"/>
      <c r="GV80" s="174"/>
      <c r="GW80" s="174"/>
      <c r="GX80" s="174"/>
      <c r="GY80" s="174"/>
      <c r="GZ80" s="174"/>
      <c r="HA80" s="174"/>
      <c r="HB80" s="174"/>
      <c r="HC80" s="174"/>
      <c r="HD80" s="174"/>
      <c r="HE80" s="174"/>
      <c r="HF80" s="174"/>
      <c r="HG80" s="174"/>
      <c r="HH80" s="174"/>
      <c r="HI80" s="174"/>
      <c r="HJ80" s="174"/>
      <c r="HK80" s="174"/>
      <c r="HL80" s="174"/>
      <c r="HM80" s="174"/>
      <c r="HN80" s="174"/>
      <c r="HO80" s="174"/>
      <c r="HP80" s="174"/>
      <c r="HQ80" s="174"/>
      <c r="HR80" s="174"/>
      <c r="HS80" s="174"/>
      <c r="HT80" s="174"/>
      <c r="HU80" s="174"/>
      <c r="HV80" s="174"/>
      <c r="HW80" s="174"/>
      <c r="HX80" s="174"/>
      <c r="HY80" s="174"/>
      <c r="HZ80" s="174"/>
      <c r="IA80" s="174"/>
      <c r="IB80" s="174"/>
      <c r="IC80" s="174"/>
      <c r="ID80" s="174"/>
      <c r="IE80" s="174"/>
      <c r="IF80" s="174"/>
      <c r="IG80" s="174"/>
      <c r="IH80" s="174"/>
      <c r="II80" s="174"/>
      <c r="IJ80" s="174"/>
      <c r="IK80" s="174"/>
      <c r="IL80" s="174"/>
      <c r="IM80" s="174"/>
      <c r="IN80" s="174"/>
      <c r="IO80" s="174"/>
      <c r="IP80" s="174"/>
      <c r="IQ80" s="174"/>
      <c r="IR80" s="174"/>
      <c r="IS80" s="174"/>
      <c r="IT80" s="174"/>
      <c r="IU80" s="174"/>
      <c r="IV80" s="174"/>
      <c r="IW80" s="174"/>
      <c r="IX80" s="174"/>
      <c r="IY80" s="174"/>
      <c r="IZ80" s="174"/>
      <c r="JA80" s="174"/>
      <c r="JB80" s="174"/>
      <c r="JC80" s="174"/>
      <c r="JD80" s="174"/>
      <c r="JE80" s="174"/>
      <c r="JF80" s="174"/>
      <c r="JG80" s="174"/>
      <c r="JH80" s="174"/>
      <c r="JI80" s="174"/>
      <c r="JJ80" s="174"/>
      <c r="JK80" s="174"/>
      <c r="JL80" s="174"/>
      <c r="JM80" s="174"/>
      <c r="JN80" s="174"/>
      <c r="JO80" s="174"/>
      <c r="JP80" s="174"/>
      <c r="JQ80" s="174"/>
      <c r="JR80" s="174"/>
      <c r="JS80" s="174"/>
      <c r="JT80" s="174"/>
      <c r="JU80" s="174"/>
      <c r="JV80" s="174"/>
      <c r="JW80" s="174"/>
      <c r="JX80" s="174"/>
      <c r="JY80" s="174"/>
      <c r="JZ80" s="174"/>
      <c r="KA80" s="174"/>
      <c r="KB80" s="174"/>
      <c r="KC80" s="174"/>
      <c r="KD80" s="174"/>
      <c r="KE80" s="174"/>
      <c r="KF80" s="174"/>
      <c r="KG80" s="174"/>
      <c r="KH80" s="174"/>
      <c r="KI80" s="174"/>
      <c r="KJ80" s="174"/>
      <c r="KK80" s="174"/>
      <c r="KL80" s="174"/>
      <c r="KM80" s="174"/>
      <c r="KN80" s="174"/>
      <c r="KO80" s="174"/>
      <c r="KP80" s="174"/>
      <c r="KQ80" s="174"/>
      <c r="KR80" s="174"/>
      <c r="KS80" s="174"/>
      <c r="KT80" s="174"/>
      <c r="KU80" s="174"/>
      <c r="KV80" s="174"/>
      <c r="KW80" s="174"/>
      <c r="KX80" s="174"/>
      <c r="KY80" s="174"/>
      <c r="KZ80" s="174"/>
      <c r="LA80" s="174"/>
      <c r="LB80" s="174"/>
      <c r="LC80" s="174"/>
      <c r="LD80" s="174"/>
      <c r="LE80" s="174"/>
      <c r="LF80" s="174"/>
      <c r="LG80" s="174"/>
      <c r="LH80" s="174"/>
      <c r="LI80" s="174"/>
      <c r="LJ80" s="174"/>
      <c r="LK80" s="174"/>
      <c r="LL80" s="174"/>
      <c r="LM80" s="174"/>
      <c r="LN80" s="174"/>
      <c r="LO80" s="174"/>
      <c r="LP80" s="174"/>
      <c r="LQ80" s="174"/>
      <c r="LR80" s="174"/>
      <c r="LS80" s="174"/>
      <c r="LT80" s="174"/>
      <c r="LU80" s="174"/>
      <c r="LV80" s="174"/>
      <c r="LW80" s="174"/>
      <c r="LX80" s="174"/>
      <c r="LY80" s="174"/>
      <c r="LZ80" s="174"/>
      <c r="MA80" s="174"/>
      <c r="MB80" s="174"/>
      <c r="MC80" s="174"/>
      <c r="MD80" s="174"/>
      <c r="ME80" s="174"/>
      <c r="MF80" s="174"/>
      <c r="MG80" s="174"/>
      <c r="MH80" s="174"/>
      <c r="MI80" s="174"/>
      <c r="MJ80" s="174"/>
      <c r="MK80" s="174"/>
      <c r="ML80" s="174"/>
      <c r="MM80" s="174"/>
      <c r="MN80" s="174"/>
      <c r="MO80" s="174"/>
      <c r="MP80" s="174"/>
      <c r="MQ80" s="174"/>
      <c r="MR80" s="174"/>
      <c r="MS80" s="174"/>
      <c r="MT80" s="174"/>
      <c r="MU80" s="174"/>
      <c r="MV80" s="174"/>
      <c r="MW80" s="174"/>
      <c r="MX80" s="174"/>
      <c r="MY80" s="174"/>
      <c r="MZ80" s="174"/>
      <c r="NA80" s="174"/>
      <c r="NB80" s="174"/>
      <c r="NC80" s="174"/>
      <c r="ND80" s="174"/>
      <c r="NE80" s="174"/>
      <c r="NF80" s="174"/>
      <c r="NG80" s="174"/>
      <c r="NH80" s="174"/>
      <c r="NI80" s="174"/>
      <c r="NJ80" s="174"/>
      <c r="NK80" s="174"/>
      <c r="NL80" s="174"/>
      <c r="NM80" s="174"/>
      <c r="NN80" s="174"/>
      <c r="NO80" s="174"/>
      <c r="NP80" s="174"/>
      <c r="NQ80" s="174"/>
      <c r="NR80" s="174"/>
      <c r="NS80" s="174"/>
      <c r="NT80" s="174"/>
      <c r="NU80" s="174"/>
      <c r="NV80" s="174"/>
      <c r="NW80" s="174"/>
      <c r="NX80" s="174"/>
      <c r="NY80" s="174"/>
      <c r="NZ80" s="174"/>
      <c r="OA80" s="174"/>
      <c r="OB80" s="174"/>
      <c r="OC80" s="174"/>
      <c r="OD80" s="174"/>
      <c r="OE80" s="174"/>
      <c r="OF80" s="174"/>
      <c r="OG80" s="174"/>
      <c r="OH80" s="174"/>
      <c r="OI80" s="174"/>
      <c r="OJ80" s="174"/>
      <c r="OK80" s="174"/>
      <c r="OL80" s="174"/>
      <c r="OM80" s="174"/>
      <c r="ON80" s="174"/>
      <c r="OO80" s="174"/>
      <c r="OP80" s="174"/>
      <c r="OQ80" s="174"/>
      <c r="OR80" s="174"/>
      <c r="OS80" s="174"/>
      <c r="OT80" s="174"/>
      <c r="OU80" s="174"/>
      <c r="OV80" s="174"/>
      <c r="OW80" s="174"/>
      <c r="OX80" s="174"/>
      <c r="OY80" s="174"/>
      <c r="OZ80" s="174"/>
      <c r="PA80" s="174"/>
      <c r="PB80" s="174"/>
      <c r="PC80" s="174"/>
      <c r="PD80" s="174"/>
      <c r="PE80" s="174"/>
      <c r="PF80" s="174"/>
      <c r="PG80" s="174"/>
      <c r="PH80" s="174"/>
      <c r="PI80" s="174"/>
      <c r="PJ80" s="174"/>
      <c r="PK80" s="174"/>
      <c r="PL80" s="174"/>
      <c r="PM80" s="174"/>
      <c r="PN80" s="174"/>
      <c r="PO80" s="174"/>
      <c r="PP80" s="174"/>
      <c r="PQ80" s="174"/>
      <c r="PR80" s="174"/>
      <c r="PS80" s="174"/>
      <c r="PT80" s="174"/>
      <c r="PU80" s="174"/>
      <c r="PV80" s="174"/>
      <c r="PW80" s="174"/>
      <c r="PX80" s="174"/>
      <c r="PY80" s="174"/>
      <c r="PZ80" s="174"/>
      <c r="QA80" s="174"/>
      <c r="QB80" s="174"/>
      <c r="QC80" s="174"/>
      <c r="QD80" s="174"/>
      <c r="QE80" s="174"/>
      <c r="QF80" s="174"/>
      <c r="QG80" s="174"/>
      <c r="QH80" s="174"/>
      <c r="QI80" s="174"/>
      <c r="QJ80" s="174"/>
      <c r="QK80" s="174"/>
      <c r="QL80" s="174"/>
      <c r="QM80" s="174"/>
      <c r="QN80" s="174"/>
      <c r="QO80" s="174"/>
      <c r="QP80" s="174"/>
      <c r="QQ80" s="174"/>
      <c r="QR80" s="174"/>
      <c r="QS80" s="174"/>
      <c r="QT80" s="174"/>
      <c r="QU80" s="174"/>
      <c r="QV80" s="174"/>
      <c r="QW80" s="174"/>
      <c r="QX80" s="174"/>
      <c r="QY80" s="174"/>
      <c r="QZ80" s="174"/>
      <c r="RA80" s="174"/>
      <c r="RB80" s="174"/>
      <c r="RC80" s="174"/>
      <c r="RD80" s="174"/>
      <c r="RE80" s="174"/>
      <c r="RF80" s="174"/>
      <c r="RG80" s="174"/>
      <c r="RH80" s="174"/>
      <c r="RI80" s="174"/>
      <c r="RJ80" s="174"/>
      <c r="RK80" s="174"/>
      <c r="RL80" s="174"/>
      <c r="RM80" s="174"/>
      <c r="RN80" s="174"/>
      <c r="RO80" s="174"/>
      <c r="RP80" s="174"/>
      <c r="RQ80" s="174"/>
      <c r="RR80" s="174"/>
      <c r="RS80" s="174"/>
      <c r="RT80" s="174"/>
      <c r="RU80" s="174"/>
      <c r="RV80" s="174"/>
      <c r="RW80" s="174"/>
      <c r="RX80" s="174"/>
      <c r="RY80" s="174"/>
      <c r="RZ80" s="174"/>
      <c r="SA80" s="174"/>
      <c r="SB80" s="174"/>
      <c r="SC80" s="174"/>
      <c r="SD80" s="174"/>
      <c r="SE80" s="174"/>
      <c r="SF80" s="174"/>
      <c r="SG80" s="174"/>
      <c r="SH80" s="174"/>
      <c r="SI80" s="174"/>
      <c r="SJ80" s="174"/>
      <c r="SK80" s="174"/>
      <c r="SL80" s="174"/>
      <c r="SM80" s="174"/>
      <c r="SN80" s="174"/>
      <c r="SO80" s="174"/>
      <c r="SP80" s="174"/>
      <c r="SQ80" s="174"/>
      <c r="SR80" s="174"/>
      <c r="SS80" s="174"/>
      <c r="ST80" s="174"/>
      <c r="SU80" s="174"/>
      <c r="SV80" s="174"/>
      <c r="SW80" s="174"/>
      <c r="SX80" s="174"/>
      <c r="SY80" s="174"/>
      <c r="SZ80" s="174"/>
      <c r="TA80" s="174"/>
      <c r="TB80" s="174"/>
      <c r="TC80" s="174"/>
      <c r="TD80" s="174"/>
      <c r="TE80" s="174"/>
      <c r="TF80" s="174"/>
      <c r="TG80" s="174"/>
      <c r="TH80" s="174"/>
      <c r="TI80" s="174"/>
      <c r="TJ80" s="174"/>
      <c r="TK80" s="174"/>
      <c r="TL80" s="174"/>
      <c r="TM80" s="174"/>
      <c r="TN80" s="174"/>
      <c r="TO80" s="174"/>
      <c r="TP80" s="174"/>
      <c r="TQ80" s="174"/>
      <c r="TR80" s="174"/>
      <c r="TS80" s="174"/>
      <c r="TT80" s="174"/>
      <c r="TU80" s="174"/>
      <c r="TV80" s="174"/>
      <c r="TW80" s="174"/>
      <c r="TX80" s="174"/>
      <c r="TY80" s="174"/>
      <c r="TZ80" s="174"/>
      <c r="UA80" s="174"/>
      <c r="UB80" s="174"/>
      <c r="UC80" s="174"/>
      <c r="UD80" s="174"/>
      <c r="UE80" s="174"/>
      <c r="UF80" s="174"/>
      <c r="UG80" s="174"/>
      <c r="UH80" s="174"/>
      <c r="UI80" s="174"/>
      <c r="UJ80" s="174"/>
      <c r="UK80" s="174"/>
      <c r="UL80" s="174"/>
      <c r="UM80" s="174"/>
      <c r="UN80" s="174"/>
      <c r="UO80" s="174"/>
      <c r="UP80" s="174"/>
      <c r="UQ80" s="174"/>
      <c r="UR80" s="174"/>
      <c r="US80" s="174"/>
      <c r="UT80" s="174"/>
      <c r="UU80" s="174"/>
      <c r="UV80" s="174"/>
      <c r="UW80" s="174"/>
      <c r="UX80" s="174"/>
      <c r="UY80" s="174"/>
      <c r="UZ80" s="174"/>
      <c r="VA80" s="174"/>
      <c r="VB80" s="174"/>
      <c r="VC80" s="174"/>
      <c r="VD80" s="174"/>
      <c r="VE80" s="174"/>
      <c r="VF80" s="174"/>
      <c r="VG80" s="174"/>
      <c r="VH80" s="174"/>
      <c r="VI80" s="174"/>
      <c r="VJ80" s="174"/>
      <c r="VK80" s="174"/>
      <c r="VL80" s="174"/>
      <c r="VM80" s="174"/>
      <c r="VN80" s="174"/>
      <c r="VO80" s="174"/>
      <c r="VP80" s="174"/>
      <c r="VQ80" s="174"/>
      <c r="VR80" s="174"/>
      <c r="VS80" s="174"/>
      <c r="VT80" s="174"/>
      <c r="VU80" s="174"/>
      <c r="VV80" s="174"/>
      <c r="VW80" s="174"/>
      <c r="VX80" s="174"/>
      <c r="VY80" s="174"/>
      <c r="VZ80" s="174"/>
      <c r="WA80" s="174"/>
      <c r="WB80" s="174"/>
      <c r="WC80" s="174"/>
      <c r="WD80" s="174"/>
      <c r="WE80" s="174"/>
      <c r="WF80" s="174"/>
      <c r="WG80" s="174"/>
      <c r="WH80" s="174"/>
      <c r="WI80" s="174"/>
      <c r="WJ80" s="174"/>
      <c r="WK80" s="174"/>
      <c r="WL80" s="174"/>
      <c r="WM80" s="174"/>
      <c r="WN80" s="174"/>
      <c r="WO80" s="174"/>
      <c r="WP80" s="174"/>
      <c r="WQ80" s="174"/>
      <c r="WR80" s="174"/>
      <c r="WS80" s="174"/>
      <c r="WT80" s="174"/>
      <c r="WU80" s="174"/>
      <c r="WV80" s="174"/>
      <c r="WW80" s="174"/>
      <c r="WX80" s="174"/>
      <c r="WY80" s="174"/>
      <c r="WZ80" s="174"/>
      <c r="XA80" s="174"/>
      <c r="XB80" s="174"/>
      <c r="XC80" s="174"/>
      <c r="XD80" s="174"/>
      <c r="XE80" s="174"/>
      <c r="XF80" s="174"/>
      <c r="XG80" s="174"/>
      <c r="XH80" s="174"/>
      <c r="XI80" s="174"/>
      <c r="XJ80" s="174"/>
      <c r="XK80" s="174"/>
      <c r="XL80" s="174"/>
      <c r="XM80" s="174"/>
      <c r="XN80" s="174"/>
      <c r="XO80" s="174"/>
      <c r="XP80" s="174"/>
      <c r="XQ80" s="174"/>
      <c r="XR80" s="174"/>
      <c r="XS80" s="174"/>
      <c r="XT80" s="174"/>
      <c r="XU80" s="174"/>
      <c r="XV80" s="174"/>
      <c r="XW80" s="174"/>
      <c r="XX80" s="174"/>
      <c r="XY80" s="174"/>
      <c r="XZ80" s="174"/>
      <c r="YA80" s="174"/>
      <c r="YB80" s="174"/>
      <c r="YC80" s="174"/>
      <c r="YD80" s="174"/>
      <c r="YE80" s="174"/>
      <c r="YF80" s="174"/>
      <c r="YG80" s="174"/>
      <c r="YH80" s="174"/>
      <c r="YI80" s="174"/>
      <c r="YJ80" s="174"/>
      <c r="YK80" s="174"/>
      <c r="YL80" s="174"/>
      <c r="YM80" s="174"/>
      <c r="YN80" s="174"/>
      <c r="YO80" s="174"/>
      <c r="YP80" s="174"/>
      <c r="YQ80" s="174"/>
      <c r="YR80" s="174"/>
      <c r="YS80" s="174"/>
      <c r="YT80" s="174"/>
      <c r="YU80" s="174"/>
      <c r="YV80" s="174"/>
      <c r="YW80" s="174"/>
      <c r="YX80" s="174"/>
      <c r="YY80" s="174"/>
      <c r="YZ80" s="174"/>
      <c r="ZA80" s="174"/>
      <c r="ZB80" s="174"/>
      <c r="ZC80" s="174"/>
      <c r="ZD80" s="174"/>
      <c r="ZE80" s="174"/>
      <c r="ZF80" s="174"/>
      <c r="ZG80" s="174"/>
      <c r="ZH80" s="174"/>
      <c r="ZI80" s="174"/>
      <c r="ZJ80" s="174"/>
      <c r="ZK80" s="174"/>
      <c r="ZL80" s="174"/>
      <c r="ZM80" s="174"/>
      <c r="ZN80" s="174"/>
      <c r="ZO80" s="174"/>
      <c r="ZP80" s="174"/>
      <c r="ZQ80" s="174"/>
      <c r="ZR80" s="174"/>
      <c r="ZS80" s="174"/>
      <c r="ZT80" s="174"/>
      <c r="ZU80" s="174"/>
      <c r="ZV80" s="174"/>
      <c r="ZW80" s="174"/>
      <c r="ZX80" s="174"/>
      <c r="ZY80" s="174"/>
      <c r="ZZ80" s="174"/>
      <c r="AAA80" s="174"/>
      <c r="AAB80" s="174"/>
      <c r="AAC80" s="174"/>
      <c r="AAD80" s="174"/>
      <c r="AAE80" s="174"/>
      <c r="AAF80" s="174"/>
      <c r="AAG80" s="174"/>
      <c r="AAH80" s="174"/>
      <c r="AAI80" s="174"/>
      <c r="AAJ80" s="174"/>
      <c r="AAK80" s="174"/>
      <c r="AAL80" s="174"/>
      <c r="AAM80" s="174"/>
      <c r="AAN80" s="174"/>
      <c r="AAO80" s="174"/>
      <c r="AAP80" s="174"/>
      <c r="AAQ80" s="174"/>
      <c r="AAR80" s="174"/>
      <c r="AAS80" s="174"/>
      <c r="AAT80" s="174"/>
      <c r="AAU80" s="174"/>
      <c r="AAV80" s="174"/>
      <c r="AAW80" s="174"/>
      <c r="AAX80" s="174"/>
      <c r="AAY80" s="174"/>
      <c r="AAZ80" s="174"/>
      <c r="ABA80" s="174"/>
      <c r="ABB80" s="174"/>
      <c r="ABC80" s="174"/>
      <c r="ABD80" s="174"/>
      <c r="ABE80" s="174"/>
      <c r="ABF80" s="174"/>
      <c r="ABG80" s="174"/>
      <c r="ABH80" s="174"/>
      <c r="ABI80" s="174"/>
      <c r="ABJ80" s="174"/>
      <c r="ABK80" s="174"/>
      <c r="ABL80" s="174"/>
      <c r="ABM80" s="174"/>
      <c r="ABN80" s="174"/>
      <c r="ABO80" s="174"/>
      <c r="ABP80" s="174"/>
      <c r="ABQ80" s="174"/>
      <c r="ABR80" s="174"/>
      <c r="ABS80" s="174"/>
      <c r="ABT80" s="174"/>
      <c r="ABU80" s="174"/>
      <c r="ABV80" s="174"/>
      <c r="ABW80" s="174"/>
      <c r="ABX80" s="174"/>
      <c r="ABY80" s="174"/>
      <c r="ABZ80" s="174"/>
      <c r="ACA80" s="174"/>
      <c r="ACB80" s="174"/>
      <c r="ACC80" s="174"/>
      <c r="ACD80" s="174"/>
      <c r="ACE80" s="174"/>
      <c r="ACF80" s="174"/>
      <c r="ACG80" s="174"/>
      <c r="ACH80" s="174"/>
      <c r="ACI80" s="174"/>
      <c r="ACJ80" s="174"/>
      <c r="ACK80" s="174"/>
      <c r="ACL80" s="174"/>
      <c r="ACM80" s="174"/>
      <c r="ACN80" s="174"/>
      <c r="ACO80" s="174"/>
      <c r="ACP80" s="174"/>
      <c r="ACQ80" s="174"/>
      <c r="ACR80" s="174"/>
      <c r="ACS80" s="174"/>
      <c r="ACT80" s="174"/>
      <c r="ACU80" s="174"/>
      <c r="ACV80" s="174"/>
      <c r="ACW80" s="174"/>
      <c r="ACX80" s="174"/>
      <c r="ACY80" s="174"/>
      <c r="ACZ80" s="174"/>
      <c r="ADA80" s="174"/>
      <c r="ADB80" s="174"/>
      <c r="ADC80" s="174"/>
      <c r="ADD80" s="174"/>
      <c r="ADE80" s="174"/>
      <c r="ADF80" s="174"/>
      <c r="ADG80" s="174"/>
      <c r="ADH80" s="174"/>
      <c r="ADI80" s="174"/>
      <c r="ADJ80" s="174"/>
      <c r="ADK80" s="174"/>
      <c r="ADL80" s="174"/>
      <c r="ADM80" s="174"/>
      <c r="ADN80" s="174"/>
      <c r="ADO80" s="174"/>
      <c r="ADP80" s="174"/>
      <c r="ADQ80" s="174"/>
      <c r="ADR80" s="174"/>
      <c r="ADS80" s="174"/>
      <c r="ADT80" s="174"/>
      <c r="ADU80" s="174"/>
      <c r="ADV80" s="174"/>
      <c r="ADW80" s="174"/>
      <c r="ADX80" s="174"/>
      <c r="ADY80" s="174"/>
      <c r="ADZ80" s="174"/>
      <c r="AEA80" s="174"/>
      <c r="AEB80" s="174"/>
      <c r="AEC80" s="174"/>
      <c r="AED80" s="174"/>
      <c r="AEE80" s="174"/>
      <c r="AEF80" s="174"/>
      <c r="AEG80" s="174"/>
      <c r="AEH80" s="174"/>
      <c r="AEI80" s="174"/>
      <c r="AEJ80" s="174"/>
      <c r="AEK80" s="174"/>
      <c r="AEL80" s="174"/>
      <c r="AEM80" s="174"/>
      <c r="AEN80" s="174"/>
      <c r="AEO80" s="174"/>
      <c r="AEP80" s="174"/>
      <c r="AEQ80" s="174"/>
      <c r="AER80" s="174"/>
      <c r="AES80" s="174"/>
      <c r="AET80" s="174"/>
      <c r="AEU80" s="174"/>
      <c r="AEV80" s="174"/>
      <c r="AEW80" s="174"/>
      <c r="AEX80" s="174"/>
      <c r="AEY80" s="174"/>
      <c r="AEZ80" s="174"/>
      <c r="AFA80" s="174"/>
      <c r="AFB80" s="174"/>
      <c r="AFC80" s="174"/>
      <c r="AFD80" s="174"/>
      <c r="AFE80" s="174"/>
      <c r="AFF80" s="174"/>
      <c r="AFG80" s="174"/>
      <c r="AFH80" s="174"/>
      <c r="AFI80" s="174"/>
      <c r="AFJ80" s="174"/>
      <c r="AFK80" s="174"/>
      <c r="AFL80" s="174"/>
      <c r="AFM80" s="174"/>
      <c r="AFN80" s="174"/>
      <c r="AFO80" s="174"/>
      <c r="AFP80" s="174"/>
      <c r="AFQ80" s="174"/>
      <c r="AFR80" s="174"/>
      <c r="AFS80" s="174"/>
      <c r="AFT80" s="174"/>
      <c r="AFU80" s="174"/>
      <c r="AFV80" s="174"/>
      <c r="AFW80" s="174"/>
      <c r="AFX80" s="174"/>
      <c r="AFY80" s="174"/>
      <c r="AFZ80" s="174"/>
      <c r="AGA80" s="174"/>
      <c r="AGB80" s="174"/>
      <c r="AGC80" s="174"/>
      <c r="AGD80" s="174"/>
      <c r="AGE80" s="174"/>
      <c r="AGF80" s="174"/>
      <c r="AGG80" s="174"/>
      <c r="AGH80" s="174"/>
      <c r="AGI80" s="174"/>
      <c r="AGJ80" s="174"/>
      <c r="AGK80" s="174"/>
      <c r="AGL80" s="174"/>
      <c r="AGM80" s="174"/>
      <c r="AGN80" s="174"/>
      <c r="AGO80" s="174"/>
      <c r="AGP80" s="174"/>
      <c r="AGQ80" s="174"/>
      <c r="AGR80" s="174"/>
      <c r="AGS80" s="174"/>
      <c r="AGT80" s="174"/>
      <c r="AGU80" s="174"/>
      <c r="AGV80" s="174"/>
      <c r="AGW80" s="174"/>
      <c r="AGX80" s="174"/>
      <c r="AGY80" s="174"/>
      <c r="AGZ80" s="174"/>
      <c r="AHA80" s="174"/>
      <c r="AHB80" s="174"/>
      <c r="AHC80" s="174"/>
      <c r="AHD80" s="174"/>
      <c r="AHE80" s="174"/>
      <c r="AHF80" s="174"/>
      <c r="AHG80" s="174"/>
      <c r="AHH80" s="174"/>
      <c r="AHI80" s="174"/>
      <c r="AHJ80" s="174"/>
      <c r="AHK80" s="174"/>
      <c r="AHL80" s="174"/>
      <c r="AHM80" s="174"/>
      <c r="AHN80" s="174"/>
      <c r="AHO80" s="174"/>
      <c r="AHP80" s="174"/>
      <c r="AHQ80" s="174"/>
      <c r="AHR80" s="174"/>
      <c r="AHS80" s="174"/>
      <c r="AHT80" s="174"/>
      <c r="AHU80" s="174"/>
      <c r="AHV80" s="174"/>
      <c r="AHW80" s="174"/>
      <c r="AHX80" s="174"/>
      <c r="AHY80" s="174"/>
      <c r="AHZ80" s="174"/>
      <c r="AIA80" s="174"/>
      <c r="AIB80" s="174"/>
      <c r="AIC80" s="174"/>
      <c r="AID80" s="174"/>
      <c r="AIE80" s="174"/>
      <c r="AIF80" s="174"/>
      <c r="AIG80" s="174"/>
      <c r="AIH80" s="174"/>
      <c r="AII80" s="174"/>
      <c r="AIJ80" s="174"/>
      <c r="AIK80" s="174"/>
      <c r="AIL80" s="174"/>
      <c r="AIM80" s="174"/>
      <c r="AIN80" s="174"/>
      <c r="AIO80" s="174"/>
      <c r="AIP80" s="174"/>
      <c r="AIQ80" s="174"/>
      <c r="AIR80" s="174"/>
      <c r="AIS80" s="174"/>
      <c r="AIT80" s="174"/>
      <c r="AIU80" s="174"/>
      <c r="AIV80" s="174"/>
      <c r="AIW80" s="174"/>
      <c r="AIX80" s="174"/>
      <c r="AIY80" s="174"/>
      <c r="AIZ80" s="174"/>
      <c r="AJA80" s="174"/>
      <c r="AJB80" s="174"/>
      <c r="AJC80" s="174"/>
      <c r="AJD80" s="174"/>
      <c r="AJE80" s="174"/>
      <c r="AJF80" s="174"/>
      <c r="AJG80" s="174"/>
      <c r="AJH80" s="174"/>
      <c r="AJI80" s="174"/>
      <c r="AJJ80" s="174"/>
      <c r="AJK80" s="174"/>
      <c r="AJL80" s="174"/>
      <c r="AJM80" s="174"/>
      <c r="AJN80" s="174"/>
      <c r="AJO80" s="174"/>
      <c r="AJP80" s="174"/>
      <c r="AJQ80" s="174"/>
      <c r="AJR80" s="174"/>
      <c r="AJS80" s="174"/>
      <c r="AJT80" s="174"/>
      <c r="AJU80" s="174"/>
      <c r="AJV80" s="174"/>
      <c r="AJW80" s="174"/>
      <c r="AJX80" s="174"/>
      <c r="AJY80" s="174"/>
      <c r="AJZ80" s="174"/>
      <c r="AKA80" s="174"/>
      <c r="AKB80" s="174"/>
      <c r="AKC80" s="174"/>
      <c r="AKD80" s="174"/>
      <c r="AKE80" s="174"/>
      <c r="AKF80" s="174"/>
      <c r="AKG80" s="174"/>
      <c r="AKH80" s="174"/>
      <c r="AKI80" s="174"/>
      <c r="AKJ80" s="174"/>
      <c r="AKK80" s="174"/>
      <c r="AKL80" s="174"/>
      <c r="AKM80" s="174"/>
      <c r="AKN80" s="174"/>
      <c r="AKO80" s="174"/>
      <c r="AKP80" s="174"/>
      <c r="AKQ80" s="174"/>
      <c r="AKR80" s="174"/>
      <c r="AKS80" s="174"/>
      <c r="AKT80" s="174"/>
      <c r="AKU80" s="174"/>
      <c r="AKV80" s="174"/>
      <c r="AKW80" s="174"/>
      <c r="AKX80" s="174"/>
      <c r="AKY80" s="174"/>
      <c r="AKZ80" s="174"/>
      <c r="ALA80" s="174"/>
      <c r="ALB80" s="174"/>
      <c r="ALC80" s="174"/>
      <c r="ALD80" s="174"/>
      <c r="ALE80" s="174"/>
      <c r="ALF80" s="174"/>
      <c r="ALG80" s="174"/>
      <c r="ALH80" s="174"/>
      <c r="ALI80" s="174"/>
      <c r="ALJ80" s="174"/>
      <c r="ALK80" s="174"/>
      <c r="ALL80" s="174"/>
      <c r="ALM80" s="174"/>
      <c r="ALN80" s="174"/>
      <c r="ALO80" s="174"/>
      <c r="ALP80" s="174"/>
      <c r="ALQ80" s="174"/>
      <c r="ALR80" s="174"/>
      <c r="ALS80" s="174"/>
      <c r="ALT80" s="174"/>
      <c r="ALU80" s="174"/>
      <c r="ALV80" s="174"/>
      <c r="ALW80" s="174"/>
      <c r="ALX80" s="174"/>
      <c r="ALY80" s="174"/>
      <c r="ALZ80" s="174"/>
      <c r="AMA80" s="174"/>
      <c r="AMB80" s="174"/>
      <c r="AMC80" s="174"/>
      <c r="AMD80" s="174"/>
      <c r="AME80" s="158"/>
    </row>
    <row r="81" spans="1:1019" s="174" customFormat="1" ht="15" customHeight="1">
      <c r="A81" s="168">
        <f t="shared" si="2"/>
        <v>74</v>
      </c>
      <c r="B81" s="175">
        <v>1826</v>
      </c>
      <c r="C81" s="168" t="s">
        <v>247</v>
      </c>
      <c r="D81" s="169">
        <f>'הנדסה '!D48</f>
        <v>1500000</v>
      </c>
      <c r="E81" s="169">
        <f>'הנדסה '!E48</f>
        <v>1500000</v>
      </c>
      <c r="F81" s="169">
        <f>'הנדסה '!F48</f>
        <v>0</v>
      </c>
      <c r="G81" s="169">
        <f>'הנדסה '!G48</f>
        <v>200000</v>
      </c>
      <c r="H81" s="169">
        <f>'הנדסה '!H48</f>
        <v>0</v>
      </c>
      <c r="I81" s="169">
        <f>'הנדסה '!I48</f>
        <v>0</v>
      </c>
      <c r="J81" s="169">
        <f>'הנדסה '!J48</f>
        <v>11756.75</v>
      </c>
      <c r="K81" s="169">
        <f>'הנדסה '!K48</f>
        <v>11756.75</v>
      </c>
      <c r="L81" s="169">
        <f>'הנדסה '!L48</f>
        <v>11756.75</v>
      </c>
      <c r="M81" s="169">
        <f>'הנדסה '!M48</f>
        <v>188243.25</v>
      </c>
      <c r="N81" s="169">
        <f>'הנדסה '!N48</f>
        <v>1300000</v>
      </c>
      <c r="O81" s="169">
        <f>'הנדסה '!O48</f>
        <v>0</v>
      </c>
      <c r="P81" s="169">
        <f>'הנדסה '!P48</f>
        <v>188243.25</v>
      </c>
      <c r="Q81" s="169">
        <f>'הנדסה '!Q48</f>
        <v>0</v>
      </c>
      <c r="R81" s="169">
        <f>'הנדסה '!R48</f>
        <v>0</v>
      </c>
      <c r="S81" s="169">
        <f>'הנדסה '!S48</f>
        <v>0</v>
      </c>
      <c r="T81" s="169">
        <f>'הנדסה '!T48</f>
        <v>0</v>
      </c>
      <c r="U81" s="169">
        <f>'הנדסה '!U48</f>
        <v>1300000</v>
      </c>
      <c r="V81" s="169">
        <f>'הנדסה '!V48</f>
        <v>1300000</v>
      </c>
      <c r="W81" s="169">
        <f>'הנדסה '!W48</f>
        <v>0</v>
      </c>
      <c r="X81" s="169">
        <f>'הנדסה '!X48</f>
        <v>0</v>
      </c>
      <c r="Y81" s="169">
        <f>'הנדסה '!Y48</f>
        <v>0</v>
      </c>
      <c r="Z81" s="169">
        <f>'הנדסה '!Z48</f>
        <v>0</v>
      </c>
      <c r="AA81" s="659">
        <f>'הנדסה '!AA48</f>
        <v>742000</v>
      </c>
      <c r="AB81" s="157"/>
      <c r="AC81" s="157"/>
      <c r="AD81" s="157"/>
      <c r="AE81" s="157"/>
      <c r="AF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  <c r="DZ81" s="172"/>
      <c r="EA81" s="172"/>
      <c r="EB81" s="172"/>
      <c r="EC81" s="172"/>
      <c r="ED81" s="172"/>
      <c r="EE81" s="172"/>
      <c r="EF81" s="172"/>
      <c r="EG81" s="172"/>
      <c r="EH81" s="172"/>
      <c r="EI81" s="172"/>
      <c r="EJ81" s="172"/>
      <c r="EK81" s="172"/>
      <c r="EL81" s="172"/>
      <c r="EM81" s="172"/>
      <c r="EN81" s="172"/>
      <c r="EO81" s="172"/>
      <c r="EP81" s="172"/>
      <c r="EQ81" s="172"/>
      <c r="ER81" s="172"/>
      <c r="ES81" s="172"/>
      <c r="ET81" s="172"/>
      <c r="EU81" s="172"/>
      <c r="EV81" s="172"/>
      <c r="EW81" s="172"/>
      <c r="EX81" s="172"/>
      <c r="EY81" s="172"/>
      <c r="EZ81" s="172"/>
      <c r="FA81" s="172"/>
      <c r="FB81" s="172"/>
      <c r="FC81" s="172"/>
      <c r="FD81" s="172"/>
      <c r="FE81" s="172"/>
      <c r="FF81" s="172"/>
      <c r="FG81" s="172"/>
      <c r="FH81" s="172"/>
      <c r="FI81" s="172"/>
      <c r="FJ81" s="172"/>
      <c r="FK81" s="172"/>
      <c r="FL81" s="172"/>
      <c r="FM81" s="172"/>
      <c r="FN81" s="172"/>
      <c r="FO81" s="172"/>
      <c r="FP81" s="172"/>
      <c r="FQ81" s="172"/>
      <c r="FR81" s="172"/>
      <c r="FS81" s="172"/>
      <c r="FT81" s="172"/>
      <c r="FU81" s="172"/>
      <c r="FV81" s="172"/>
      <c r="FW81" s="172"/>
      <c r="FX81" s="172"/>
      <c r="FY81" s="172"/>
      <c r="FZ81" s="172"/>
      <c r="GA81" s="172"/>
      <c r="GB81" s="172"/>
      <c r="GC81" s="172"/>
      <c r="GD81" s="172"/>
      <c r="GE81" s="172"/>
      <c r="GF81" s="172"/>
      <c r="GG81" s="172"/>
      <c r="GH81" s="172"/>
      <c r="GI81" s="172"/>
      <c r="GJ81" s="172"/>
      <c r="GK81" s="172"/>
      <c r="GL81" s="172"/>
      <c r="GM81" s="172"/>
      <c r="GN81" s="172"/>
      <c r="GO81" s="172"/>
      <c r="GP81" s="172"/>
      <c r="GQ81" s="172"/>
      <c r="GR81" s="172"/>
      <c r="GS81" s="172"/>
      <c r="GT81" s="172"/>
      <c r="GU81" s="172"/>
      <c r="GV81" s="172"/>
      <c r="GW81" s="172"/>
      <c r="GX81" s="172"/>
      <c r="GY81" s="172"/>
      <c r="GZ81" s="172"/>
      <c r="HA81" s="172"/>
      <c r="HB81" s="172"/>
      <c r="HC81" s="172"/>
      <c r="HD81" s="172"/>
      <c r="HE81" s="172"/>
      <c r="HF81" s="172"/>
      <c r="HG81" s="172"/>
      <c r="HH81" s="172"/>
      <c r="HI81" s="172"/>
      <c r="HJ81" s="172"/>
      <c r="HK81" s="172"/>
      <c r="HL81" s="172"/>
      <c r="HM81" s="172"/>
      <c r="HN81" s="172"/>
      <c r="HO81" s="172"/>
      <c r="HP81" s="172"/>
      <c r="HQ81" s="172"/>
      <c r="HR81" s="172"/>
      <c r="HS81" s="172"/>
      <c r="HT81" s="172"/>
      <c r="HU81" s="172"/>
      <c r="HV81" s="172"/>
      <c r="HW81" s="172"/>
      <c r="HX81" s="172"/>
      <c r="HY81" s="172"/>
      <c r="HZ81" s="172"/>
      <c r="IA81" s="172"/>
      <c r="IB81" s="172"/>
      <c r="IC81" s="172"/>
      <c r="ID81" s="172"/>
      <c r="IE81" s="172"/>
      <c r="IF81" s="172"/>
      <c r="IG81" s="172"/>
      <c r="IH81" s="172"/>
      <c r="II81" s="172"/>
      <c r="IJ81" s="172"/>
      <c r="IK81" s="172"/>
      <c r="IL81" s="172"/>
      <c r="IM81" s="172"/>
      <c r="IN81" s="172"/>
      <c r="IO81" s="172"/>
      <c r="IP81" s="172"/>
      <c r="IQ81" s="172"/>
      <c r="IR81" s="172"/>
      <c r="IS81" s="172"/>
      <c r="IT81" s="172"/>
      <c r="IU81" s="172"/>
      <c r="IV81" s="172"/>
      <c r="IW81" s="172"/>
      <c r="IX81" s="172"/>
      <c r="IY81" s="172"/>
      <c r="IZ81" s="172"/>
      <c r="JA81" s="172"/>
      <c r="JB81" s="172"/>
      <c r="JC81" s="172"/>
      <c r="JD81" s="172"/>
      <c r="JE81" s="172"/>
      <c r="JF81" s="172"/>
      <c r="JG81" s="172"/>
      <c r="JH81" s="172"/>
      <c r="JI81" s="172"/>
      <c r="JJ81" s="172"/>
      <c r="JK81" s="172"/>
      <c r="JL81" s="172"/>
      <c r="JM81" s="172"/>
      <c r="JN81" s="172"/>
      <c r="JO81" s="172"/>
      <c r="JP81" s="172"/>
      <c r="JQ81" s="172"/>
      <c r="JR81" s="172"/>
      <c r="JS81" s="172"/>
      <c r="JT81" s="172"/>
      <c r="JU81" s="172"/>
      <c r="JV81" s="172"/>
      <c r="JW81" s="172"/>
      <c r="JX81" s="172"/>
      <c r="JY81" s="172"/>
      <c r="JZ81" s="172"/>
      <c r="KA81" s="172"/>
      <c r="KB81" s="172"/>
      <c r="KC81" s="172"/>
      <c r="KD81" s="172"/>
      <c r="KE81" s="172"/>
      <c r="KF81" s="172"/>
      <c r="KG81" s="172"/>
      <c r="KH81" s="172"/>
      <c r="KI81" s="172"/>
      <c r="KJ81" s="172"/>
      <c r="KK81" s="172"/>
      <c r="KL81" s="172"/>
      <c r="KM81" s="172"/>
      <c r="KN81" s="172"/>
      <c r="KO81" s="172"/>
      <c r="KP81" s="172"/>
      <c r="KQ81" s="172"/>
      <c r="KR81" s="172"/>
      <c r="KS81" s="172"/>
      <c r="KT81" s="172"/>
      <c r="KU81" s="172"/>
      <c r="KV81" s="172"/>
      <c r="KW81" s="172"/>
      <c r="KX81" s="172"/>
      <c r="KY81" s="172"/>
      <c r="KZ81" s="172"/>
      <c r="LA81" s="172"/>
      <c r="LB81" s="172"/>
      <c r="LC81" s="172"/>
      <c r="LD81" s="172"/>
      <c r="LE81" s="172"/>
      <c r="LF81" s="172"/>
      <c r="LG81" s="172"/>
      <c r="LH81" s="172"/>
      <c r="LI81" s="172"/>
      <c r="LJ81" s="172"/>
      <c r="LK81" s="172"/>
      <c r="LL81" s="172"/>
      <c r="LM81" s="172"/>
      <c r="LN81" s="172"/>
      <c r="LO81" s="172"/>
      <c r="LP81" s="172"/>
      <c r="LQ81" s="172"/>
      <c r="LR81" s="172"/>
      <c r="LS81" s="172"/>
      <c r="LT81" s="172"/>
      <c r="LU81" s="172"/>
      <c r="LV81" s="172"/>
      <c r="LW81" s="172"/>
      <c r="LX81" s="172"/>
      <c r="LY81" s="172"/>
      <c r="LZ81" s="172"/>
      <c r="MA81" s="172"/>
      <c r="MB81" s="172"/>
      <c r="MC81" s="172"/>
      <c r="MD81" s="172"/>
      <c r="ME81" s="172"/>
      <c r="MF81" s="172"/>
      <c r="MG81" s="172"/>
      <c r="MH81" s="172"/>
      <c r="MI81" s="172"/>
      <c r="MJ81" s="172"/>
      <c r="MK81" s="172"/>
      <c r="ML81" s="172"/>
      <c r="MM81" s="172"/>
      <c r="MN81" s="172"/>
      <c r="MO81" s="172"/>
      <c r="MP81" s="172"/>
      <c r="MQ81" s="172"/>
      <c r="MR81" s="172"/>
      <c r="MS81" s="172"/>
      <c r="MT81" s="172"/>
      <c r="MU81" s="172"/>
      <c r="MV81" s="172"/>
      <c r="MW81" s="172"/>
      <c r="MX81" s="172"/>
      <c r="MY81" s="172"/>
      <c r="MZ81" s="172"/>
      <c r="NA81" s="172"/>
      <c r="NB81" s="172"/>
      <c r="NC81" s="172"/>
      <c r="ND81" s="172"/>
      <c r="NE81" s="172"/>
      <c r="NF81" s="172"/>
      <c r="NG81" s="172"/>
      <c r="NH81" s="172"/>
      <c r="NI81" s="172"/>
      <c r="NJ81" s="172"/>
      <c r="NK81" s="172"/>
      <c r="NL81" s="172"/>
      <c r="NM81" s="172"/>
      <c r="NN81" s="172"/>
      <c r="NO81" s="172"/>
      <c r="NP81" s="172"/>
      <c r="NQ81" s="172"/>
      <c r="NR81" s="172"/>
      <c r="NS81" s="172"/>
      <c r="NT81" s="172"/>
      <c r="NU81" s="172"/>
      <c r="NV81" s="172"/>
      <c r="NW81" s="172"/>
      <c r="NX81" s="172"/>
      <c r="NY81" s="172"/>
      <c r="NZ81" s="172"/>
      <c r="OA81" s="172"/>
      <c r="OB81" s="172"/>
      <c r="OC81" s="172"/>
      <c r="OD81" s="172"/>
      <c r="OE81" s="172"/>
      <c r="OF81" s="172"/>
      <c r="OG81" s="172"/>
      <c r="OH81" s="172"/>
      <c r="OI81" s="172"/>
      <c r="OJ81" s="172"/>
      <c r="OK81" s="172"/>
      <c r="OL81" s="172"/>
      <c r="OM81" s="172"/>
      <c r="ON81" s="172"/>
      <c r="OO81" s="172"/>
      <c r="OP81" s="172"/>
      <c r="OQ81" s="172"/>
      <c r="OR81" s="172"/>
      <c r="OS81" s="172"/>
      <c r="OT81" s="172"/>
      <c r="OU81" s="172"/>
      <c r="OV81" s="172"/>
      <c r="OW81" s="172"/>
      <c r="OX81" s="172"/>
      <c r="OY81" s="172"/>
      <c r="OZ81" s="172"/>
      <c r="PA81" s="172"/>
      <c r="PB81" s="172"/>
      <c r="PC81" s="172"/>
      <c r="PD81" s="172"/>
      <c r="PE81" s="172"/>
      <c r="PF81" s="172"/>
      <c r="PG81" s="172"/>
      <c r="PH81" s="172"/>
      <c r="PI81" s="172"/>
      <c r="PJ81" s="172"/>
      <c r="PK81" s="172"/>
      <c r="PL81" s="172"/>
      <c r="PM81" s="172"/>
      <c r="PN81" s="172"/>
      <c r="PO81" s="172"/>
      <c r="PP81" s="172"/>
      <c r="PQ81" s="172"/>
      <c r="PR81" s="172"/>
      <c r="PS81" s="172"/>
      <c r="PT81" s="172"/>
      <c r="PU81" s="172"/>
      <c r="PV81" s="172"/>
      <c r="PW81" s="172"/>
      <c r="PX81" s="172"/>
      <c r="PY81" s="172"/>
      <c r="PZ81" s="172"/>
      <c r="QA81" s="172"/>
      <c r="QB81" s="172"/>
      <c r="QC81" s="172"/>
      <c r="QD81" s="172"/>
      <c r="QE81" s="172"/>
      <c r="QF81" s="172"/>
      <c r="QG81" s="172"/>
      <c r="QH81" s="172"/>
      <c r="QI81" s="172"/>
      <c r="QJ81" s="172"/>
      <c r="QK81" s="172"/>
      <c r="QL81" s="172"/>
      <c r="QM81" s="172"/>
      <c r="QN81" s="172"/>
      <c r="QO81" s="172"/>
      <c r="QP81" s="172"/>
      <c r="QQ81" s="172"/>
      <c r="QR81" s="172"/>
      <c r="QS81" s="172"/>
      <c r="QT81" s="172"/>
      <c r="QU81" s="172"/>
      <c r="QV81" s="172"/>
      <c r="QW81" s="172"/>
      <c r="QX81" s="172"/>
      <c r="QY81" s="172"/>
      <c r="QZ81" s="172"/>
      <c r="RA81" s="172"/>
      <c r="RB81" s="172"/>
      <c r="RC81" s="172"/>
      <c r="RD81" s="172"/>
      <c r="RE81" s="172"/>
      <c r="RF81" s="172"/>
      <c r="RG81" s="172"/>
      <c r="RH81" s="172"/>
      <c r="RI81" s="172"/>
      <c r="RJ81" s="172"/>
      <c r="RK81" s="172"/>
      <c r="RL81" s="172"/>
      <c r="RM81" s="172"/>
      <c r="RN81" s="172"/>
      <c r="RO81" s="172"/>
      <c r="RP81" s="172"/>
      <c r="RQ81" s="172"/>
      <c r="RR81" s="172"/>
      <c r="RS81" s="172"/>
      <c r="RT81" s="172"/>
      <c r="RU81" s="172"/>
      <c r="RV81" s="172"/>
      <c r="RW81" s="172"/>
      <c r="RX81" s="172"/>
      <c r="RY81" s="172"/>
      <c r="RZ81" s="172"/>
      <c r="SA81" s="172"/>
      <c r="SB81" s="172"/>
      <c r="SC81" s="172"/>
      <c r="SD81" s="172"/>
      <c r="SE81" s="172"/>
      <c r="SF81" s="172"/>
      <c r="SG81" s="172"/>
      <c r="SH81" s="172"/>
      <c r="SI81" s="172"/>
      <c r="SJ81" s="172"/>
      <c r="SK81" s="172"/>
      <c r="SL81" s="172"/>
      <c r="SM81" s="172"/>
      <c r="SN81" s="172"/>
      <c r="SO81" s="172"/>
      <c r="SP81" s="172"/>
      <c r="SQ81" s="172"/>
      <c r="SR81" s="172"/>
      <c r="SS81" s="172"/>
      <c r="ST81" s="172"/>
      <c r="SU81" s="172"/>
      <c r="SV81" s="172"/>
      <c r="SW81" s="172"/>
      <c r="SX81" s="172"/>
      <c r="SY81" s="172"/>
      <c r="SZ81" s="172"/>
      <c r="TA81" s="172"/>
      <c r="TB81" s="172"/>
      <c r="TC81" s="172"/>
      <c r="TD81" s="172"/>
      <c r="TE81" s="172"/>
      <c r="TF81" s="172"/>
      <c r="TG81" s="172"/>
      <c r="TH81" s="172"/>
      <c r="TI81" s="172"/>
      <c r="TJ81" s="172"/>
      <c r="TK81" s="172"/>
      <c r="TL81" s="172"/>
      <c r="TM81" s="172"/>
      <c r="TN81" s="172"/>
      <c r="TO81" s="172"/>
      <c r="TP81" s="172"/>
      <c r="TQ81" s="172"/>
      <c r="TR81" s="172"/>
      <c r="TS81" s="172"/>
      <c r="TT81" s="172"/>
      <c r="TU81" s="172"/>
      <c r="TV81" s="172"/>
      <c r="TW81" s="172"/>
      <c r="TX81" s="172"/>
      <c r="TY81" s="172"/>
      <c r="TZ81" s="172"/>
      <c r="UA81" s="172"/>
      <c r="UB81" s="172"/>
      <c r="UC81" s="172"/>
      <c r="UD81" s="172"/>
      <c r="UE81" s="172"/>
      <c r="UF81" s="172"/>
      <c r="UG81" s="172"/>
      <c r="UH81" s="172"/>
      <c r="UI81" s="172"/>
      <c r="UJ81" s="172"/>
      <c r="UK81" s="172"/>
      <c r="UL81" s="172"/>
      <c r="UM81" s="172"/>
      <c r="UN81" s="172"/>
      <c r="UO81" s="172"/>
      <c r="UP81" s="172"/>
      <c r="UQ81" s="172"/>
      <c r="UR81" s="172"/>
      <c r="US81" s="172"/>
      <c r="UT81" s="172"/>
      <c r="UU81" s="172"/>
      <c r="UV81" s="172"/>
      <c r="UW81" s="172"/>
      <c r="UX81" s="172"/>
      <c r="UY81" s="172"/>
      <c r="UZ81" s="172"/>
      <c r="VA81" s="172"/>
      <c r="VB81" s="172"/>
      <c r="VC81" s="172"/>
      <c r="VD81" s="172"/>
      <c r="VE81" s="172"/>
      <c r="VF81" s="172"/>
      <c r="VG81" s="172"/>
      <c r="VH81" s="172"/>
      <c r="VI81" s="172"/>
      <c r="VJ81" s="172"/>
      <c r="VK81" s="172"/>
      <c r="VL81" s="172"/>
      <c r="VM81" s="172"/>
      <c r="VN81" s="172"/>
      <c r="VO81" s="172"/>
      <c r="VP81" s="172"/>
      <c r="VQ81" s="172"/>
      <c r="VR81" s="172"/>
      <c r="VS81" s="172"/>
      <c r="VT81" s="172"/>
      <c r="VU81" s="172"/>
      <c r="VV81" s="172"/>
      <c r="VW81" s="172"/>
      <c r="VX81" s="172"/>
      <c r="VY81" s="172"/>
      <c r="VZ81" s="172"/>
      <c r="WA81" s="172"/>
      <c r="WB81" s="172"/>
      <c r="WC81" s="172"/>
      <c r="WD81" s="172"/>
      <c r="WE81" s="172"/>
      <c r="WF81" s="172"/>
      <c r="WG81" s="172"/>
      <c r="WH81" s="172"/>
      <c r="WI81" s="172"/>
      <c r="WJ81" s="172"/>
      <c r="WK81" s="172"/>
      <c r="WL81" s="172"/>
      <c r="WM81" s="172"/>
      <c r="WN81" s="172"/>
      <c r="WO81" s="172"/>
      <c r="WP81" s="172"/>
      <c r="WQ81" s="172"/>
      <c r="WR81" s="172"/>
      <c r="WS81" s="172"/>
      <c r="WT81" s="172"/>
      <c r="WU81" s="172"/>
      <c r="WV81" s="172"/>
      <c r="WW81" s="172"/>
      <c r="WX81" s="172"/>
      <c r="WY81" s="172"/>
      <c r="WZ81" s="172"/>
      <c r="XA81" s="172"/>
      <c r="XB81" s="172"/>
      <c r="XC81" s="172"/>
      <c r="XD81" s="172"/>
      <c r="XE81" s="172"/>
      <c r="XF81" s="172"/>
      <c r="XG81" s="172"/>
      <c r="XH81" s="172"/>
      <c r="XI81" s="172"/>
      <c r="XJ81" s="172"/>
      <c r="XK81" s="172"/>
      <c r="XL81" s="172"/>
      <c r="XM81" s="172"/>
      <c r="XN81" s="172"/>
      <c r="XO81" s="172"/>
      <c r="XP81" s="172"/>
      <c r="XQ81" s="172"/>
      <c r="XR81" s="172"/>
      <c r="XS81" s="172"/>
      <c r="XT81" s="172"/>
      <c r="XU81" s="172"/>
      <c r="XV81" s="172"/>
      <c r="XW81" s="172"/>
      <c r="XX81" s="172"/>
      <c r="XY81" s="172"/>
      <c r="XZ81" s="172"/>
      <c r="YA81" s="172"/>
      <c r="YB81" s="172"/>
      <c r="YC81" s="172"/>
      <c r="YD81" s="172"/>
      <c r="YE81" s="172"/>
      <c r="YF81" s="172"/>
      <c r="YG81" s="172"/>
      <c r="YH81" s="172"/>
      <c r="YI81" s="172"/>
      <c r="YJ81" s="172"/>
      <c r="YK81" s="172"/>
      <c r="YL81" s="172"/>
      <c r="YM81" s="172"/>
      <c r="YN81" s="172"/>
      <c r="YO81" s="172"/>
      <c r="YP81" s="172"/>
      <c r="YQ81" s="172"/>
      <c r="YR81" s="172"/>
      <c r="YS81" s="172"/>
      <c r="YT81" s="172"/>
      <c r="YU81" s="172"/>
      <c r="YV81" s="172"/>
      <c r="YW81" s="172"/>
      <c r="YX81" s="172"/>
      <c r="YY81" s="172"/>
      <c r="YZ81" s="172"/>
      <c r="ZA81" s="172"/>
      <c r="ZB81" s="172"/>
      <c r="ZC81" s="172"/>
      <c r="ZD81" s="172"/>
      <c r="ZE81" s="172"/>
      <c r="ZF81" s="172"/>
      <c r="ZG81" s="172"/>
      <c r="ZH81" s="172"/>
      <c r="ZI81" s="172"/>
      <c r="ZJ81" s="172"/>
      <c r="ZK81" s="172"/>
      <c r="ZL81" s="172"/>
      <c r="ZM81" s="172"/>
      <c r="ZN81" s="172"/>
      <c r="ZO81" s="172"/>
      <c r="ZP81" s="172"/>
      <c r="ZQ81" s="172"/>
      <c r="ZR81" s="172"/>
      <c r="ZS81" s="172"/>
      <c r="ZT81" s="172"/>
      <c r="ZU81" s="172"/>
      <c r="ZV81" s="172"/>
      <c r="ZW81" s="172"/>
      <c r="ZX81" s="172"/>
      <c r="ZY81" s="172"/>
      <c r="ZZ81" s="172"/>
      <c r="AAA81" s="172"/>
      <c r="AAB81" s="172"/>
      <c r="AAC81" s="172"/>
      <c r="AAD81" s="172"/>
      <c r="AAE81" s="172"/>
      <c r="AAF81" s="172"/>
      <c r="AAG81" s="172"/>
      <c r="AAH81" s="172"/>
      <c r="AAI81" s="172"/>
      <c r="AAJ81" s="172"/>
      <c r="AAK81" s="172"/>
      <c r="AAL81" s="172"/>
      <c r="AAM81" s="172"/>
      <c r="AAN81" s="172"/>
      <c r="AAO81" s="172"/>
      <c r="AAP81" s="172"/>
      <c r="AAQ81" s="172"/>
      <c r="AAR81" s="172"/>
      <c r="AAS81" s="172"/>
      <c r="AAT81" s="172"/>
      <c r="AAU81" s="172"/>
      <c r="AAV81" s="172"/>
      <c r="AAW81" s="172"/>
      <c r="AAX81" s="172"/>
      <c r="AAY81" s="172"/>
      <c r="AAZ81" s="172"/>
      <c r="ABA81" s="172"/>
      <c r="ABB81" s="172"/>
      <c r="ABC81" s="172"/>
      <c r="ABD81" s="172"/>
      <c r="ABE81" s="172"/>
      <c r="ABF81" s="172"/>
      <c r="ABG81" s="172"/>
      <c r="ABH81" s="172"/>
      <c r="ABI81" s="172"/>
      <c r="ABJ81" s="172"/>
      <c r="ABK81" s="172"/>
      <c r="ABL81" s="172"/>
      <c r="ABM81" s="172"/>
      <c r="ABN81" s="172"/>
      <c r="ABO81" s="172"/>
      <c r="ABP81" s="172"/>
      <c r="ABQ81" s="172"/>
      <c r="ABR81" s="172"/>
      <c r="ABS81" s="172"/>
      <c r="ABT81" s="172"/>
      <c r="ABU81" s="172"/>
      <c r="ABV81" s="172"/>
      <c r="ABW81" s="172"/>
      <c r="ABX81" s="172"/>
      <c r="ABY81" s="172"/>
      <c r="ABZ81" s="172"/>
      <c r="ACA81" s="172"/>
      <c r="ACB81" s="172"/>
      <c r="ACC81" s="172"/>
      <c r="ACD81" s="172"/>
      <c r="ACE81" s="172"/>
      <c r="ACF81" s="172"/>
      <c r="ACG81" s="172"/>
      <c r="ACH81" s="172"/>
      <c r="ACI81" s="172"/>
      <c r="ACJ81" s="172"/>
      <c r="ACK81" s="172"/>
      <c r="ACL81" s="172"/>
      <c r="ACM81" s="172"/>
      <c r="ACN81" s="172"/>
      <c r="ACO81" s="172"/>
      <c r="ACP81" s="172"/>
      <c r="ACQ81" s="172"/>
      <c r="ACR81" s="172"/>
      <c r="ACS81" s="172"/>
      <c r="ACT81" s="172"/>
      <c r="ACU81" s="172"/>
      <c r="ACV81" s="172"/>
      <c r="ACW81" s="172"/>
      <c r="ACX81" s="172"/>
      <c r="ACY81" s="172"/>
      <c r="ACZ81" s="172"/>
      <c r="ADA81" s="172"/>
      <c r="ADB81" s="172"/>
      <c r="ADC81" s="172"/>
      <c r="ADD81" s="172"/>
      <c r="ADE81" s="172"/>
      <c r="ADF81" s="172"/>
      <c r="ADG81" s="172"/>
      <c r="ADH81" s="172"/>
      <c r="ADI81" s="172"/>
      <c r="ADJ81" s="172"/>
      <c r="ADK81" s="172"/>
      <c r="ADL81" s="172"/>
      <c r="ADM81" s="172"/>
      <c r="ADN81" s="172"/>
      <c r="ADO81" s="172"/>
      <c r="ADP81" s="172"/>
      <c r="ADQ81" s="172"/>
      <c r="ADR81" s="172"/>
      <c r="ADS81" s="172"/>
      <c r="ADT81" s="172"/>
      <c r="ADU81" s="172"/>
      <c r="ADV81" s="172"/>
      <c r="ADW81" s="172"/>
      <c r="ADX81" s="172"/>
      <c r="ADY81" s="172"/>
      <c r="ADZ81" s="172"/>
      <c r="AEA81" s="172"/>
      <c r="AEB81" s="172"/>
      <c r="AEC81" s="172"/>
      <c r="AED81" s="172"/>
      <c r="AEE81" s="172"/>
      <c r="AEF81" s="172"/>
      <c r="AEG81" s="172"/>
      <c r="AEH81" s="172"/>
      <c r="AEI81" s="172"/>
      <c r="AEJ81" s="172"/>
      <c r="AEK81" s="172"/>
      <c r="AEL81" s="172"/>
      <c r="AEM81" s="172"/>
      <c r="AEN81" s="172"/>
      <c r="AEO81" s="172"/>
      <c r="AEP81" s="172"/>
      <c r="AEQ81" s="172"/>
      <c r="AER81" s="172"/>
      <c r="AES81" s="172"/>
      <c r="AET81" s="172"/>
      <c r="AEU81" s="172"/>
      <c r="AEV81" s="172"/>
      <c r="AEW81" s="172"/>
      <c r="AEX81" s="172"/>
      <c r="AEY81" s="172"/>
      <c r="AEZ81" s="172"/>
      <c r="AFA81" s="172"/>
      <c r="AFB81" s="172"/>
      <c r="AFC81" s="172"/>
      <c r="AFD81" s="172"/>
      <c r="AFE81" s="172"/>
      <c r="AFF81" s="172"/>
      <c r="AFG81" s="172"/>
      <c r="AFH81" s="172"/>
      <c r="AFI81" s="172"/>
      <c r="AFJ81" s="172"/>
      <c r="AFK81" s="172"/>
      <c r="AFL81" s="172"/>
      <c r="AFM81" s="172"/>
      <c r="AFN81" s="172"/>
      <c r="AFO81" s="172"/>
      <c r="AFP81" s="172"/>
      <c r="AFQ81" s="172"/>
      <c r="AFR81" s="172"/>
      <c r="AFS81" s="172"/>
      <c r="AFT81" s="172"/>
      <c r="AFU81" s="172"/>
      <c r="AFV81" s="172"/>
      <c r="AFW81" s="172"/>
      <c r="AFX81" s="172"/>
      <c r="AFY81" s="172"/>
      <c r="AFZ81" s="172"/>
      <c r="AGA81" s="172"/>
      <c r="AGB81" s="172"/>
      <c r="AGC81" s="172"/>
      <c r="AGD81" s="172"/>
      <c r="AGE81" s="172"/>
      <c r="AGF81" s="172"/>
      <c r="AGG81" s="172"/>
      <c r="AGH81" s="172"/>
      <c r="AGI81" s="172"/>
      <c r="AGJ81" s="172"/>
      <c r="AGK81" s="172"/>
      <c r="AGL81" s="172"/>
      <c r="AGM81" s="172"/>
      <c r="AGN81" s="172"/>
      <c r="AGO81" s="172"/>
      <c r="AGP81" s="172"/>
      <c r="AGQ81" s="172"/>
      <c r="AGR81" s="172"/>
      <c r="AGS81" s="172"/>
      <c r="AGT81" s="172"/>
      <c r="AGU81" s="172"/>
      <c r="AGV81" s="172"/>
      <c r="AGW81" s="172"/>
      <c r="AGX81" s="172"/>
      <c r="AGY81" s="172"/>
      <c r="AGZ81" s="172"/>
      <c r="AHA81" s="172"/>
      <c r="AHB81" s="172"/>
      <c r="AHC81" s="172"/>
      <c r="AHD81" s="172"/>
      <c r="AHE81" s="172"/>
      <c r="AHF81" s="172"/>
      <c r="AHG81" s="172"/>
      <c r="AHH81" s="172"/>
      <c r="AHI81" s="172"/>
      <c r="AHJ81" s="172"/>
      <c r="AHK81" s="172"/>
      <c r="AHL81" s="172"/>
      <c r="AHM81" s="172"/>
      <c r="AHN81" s="172"/>
      <c r="AHO81" s="172"/>
      <c r="AHP81" s="172"/>
      <c r="AHQ81" s="172"/>
      <c r="AHR81" s="172"/>
      <c r="AHS81" s="172"/>
      <c r="AHT81" s="172"/>
      <c r="AHU81" s="172"/>
      <c r="AHV81" s="172"/>
      <c r="AHW81" s="172"/>
      <c r="AHX81" s="172"/>
      <c r="AHY81" s="172"/>
      <c r="AHZ81" s="172"/>
      <c r="AIA81" s="172"/>
      <c r="AIB81" s="172"/>
      <c r="AIC81" s="172"/>
      <c r="AID81" s="172"/>
      <c r="AIE81" s="172"/>
      <c r="AIF81" s="172"/>
      <c r="AIG81" s="172"/>
      <c r="AIH81" s="172"/>
      <c r="AII81" s="172"/>
      <c r="AIJ81" s="172"/>
      <c r="AIK81" s="172"/>
      <c r="AIL81" s="172"/>
      <c r="AIM81" s="172"/>
      <c r="AIN81" s="172"/>
      <c r="AIO81" s="172"/>
      <c r="AIP81" s="172"/>
      <c r="AIQ81" s="172"/>
      <c r="AIR81" s="172"/>
      <c r="AIS81" s="172"/>
      <c r="AIT81" s="172"/>
      <c r="AIU81" s="172"/>
      <c r="AIV81" s="172"/>
      <c r="AIW81" s="172"/>
      <c r="AIX81" s="172"/>
      <c r="AIY81" s="172"/>
      <c r="AIZ81" s="172"/>
      <c r="AJA81" s="172"/>
      <c r="AJB81" s="172"/>
      <c r="AJC81" s="172"/>
      <c r="AJD81" s="172"/>
      <c r="AJE81" s="172"/>
      <c r="AJF81" s="172"/>
      <c r="AJG81" s="172"/>
      <c r="AJH81" s="172"/>
      <c r="AJI81" s="172"/>
      <c r="AJJ81" s="172"/>
      <c r="AJK81" s="172"/>
      <c r="AJL81" s="172"/>
      <c r="AJM81" s="172"/>
      <c r="AJN81" s="172"/>
      <c r="AJO81" s="172"/>
      <c r="AJP81" s="172"/>
      <c r="AJQ81" s="172"/>
      <c r="AJR81" s="172"/>
      <c r="AJS81" s="172"/>
      <c r="AJT81" s="172"/>
      <c r="AJU81" s="172"/>
      <c r="AJV81" s="172"/>
      <c r="AJW81" s="172"/>
      <c r="AJX81" s="172"/>
      <c r="AJY81" s="172"/>
      <c r="AJZ81" s="172"/>
      <c r="AKA81" s="172"/>
      <c r="AKB81" s="172"/>
      <c r="AKC81" s="172"/>
      <c r="AKD81" s="172"/>
      <c r="AKE81" s="172"/>
      <c r="AKF81" s="172"/>
      <c r="AKG81" s="172"/>
      <c r="AKH81" s="172"/>
      <c r="AKI81" s="172"/>
      <c r="AKJ81" s="172"/>
      <c r="AKK81" s="172"/>
      <c r="AKL81" s="172"/>
      <c r="AKM81" s="172"/>
      <c r="AKN81" s="172"/>
      <c r="AKO81" s="172"/>
      <c r="AKP81" s="172"/>
      <c r="AKQ81" s="172"/>
      <c r="AKR81" s="172"/>
      <c r="AKS81" s="172"/>
      <c r="AKT81" s="172"/>
      <c r="AKU81" s="172"/>
      <c r="AKV81" s="172"/>
      <c r="AKW81" s="172"/>
      <c r="AKX81" s="172"/>
      <c r="AKY81" s="172"/>
      <c r="AKZ81" s="172"/>
      <c r="ALA81" s="172"/>
      <c r="ALB81" s="172"/>
      <c r="ALC81" s="172"/>
      <c r="ALD81" s="172"/>
      <c r="ALE81" s="172"/>
      <c r="ALF81" s="172"/>
      <c r="ALG81" s="172"/>
      <c r="ALH81" s="172"/>
      <c r="ALI81" s="172"/>
      <c r="ALJ81" s="172"/>
      <c r="ALK81" s="172"/>
      <c r="ALL81" s="172"/>
      <c r="ALM81" s="172"/>
      <c r="ALN81" s="172"/>
      <c r="ALO81" s="172"/>
      <c r="ALP81" s="172"/>
      <c r="ALQ81" s="172"/>
      <c r="ALR81" s="172"/>
      <c r="ALS81" s="172"/>
      <c r="ALT81" s="172"/>
      <c r="ALU81" s="172"/>
      <c r="ALV81" s="172"/>
      <c r="ALW81" s="172"/>
      <c r="ALX81" s="172"/>
      <c r="ALY81" s="172"/>
      <c r="ALZ81" s="172"/>
      <c r="AMA81" s="172"/>
      <c r="AMB81" s="172"/>
      <c r="AMC81" s="172"/>
      <c r="AMD81" s="172"/>
      <c r="AME81" s="158"/>
    </row>
    <row r="82" spans="1:1019" s="176" customFormat="1" ht="15" customHeight="1">
      <c r="A82" s="168">
        <f t="shared" si="2"/>
        <v>75</v>
      </c>
      <c r="B82" s="175">
        <v>1872</v>
      </c>
      <c r="C82" s="168" t="s">
        <v>262</v>
      </c>
      <c r="D82" s="169">
        <f>'הנדסה '!D49</f>
        <v>1160000</v>
      </c>
      <c r="E82" s="169">
        <f>'הנדסה '!E49</f>
        <v>1160000</v>
      </c>
      <c r="F82" s="169">
        <f>'הנדסה '!F49</f>
        <v>0</v>
      </c>
      <c r="G82" s="169">
        <f>'הנדסה '!G49</f>
        <v>1160000</v>
      </c>
      <c r="H82" s="169">
        <f>'הנדסה '!H49</f>
        <v>0</v>
      </c>
      <c r="I82" s="169">
        <f>'הנדסה '!I49</f>
        <v>0</v>
      </c>
      <c r="J82" s="169">
        <f>'הנדסה '!J49</f>
        <v>464921.15</v>
      </c>
      <c r="K82" s="169">
        <f>'הנדסה '!K49</f>
        <v>464921.15</v>
      </c>
      <c r="L82" s="169">
        <f>'הנדסה '!L49</f>
        <v>464921.15</v>
      </c>
      <c r="M82" s="169">
        <f>'הנדסה '!M49</f>
        <v>165078.84999999998</v>
      </c>
      <c r="N82" s="169">
        <f>'הנדסה '!N49</f>
        <v>530000</v>
      </c>
      <c r="O82" s="169">
        <f>'הנדסה '!O49</f>
        <v>0</v>
      </c>
      <c r="P82" s="169">
        <f>'הנדסה '!P49</f>
        <v>695078.85</v>
      </c>
      <c r="Q82" s="169">
        <f>'הנדסה '!Q49</f>
        <v>0</v>
      </c>
      <c r="R82" s="169">
        <f>'הנדסה '!R49</f>
        <v>0</v>
      </c>
      <c r="S82" s="169">
        <f>'הנדסה '!S49</f>
        <v>0</v>
      </c>
      <c r="T82" s="169">
        <f>'הנדסה '!T49</f>
        <v>530000</v>
      </c>
      <c r="U82" s="169">
        <f>'הנדסה '!U49</f>
        <v>0</v>
      </c>
      <c r="V82" s="169">
        <f>'הנדסה '!V49</f>
        <v>0</v>
      </c>
      <c r="W82" s="169">
        <f>'הנדסה '!W49</f>
        <v>0</v>
      </c>
      <c r="X82" s="169">
        <f>'הנדסה '!X49</f>
        <v>0</v>
      </c>
      <c r="Y82" s="169">
        <f>'הנדסה '!Y49</f>
        <v>0</v>
      </c>
      <c r="Z82" s="169">
        <f>'הנדסה '!Z49</f>
        <v>0</v>
      </c>
      <c r="AA82" s="659">
        <f>'הנדסה '!AA49</f>
        <v>742000</v>
      </c>
      <c r="AB82" s="157"/>
      <c r="AC82" s="157"/>
      <c r="AD82" s="157"/>
      <c r="AE82" s="157"/>
      <c r="AME82" s="158"/>
    </row>
    <row r="83" spans="1:1019" s="172" customFormat="1" ht="15" customHeight="1">
      <c r="A83" s="168">
        <f t="shared" si="2"/>
        <v>76</v>
      </c>
      <c r="B83" s="175">
        <v>1882</v>
      </c>
      <c r="C83" s="168" t="s">
        <v>923</v>
      </c>
      <c r="D83" s="169">
        <f>'הנדסה '!D50</f>
        <v>14300000</v>
      </c>
      <c r="E83" s="169">
        <f>'הנדסה '!E50</f>
        <v>14300000</v>
      </c>
      <c r="F83" s="169">
        <f>'הנדסה '!F50</f>
        <v>0</v>
      </c>
      <c r="G83" s="169">
        <f>'הנדסה '!G50</f>
        <v>200000</v>
      </c>
      <c r="H83" s="169">
        <f>'הנדסה '!H50</f>
        <v>0</v>
      </c>
      <c r="I83" s="169">
        <f>'הנדסה '!I50</f>
        <v>0</v>
      </c>
      <c r="J83" s="169">
        <f>'הנדסה '!J50</f>
        <v>0</v>
      </c>
      <c r="K83" s="169">
        <f>'הנדסה '!K50</f>
        <v>0</v>
      </c>
      <c r="L83" s="169">
        <f>'הנדסה '!L50</f>
        <v>0</v>
      </c>
      <c r="M83" s="169">
        <f>'הנדסה '!M50</f>
        <v>200000</v>
      </c>
      <c r="N83" s="169">
        <f>'הנדסה '!N50</f>
        <v>750000</v>
      </c>
      <c r="O83" s="169">
        <f>'הנדסה '!O50</f>
        <v>13350000</v>
      </c>
      <c r="P83" s="169">
        <f>'הנדסה '!P50</f>
        <v>200000</v>
      </c>
      <c r="Q83" s="169">
        <f>'הנדסה '!Q50</f>
        <v>0</v>
      </c>
      <c r="R83" s="169">
        <f>'הנדסה '!R50</f>
        <v>0</v>
      </c>
      <c r="S83" s="169">
        <f>'הנדסה '!S50</f>
        <v>0</v>
      </c>
      <c r="T83" s="169">
        <f>'הנדסה '!T50</f>
        <v>0</v>
      </c>
      <c r="U83" s="169">
        <f>'הנדסה '!U50</f>
        <v>750000</v>
      </c>
      <c r="V83" s="169">
        <f>'הנדסה '!V50</f>
        <v>750000</v>
      </c>
      <c r="W83" s="169">
        <f>'הנדסה '!W50</f>
        <v>0</v>
      </c>
      <c r="X83" s="169">
        <f>'הנדסה '!X50</f>
        <v>0</v>
      </c>
      <c r="Y83" s="169">
        <f>'הנדסה '!Y50</f>
        <v>0</v>
      </c>
      <c r="Z83" s="169">
        <f>'הנדסה '!Z50</f>
        <v>0</v>
      </c>
      <c r="AA83" s="659">
        <f>'הנדסה '!AA50</f>
        <v>742000</v>
      </c>
      <c r="AB83" s="157"/>
      <c r="AC83" s="157"/>
      <c r="AD83" s="157"/>
      <c r="AE83" s="157"/>
      <c r="AF83" s="176"/>
      <c r="AG83" s="176"/>
      <c r="AH83" s="176"/>
      <c r="AI83" s="178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160"/>
      <c r="FV83" s="160"/>
      <c r="FW83" s="160"/>
      <c r="FX83" s="160"/>
      <c r="FY83" s="160"/>
      <c r="FZ83" s="160"/>
      <c r="GA83" s="160"/>
      <c r="GB83" s="160"/>
      <c r="GC83" s="160"/>
      <c r="GD83" s="160"/>
      <c r="GE83" s="160"/>
      <c r="GF83" s="160"/>
      <c r="GG83" s="160"/>
      <c r="GH83" s="160"/>
      <c r="GI83" s="160"/>
      <c r="GJ83" s="160"/>
      <c r="GK83" s="160"/>
      <c r="GL83" s="160"/>
      <c r="GM83" s="160"/>
      <c r="GN83" s="160"/>
      <c r="GO83" s="160"/>
      <c r="GP83" s="160"/>
      <c r="GQ83" s="160"/>
      <c r="GR83" s="160"/>
      <c r="GS83" s="160"/>
      <c r="GT83" s="160"/>
      <c r="GU83" s="160"/>
      <c r="GV83" s="160"/>
      <c r="GW83" s="160"/>
      <c r="GX83" s="160"/>
      <c r="GY83" s="160"/>
      <c r="GZ83" s="160"/>
      <c r="HA83" s="160"/>
      <c r="HB83" s="160"/>
      <c r="HC83" s="160"/>
      <c r="HD83" s="160"/>
      <c r="HE83" s="160"/>
      <c r="HF83" s="160"/>
      <c r="HG83" s="160"/>
      <c r="HH83" s="160"/>
      <c r="HI83" s="160"/>
      <c r="HJ83" s="160"/>
      <c r="HK83" s="160"/>
      <c r="HL83" s="160"/>
      <c r="HM83" s="160"/>
      <c r="HN83" s="160"/>
      <c r="HO83" s="160"/>
      <c r="HP83" s="160"/>
      <c r="HQ83" s="160"/>
      <c r="HR83" s="160"/>
      <c r="HS83" s="160"/>
      <c r="HT83" s="160"/>
      <c r="HU83" s="160"/>
      <c r="HV83" s="160"/>
      <c r="HW83" s="160"/>
      <c r="HX83" s="160"/>
      <c r="HY83" s="160"/>
      <c r="HZ83" s="160"/>
      <c r="IA83" s="160"/>
      <c r="IB83" s="160"/>
      <c r="IC83" s="160"/>
      <c r="ID83" s="160"/>
      <c r="IE83" s="160"/>
      <c r="IF83" s="160"/>
      <c r="IG83" s="160"/>
      <c r="IH83" s="160"/>
      <c r="II83" s="160"/>
      <c r="IJ83" s="160"/>
      <c r="IK83" s="160"/>
      <c r="IL83" s="160"/>
      <c r="IM83" s="160"/>
      <c r="IN83" s="160"/>
      <c r="IO83" s="160"/>
      <c r="IP83" s="160"/>
      <c r="IQ83" s="160"/>
      <c r="IR83" s="160"/>
      <c r="IS83" s="160"/>
      <c r="IT83" s="160"/>
      <c r="IU83" s="160"/>
      <c r="IV83" s="160"/>
      <c r="IW83" s="160"/>
      <c r="IX83" s="160"/>
      <c r="IY83" s="160"/>
      <c r="IZ83" s="160"/>
      <c r="JA83" s="160"/>
      <c r="JB83" s="160"/>
      <c r="JC83" s="160"/>
      <c r="JD83" s="160"/>
      <c r="JE83" s="160"/>
      <c r="JF83" s="160"/>
      <c r="JG83" s="160"/>
      <c r="JH83" s="160"/>
      <c r="JI83" s="160"/>
      <c r="JJ83" s="160"/>
      <c r="JK83" s="160"/>
      <c r="JL83" s="160"/>
      <c r="JM83" s="160"/>
      <c r="JN83" s="160"/>
      <c r="JO83" s="160"/>
      <c r="JP83" s="160"/>
      <c r="JQ83" s="160"/>
      <c r="JR83" s="160"/>
      <c r="JS83" s="160"/>
      <c r="JT83" s="160"/>
      <c r="JU83" s="160"/>
      <c r="JV83" s="160"/>
      <c r="JW83" s="160"/>
      <c r="JX83" s="160"/>
      <c r="JY83" s="160"/>
      <c r="JZ83" s="160"/>
      <c r="KA83" s="160"/>
      <c r="KB83" s="160"/>
      <c r="KC83" s="160"/>
      <c r="KD83" s="160"/>
      <c r="KE83" s="160"/>
      <c r="KF83" s="160"/>
      <c r="KG83" s="160"/>
      <c r="KH83" s="160"/>
      <c r="KI83" s="160"/>
      <c r="KJ83" s="160"/>
      <c r="KK83" s="160"/>
      <c r="KL83" s="160"/>
      <c r="KM83" s="160"/>
      <c r="KN83" s="160"/>
      <c r="KO83" s="160"/>
      <c r="KP83" s="160"/>
      <c r="KQ83" s="160"/>
      <c r="KR83" s="160"/>
      <c r="KS83" s="160"/>
      <c r="KT83" s="160"/>
      <c r="KU83" s="160"/>
      <c r="KV83" s="160"/>
      <c r="KW83" s="160"/>
      <c r="KX83" s="160"/>
      <c r="KY83" s="160"/>
      <c r="KZ83" s="160"/>
      <c r="LA83" s="160"/>
      <c r="LB83" s="160"/>
      <c r="LC83" s="160"/>
      <c r="LD83" s="160"/>
      <c r="LE83" s="160"/>
      <c r="LF83" s="160"/>
      <c r="LG83" s="160"/>
      <c r="LH83" s="160"/>
      <c r="LI83" s="160"/>
      <c r="LJ83" s="160"/>
      <c r="LK83" s="160"/>
      <c r="LL83" s="160"/>
      <c r="LM83" s="160"/>
      <c r="LN83" s="160"/>
      <c r="LO83" s="160"/>
      <c r="LP83" s="160"/>
      <c r="LQ83" s="160"/>
      <c r="LR83" s="160"/>
      <c r="LS83" s="160"/>
      <c r="LT83" s="160"/>
      <c r="LU83" s="160"/>
      <c r="LV83" s="160"/>
      <c r="LW83" s="160"/>
      <c r="LX83" s="160"/>
      <c r="LY83" s="160"/>
      <c r="LZ83" s="160"/>
      <c r="MA83" s="160"/>
      <c r="MB83" s="160"/>
      <c r="MC83" s="160"/>
      <c r="MD83" s="160"/>
      <c r="ME83" s="160"/>
      <c r="MF83" s="160"/>
      <c r="MG83" s="160"/>
      <c r="MH83" s="160"/>
      <c r="MI83" s="160"/>
      <c r="MJ83" s="160"/>
      <c r="MK83" s="160"/>
      <c r="ML83" s="160"/>
      <c r="MM83" s="160"/>
      <c r="MN83" s="160"/>
      <c r="MO83" s="160"/>
      <c r="MP83" s="160"/>
      <c r="MQ83" s="160"/>
      <c r="MR83" s="160"/>
      <c r="MS83" s="160"/>
      <c r="MT83" s="160"/>
      <c r="MU83" s="160"/>
      <c r="MV83" s="160"/>
      <c r="MW83" s="160"/>
      <c r="MX83" s="160"/>
      <c r="MY83" s="160"/>
      <c r="MZ83" s="160"/>
      <c r="NA83" s="160"/>
      <c r="NB83" s="160"/>
      <c r="NC83" s="160"/>
      <c r="ND83" s="160"/>
      <c r="NE83" s="160"/>
      <c r="NF83" s="160"/>
      <c r="NG83" s="160"/>
      <c r="NH83" s="160"/>
      <c r="NI83" s="160"/>
      <c r="NJ83" s="160"/>
      <c r="NK83" s="160"/>
      <c r="NL83" s="160"/>
      <c r="NM83" s="160"/>
      <c r="NN83" s="160"/>
      <c r="NO83" s="160"/>
      <c r="NP83" s="160"/>
      <c r="NQ83" s="160"/>
      <c r="NR83" s="160"/>
      <c r="NS83" s="160"/>
      <c r="NT83" s="160"/>
      <c r="NU83" s="160"/>
      <c r="NV83" s="160"/>
      <c r="NW83" s="160"/>
      <c r="NX83" s="160"/>
      <c r="NY83" s="160"/>
      <c r="NZ83" s="160"/>
      <c r="OA83" s="160"/>
      <c r="OB83" s="160"/>
      <c r="OC83" s="160"/>
      <c r="OD83" s="160"/>
      <c r="OE83" s="160"/>
      <c r="OF83" s="160"/>
      <c r="OG83" s="160"/>
      <c r="OH83" s="160"/>
      <c r="OI83" s="160"/>
      <c r="OJ83" s="160"/>
      <c r="OK83" s="160"/>
      <c r="OL83" s="160"/>
      <c r="OM83" s="160"/>
      <c r="ON83" s="160"/>
      <c r="OO83" s="160"/>
      <c r="OP83" s="160"/>
      <c r="OQ83" s="160"/>
      <c r="OR83" s="160"/>
      <c r="OS83" s="160"/>
      <c r="OT83" s="160"/>
      <c r="OU83" s="160"/>
      <c r="OV83" s="160"/>
      <c r="OW83" s="160"/>
      <c r="OX83" s="160"/>
      <c r="OY83" s="160"/>
      <c r="OZ83" s="160"/>
      <c r="PA83" s="160"/>
      <c r="PB83" s="160"/>
      <c r="PC83" s="160"/>
      <c r="PD83" s="160"/>
      <c r="PE83" s="160"/>
      <c r="PF83" s="160"/>
      <c r="PG83" s="160"/>
      <c r="PH83" s="160"/>
      <c r="PI83" s="160"/>
      <c r="PJ83" s="160"/>
      <c r="PK83" s="160"/>
      <c r="PL83" s="160"/>
      <c r="PM83" s="160"/>
      <c r="PN83" s="160"/>
      <c r="PO83" s="160"/>
      <c r="PP83" s="160"/>
      <c r="PQ83" s="160"/>
      <c r="PR83" s="160"/>
      <c r="PS83" s="160"/>
      <c r="PT83" s="160"/>
      <c r="PU83" s="160"/>
      <c r="PV83" s="160"/>
      <c r="PW83" s="160"/>
      <c r="PX83" s="160"/>
      <c r="PY83" s="160"/>
      <c r="PZ83" s="160"/>
      <c r="QA83" s="160"/>
      <c r="QB83" s="160"/>
      <c r="QC83" s="160"/>
      <c r="QD83" s="160"/>
      <c r="QE83" s="160"/>
      <c r="QF83" s="160"/>
      <c r="QG83" s="160"/>
      <c r="QH83" s="160"/>
      <c r="QI83" s="160"/>
      <c r="QJ83" s="160"/>
      <c r="QK83" s="160"/>
      <c r="QL83" s="160"/>
      <c r="QM83" s="160"/>
      <c r="QN83" s="160"/>
      <c r="QO83" s="160"/>
      <c r="QP83" s="160"/>
      <c r="QQ83" s="160"/>
      <c r="QR83" s="160"/>
      <c r="QS83" s="160"/>
      <c r="QT83" s="160"/>
      <c r="QU83" s="160"/>
      <c r="QV83" s="160"/>
      <c r="QW83" s="160"/>
      <c r="QX83" s="160"/>
      <c r="QY83" s="160"/>
      <c r="QZ83" s="160"/>
      <c r="RA83" s="160"/>
      <c r="RB83" s="160"/>
      <c r="RC83" s="160"/>
      <c r="RD83" s="160"/>
      <c r="RE83" s="160"/>
      <c r="RF83" s="160"/>
      <c r="RG83" s="160"/>
      <c r="RH83" s="160"/>
      <c r="RI83" s="160"/>
      <c r="RJ83" s="160"/>
      <c r="RK83" s="160"/>
      <c r="RL83" s="160"/>
      <c r="RM83" s="160"/>
      <c r="RN83" s="160"/>
      <c r="RO83" s="160"/>
      <c r="RP83" s="160"/>
      <c r="RQ83" s="160"/>
      <c r="RR83" s="160"/>
      <c r="RS83" s="160"/>
      <c r="RT83" s="160"/>
      <c r="RU83" s="160"/>
      <c r="RV83" s="160"/>
      <c r="RW83" s="160"/>
      <c r="RX83" s="160"/>
      <c r="RY83" s="160"/>
      <c r="RZ83" s="160"/>
      <c r="SA83" s="160"/>
      <c r="SB83" s="160"/>
      <c r="SC83" s="160"/>
      <c r="SD83" s="160"/>
      <c r="SE83" s="160"/>
      <c r="SF83" s="160"/>
      <c r="SG83" s="160"/>
      <c r="SH83" s="160"/>
      <c r="SI83" s="160"/>
      <c r="SJ83" s="160"/>
      <c r="SK83" s="160"/>
      <c r="SL83" s="160"/>
      <c r="SM83" s="160"/>
      <c r="SN83" s="160"/>
      <c r="SO83" s="160"/>
      <c r="SP83" s="160"/>
      <c r="SQ83" s="160"/>
      <c r="SR83" s="160"/>
      <c r="SS83" s="160"/>
      <c r="ST83" s="160"/>
      <c r="SU83" s="160"/>
      <c r="SV83" s="160"/>
      <c r="SW83" s="160"/>
      <c r="SX83" s="160"/>
      <c r="SY83" s="160"/>
      <c r="SZ83" s="160"/>
      <c r="TA83" s="160"/>
      <c r="TB83" s="160"/>
      <c r="TC83" s="160"/>
      <c r="TD83" s="160"/>
      <c r="TE83" s="160"/>
      <c r="TF83" s="160"/>
      <c r="TG83" s="160"/>
      <c r="TH83" s="160"/>
      <c r="TI83" s="160"/>
      <c r="TJ83" s="160"/>
      <c r="TK83" s="160"/>
      <c r="TL83" s="160"/>
      <c r="TM83" s="160"/>
      <c r="TN83" s="160"/>
      <c r="TO83" s="160"/>
      <c r="TP83" s="160"/>
      <c r="TQ83" s="160"/>
      <c r="TR83" s="160"/>
      <c r="TS83" s="160"/>
      <c r="TT83" s="160"/>
      <c r="TU83" s="160"/>
      <c r="TV83" s="160"/>
      <c r="TW83" s="160"/>
      <c r="TX83" s="160"/>
      <c r="TY83" s="160"/>
      <c r="TZ83" s="160"/>
      <c r="UA83" s="160"/>
      <c r="UB83" s="160"/>
      <c r="UC83" s="160"/>
      <c r="UD83" s="160"/>
      <c r="UE83" s="160"/>
      <c r="UF83" s="160"/>
      <c r="UG83" s="160"/>
      <c r="UH83" s="160"/>
      <c r="UI83" s="160"/>
      <c r="UJ83" s="160"/>
      <c r="UK83" s="160"/>
      <c r="UL83" s="160"/>
      <c r="UM83" s="160"/>
      <c r="UN83" s="160"/>
      <c r="UO83" s="160"/>
      <c r="UP83" s="160"/>
      <c r="UQ83" s="160"/>
      <c r="UR83" s="160"/>
      <c r="US83" s="160"/>
      <c r="UT83" s="160"/>
      <c r="UU83" s="160"/>
      <c r="UV83" s="160"/>
      <c r="UW83" s="160"/>
      <c r="UX83" s="160"/>
      <c r="UY83" s="160"/>
      <c r="UZ83" s="160"/>
      <c r="VA83" s="160"/>
      <c r="VB83" s="160"/>
      <c r="VC83" s="160"/>
      <c r="VD83" s="160"/>
      <c r="VE83" s="160"/>
      <c r="VF83" s="160"/>
      <c r="VG83" s="160"/>
      <c r="VH83" s="160"/>
      <c r="VI83" s="160"/>
      <c r="VJ83" s="160"/>
      <c r="VK83" s="160"/>
      <c r="VL83" s="160"/>
      <c r="VM83" s="160"/>
      <c r="VN83" s="160"/>
      <c r="VO83" s="160"/>
      <c r="VP83" s="160"/>
      <c r="VQ83" s="160"/>
      <c r="VR83" s="160"/>
      <c r="VS83" s="160"/>
      <c r="VT83" s="160"/>
      <c r="VU83" s="160"/>
      <c r="VV83" s="160"/>
      <c r="VW83" s="160"/>
      <c r="VX83" s="160"/>
      <c r="VY83" s="160"/>
      <c r="VZ83" s="160"/>
      <c r="WA83" s="160"/>
      <c r="WB83" s="160"/>
      <c r="WC83" s="160"/>
      <c r="WD83" s="160"/>
      <c r="WE83" s="160"/>
      <c r="WF83" s="160"/>
      <c r="WG83" s="160"/>
      <c r="WH83" s="160"/>
      <c r="WI83" s="160"/>
      <c r="WJ83" s="160"/>
      <c r="WK83" s="160"/>
      <c r="WL83" s="160"/>
      <c r="WM83" s="160"/>
      <c r="WN83" s="160"/>
      <c r="WO83" s="160"/>
      <c r="WP83" s="160"/>
      <c r="WQ83" s="160"/>
      <c r="WR83" s="160"/>
      <c r="WS83" s="160"/>
      <c r="WT83" s="160"/>
      <c r="WU83" s="160"/>
      <c r="WV83" s="160"/>
      <c r="WW83" s="160"/>
      <c r="WX83" s="160"/>
      <c r="WY83" s="160"/>
      <c r="WZ83" s="160"/>
      <c r="XA83" s="160"/>
      <c r="XB83" s="160"/>
      <c r="XC83" s="160"/>
      <c r="XD83" s="160"/>
      <c r="XE83" s="160"/>
      <c r="XF83" s="160"/>
      <c r="XG83" s="160"/>
      <c r="XH83" s="160"/>
      <c r="XI83" s="160"/>
      <c r="XJ83" s="160"/>
      <c r="XK83" s="160"/>
      <c r="XL83" s="160"/>
      <c r="XM83" s="160"/>
      <c r="XN83" s="160"/>
      <c r="XO83" s="160"/>
      <c r="XP83" s="160"/>
      <c r="XQ83" s="160"/>
      <c r="XR83" s="160"/>
      <c r="XS83" s="160"/>
      <c r="XT83" s="160"/>
      <c r="XU83" s="160"/>
      <c r="XV83" s="160"/>
      <c r="XW83" s="160"/>
      <c r="XX83" s="160"/>
      <c r="XY83" s="160"/>
      <c r="XZ83" s="160"/>
      <c r="YA83" s="160"/>
      <c r="YB83" s="160"/>
      <c r="YC83" s="160"/>
      <c r="YD83" s="160"/>
      <c r="YE83" s="160"/>
      <c r="YF83" s="160"/>
      <c r="YG83" s="160"/>
      <c r="YH83" s="160"/>
      <c r="YI83" s="160"/>
      <c r="YJ83" s="160"/>
      <c r="YK83" s="160"/>
      <c r="YL83" s="160"/>
      <c r="YM83" s="160"/>
      <c r="YN83" s="160"/>
      <c r="YO83" s="160"/>
      <c r="YP83" s="160"/>
      <c r="YQ83" s="160"/>
      <c r="YR83" s="160"/>
      <c r="YS83" s="160"/>
      <c r="YT83" s="160"/>
      <c r="YU83" s="160"/>
      <c r="YV83" s="160"/>
      <c r="YW83" s="160"/>
      <c r="YX83" s="160"/>
      <c r="YY83" s="160"/>
      <c r="YZ83" s="160"/>
      <c r="ZA83" s="160"/>
      <c r="ZB83" s="160"/>
      <c r="ZC83" s="160"/>
      <c r="ZD83" s="160"/>
      <c r="ZE83" s="160"/>
      <c r="ZF83" s="160"/>
      <c r="ZG83" s="160"/>
      <c r="ZH83" s="160"/>
      <c r="ZI83" s="160"/>
      <c r="ZJ83" s="160"/>
      <c r="ZK83" s="160"/>
      <c r="ZL83" s="160"/>
      <c r="ZM83" s="160"/>
      <c r="ZN83" s="160"/>
      <c r="ZO83" s="160"/>
      <c r="ZP83" s="160"/>
      <c r="ZQ83" s="160"/>
      <c r="ZR83" s="160"/>
      <c r="ZS83" s="160"/>
      <c r="ZT83" s="160"/>
      <c r="ZU83" s="160"/>
      <c r="ZV83" s="160"/>
      <c r="ZW83" s="160"/>
      <c r="ZX83" s="160"/>
      <c r="ZY83" s="160"/>
      <c r="ZZ83" s="160"/>
      <c r="AAA83" s="160"/>
      <c r="AAB83" s="160"/>
      <c r="AAC83" s="160"/>
      <c r="AAD83" s="160"/>
      <c r="AAE83" s="160"/>
      <c r="AAF83" s="160"/>
      <c r="AAG83" s="160"/>
      <c r="AAH83" s="160"/>
      <c r="AAI83" s="160"/>
      <c r="AAJ83" s="160"/>
      <c r="AAK83" s="160"/>
      <c r="AAL83" s="160"/>
      <c r="AAM83" s="160"/>
      <c r="AAN83" s="160"/>
      <c r="AAO83" s="160"/>
      <c r="AAP83" s="160"/>
      <c r="AAQ83" s="160"/>
      <c r="AAR83" s="160"/>
      <c r="AAS83" s="160"/>
      <c r="AAT83" s="160"/>
      <c r="AAU83" s="160"/>
      <c r="AAV83" s="160"/>
      <c r="AAW83" s="160"/>
      <c r="AAX83" s="160"/>
      <c r="AAY83" s="160"/>
      <c r="AAZ83" s="160"/>
      <c r="ABA83" s="160"/>
      <c r="ABB83" s="160"/>
      <c r="ABC83" s="160"/>
      <c r="ABD83" s="160"/>
      <c r="ABE83" s="160"/>
      <c r="ABF83" s="160"/>
      <c r="ABG83" s="160"/>
      <c r="ABH83" s="160"/>
      <c r="ABI83" s="160"/>
      <c r="ABJ83" s="160"/>
      <c r="ABK83" s="160"/>
      <c r="ABL83" s="160"/>
      <c r="ABM83" s="160"/>
      <c r="ABN83" s="160"/>
      <c r="ABO83" s="160"/>
      <c r="ABP83" s="160"/>
      <c r="ABQ83" s="160"/>
      <c r="ABR83" s="160"/>
      <c r="ABS83" s="160"/>
      <c r="ABT83" s="160"/>
      <c r="ABU83" s="160"/>
      <c r="ABV83" s="160"/>
      <c r="ABW83" s="160"/>
      <c r="ABX83" s="160"/>
      <c r="ABY83" s="160"/>
      <c r="ABZ83" s="160"/>
      <c r="ACA83" s="160"/>
      <c r="ACB83" s="160"/>
      <c r="ACC83" s="160"/>
      <c r="ACD83" s="160"/>
      <c r="ACE83" s="160"/>
      <c r="ACF83" s="160"/>
      <c r="ACG83" s="160"/>
      <c r="ACH83" s="160"/>
      <c r="ACI83" s="160"/>
      <c r="ACJ83" s="160"/>
      <c r="ACK83" s="160"/>
      <c r="ACL83" s="160"/>
      <c r="ACM83" s="160"/>
      <c r="ACN83" s="160"/>
      <c r="ACO83" s="160"/>
      <c r="ACP83" s="160"/>
      <c r="ACQ83" s="160"/>
      <c r="ACR83" s="160"/>
      <c r="ACS83" s="160"/>
      <c r="ACT83" s="160"/>
      <c r="ACU83" s="160"/>
      <c r="ACV83" s="160"/>
      <c r="ACW83" s="160"/>
      <c r="ACX83" s="160"/>
      <c r="ACY83" s="160"/>
      <c r="ACZ83" s="160"/>
      <c r="ADA83" s="160"/>
      <c r="ADB83" s="160"/>
      <c r="ADC83" s="160"/>
      <c r="ADD83" s="160"/>
      <c r="ADE83" s="160"/>
      <c r="ADF83" s="160"/>
      <c r="ADG83" s="160"/>
      <c r="ADH83" s="160"/>
      <c r="ADI83" s="160"/>
      <c r="ADJ83" s="160"/>
      <c r="ADK83" s="160"/>
      <c r="ADL83" s="160"/>
      <c r="ADM83" s="160"/>
      <c r="ADN83" s="160"/>
      <c r="ADO83" s="160"/>
      <c r="ADP83" s="160"/>
      <c r="ADQ83" s="160"/>
      <c r="ADR83" s="160"/>
      <c r="ADS83" s="160"/>
      <c r="ADT83" s="160"/>
      <c r="ADU83" s="160"/>
      <c r="ADV83" s="160"/>
      <c r="ADW83" s="160"/>
      <c r="ADX83" s="160"/>
      <c r="ADY83" s="160"/>
      <c r="ADZ83" s="160"/>
      <c r="AEA83" s="160"/>
      <c r="AEB83" s="160"/>
      <c r="AEC83" s="160"/>
      <c r="AED83" s="160"/>
      <c r="AEE83" s="160"/>
      <c r="AEF83" s="160"/>
      <c r="AEG83" s="160"/>
      <c r="AEH83" s="160"/>
      <c r="AEI83" s="160"/>
      <c r="AEJ83" s="160"/>
      <c r="AEK83" s="160"/>
      <c r="AEL83" s="160"/>
      <c r="AEM83" s="160"/>
      <c r="AEN83" s="160"/>
      <c r="AEO83" s="160"/>
      <c r="AEP83" s="160"/>
      <c r="AEQ83" s="160"/>
      <c r="AER83" s="160"/>
      <c r="AES83" s="160"/>
      <c r="AET83" s="160"/>
      <c r="AEU83" s="160"/>
      <c r="AEV83" s="160"/>
      <c r="AEW83" s="160"/>
      <c r="AEX83" s="160"/>
      <c r="AEY83" s="160"/>
      <c r="AEZ83" s="160"/>
      <c r="AFA83" s="160"/>
      <c r="AFB83" s="160"/>
      <c r="AFC83" s="160"/>
      <c r="AFD83" s="160"/>
      <c r="AFE83" s="160"/>
      <c r="AFF83" s="160"/>
      <c r="AFG83" s="160"/>
      <c r="AFH83" s="160"/>
      <c r="AFI83" s="160"/>
      <c r="AFJ83" s="160"/>
      <c r="AFK83" s="160"/>
      <c r="AFL83" s="160"/>
      <c r="AFM83" s="160"/>
      <c r="AFN83" s="160"/>
      <c r="AFO83" s="160"/>
      <c r="AFP83" s="160"/>
      <c r="AFQ83" s="160"/>
      <c r="AFR83" s="160"/>
      <c r="AFS83" s="160"/>
      <c r="AFT83" s="160"/>
      <c r="AFU83" s="160"/>
      <c r="AFV83" s="160"/>
      <c r="AFW83" s="160"/>
      <c r="AFX83" s="160"/>
      <c r="AFY83" s="160"/>
      <c r="AFZ83" s="160"/>
      <c r="AGA83" s="160"/>
      <c r="AGB83" s="160"/>
      <c r="AGC83" s="160"/>
      <c r="AGD83" s="160"/>
      <c r="AGE83" s="160"/>
      <c r="AGF83" s="160"/>
      <c r="AGG83" s="160"/>
      <c r="AGH83" s="160"/>
      <c r="AGI83" s="160"/>
      <c r="AGJ83" s="160"/>
      <c r="AGK83" s="160"/>
      <c r="AGL83" s="160"/>
      <c r="AGM83" s="160"/>
      <c r="AGN83" s="160"/>
      <c r="AGO83" s="160"/>
      <c r="AGP83" s="160"/>
      <c r="AGQ83" s="160"/>
      <c r="AGR83" s="160"/>
      <c r="AGS83" s="160"/>
      <c r="AGT83" s="160"/>
      <c r="AGU83" s="160"/>
      <c r="AGV83" s="160"/>
      <c r="AGW83" s="160"/>
      <c r="AGX83" s="160"/>
      <c r="AGY83" s="160"/>
      <c r="AGZ83" s="160"/>
      <c r="AHA83" s="160"/>
      <c r="AHB83" s="160"/>
      <c r="AHC83" s="160"/>
      <c r="AHD83" s="160"/>
      <c r="AHE83" s="160"/>
      <c r="AHF83" s="160"/>
      <c r="AHG83" s="160"/>
      <c r="AHH83" s="160"/>
      <c r="AHI83" s="160"/>
      <c r="AHJ83" s="160"/>
      <c r="AHK83" s="160"/>
      <c r="AHL83" s="160"/>
      <c r="AHM83" s="160"/>
      <c r="AHN83" s="160"/>
      <c r="AHO83" s="160"/>
      <c r="AHP83" s="160"/>
      <c r="AHQ83" s="160"/>
      <c r="AHR83" s="160"/>
      <c r="AHS83" s="160"/>
      <c r="AHT83" s="160"/>
      <c r="AHU83" s="160"/>
      <c r="AHV83" s="160"/>
      <c r="AHW83" s="160"/>
      <c r="AHX83" s="160"/>
      <c r="AHY83" s="160"/>
      <c r="AHZ83" s="160"/>
      <c r="AIA83" s="160"/>
      <c r="AIB83" s="160"/>
      <c r="AIC83" s="160"/>
      <c r="AID83" s="160"/>
      <c r="AIE83" s="160"/>
      <c r="AIF83" s="160"/>
      <c r="AIG83" s="160"/>
      <c r="AIH83" s="160"/>
      <c r="AII83" s="160"/>
      <c r="AIJ83" s="160"/>
      <c r="AIK83" s="160"/>
      <c r="AIL83" s="160"/>
      <c r="AIM83" s="160"/>
      <c r="AIN83" s="160"/>
      <c r="AIO83" s="160"/>
      <c r="AIP83" s="160"/>
      <c r="AIQ83" s="160"/>
      <c r="AIR83" s="160"/>
      <c r="AIS83" s="160"/>
      <c r="AIT83" s="160"/>
      <c r="AIU83" s="160"/>
      <c r="AIV83" s="160"/>
      <c r="AIW83" s="160"/>
      <c r="AIX83" s="160"/>
      <c r="AIY83" s="160"/>
      <c r="AIZ83" s="160"/>
      <c r="AJA83" s="160"/>
      <c r="AJB83" s="160"/>
      <c r="AJC83" s="160"/>
      <c r="AJD83" s="160"/>
      <c r="AJE83" s="160"/>
      <c r="AJF83" s="160"/>
      <c r="AJG83" s="160"/>
      <c r="AJH83" s="160"/>
      <c r="AJI83" s="160"/>
      <c r="AJJ83" s="160"/>
      <c r="AJK83" s="160"/>
      <c r="AJL83" s="160"/>
      <c r="AJM83" s="160"/>
      <c r="AJN83" s="160"/>
      <c r="AJO83" s="160"/>
      <c r="AJP83" s="160"/>
      <c r="AJQ83" s="160"/>
      <c r="AJR83" s="160"/>
      <c r="AJS83" s="160"/>
      <c r="AJT83" s="160"/>
      <c r="AJU83" s="160"/>
      <c r="AJV83" s="160"/>
      <c r="AJW83" s="160"/>
      <c r="AJX83" s="160"/>
      <c r="AJY83" s="160"/>
      <c r="AJZ83" s="160"/>
      <c r="AKA83" s="160"/>
      <c r="AKB83" s="160"/>
      <c r="AKC83" s="160"/>
      <c r="AKD83" s="160"/>
      <c r="AKE83" s="160"/>
      <c r="AKF83" s="160"/>
      <c r="AKG83" s="160"/>
      <c r="AKH83" s="160"/>
      <c r="AKI83" s="160"/>
      <c r="AKJ83" s="160"/>
      <c r="AKK83" s="160"/>
      <c r="AKL83" s="160"/>
      <c r="AKM83" s="160"/>
      <c r="AKN83" s="160"/>
      <c r="AKO83" s="160"/>
      <c r="AKP83" s="160"/>
      <c r="AKQ83" s="160"/>
      <c r="AKR83" s="160"/>
      <c r="AKS83" s="160"/>
      <c r="AKT83" s="160"/>
      <c r="AKU83" s="160"/>
      <c r="AKV83" s="160"/>
      <c r="AKW83" s="160"/>
      <c r="AKX83" s="160"/>
      <c r="AKY83" s="160"/>
      <c r="AKZ83" s="160"/>
      <c r="ALA83" s="160"/>
      <c r="ALB83" s="160"/>
      <c r="ALC83" s="160"/>
      <c r="ALD83" s="160"/>
      <c r="ALE83" s="160"/>
      <c r="ALF83" s="160"/>
      <c r="ALG83" s="160"/>
      <c r="ALH83" s="160"/>
      <c r="ALI83" s="160"/>
      <c r="ALJ83" s="160"/>
      <c r="ALK83" s="160"/>
      <c r="ALL83" s="160"/>
      <c r="ALM83" s="160"/>
      <c r="ALN83" s="160"/>
      <c r="ALO83" s="160"/>
      <c r="ALP83" s="160"/>
      <c r="ALQ83" s="160"/>
      <c r="ALR83" s="160"/>
      <c r="ALS83" s="160"/>
      <c r="ALT83" s="160"/>
      <c r="ALU83" s="160"/>
      <c r="ALV83" s="160"/>
      <c r="ALW83" s="160"/>
      <c r="ALX83" s="160"/>
      <c r="ALY83" s="160"/>
      <c r="ALZ83" s="160"/>
      <c r="AMA83" s="160"/>
      <c r="AMB83" s="160"/>
      <c r="AMC83" s="160"/>
      <c r="AMD83" s="160"/>
      <c r="AME83" s="158"/>
    </row>
    <row r="84" spans="1:1019" s="172" customFormat="1" ht="15" customHeight="1">
      <c r="A84" s="168">
        <f t="shared" si="2"/>
        <v>77</v>
      </c>
      <c r="B84" s="175">
        <v>1943</v>
      </c>
      <c r="C84" s="168" t="s">
        <v>405</v>
      </c>
      <c r="D84" s="169">
        <f>'הנדסה '!D51</f>
        <v>6000000</v>
      </c>
      <c r="E84" s="169">
        <f>'הנדסה '!E51</f>
        <v>5000000</v>
      </c>
      <c r="F84" s="169">
        <f>'הנדסה '!F51</f>
        <v>1000000</v>
      </c>
      <c r="G84" s="169">
        <f>'הנדסה '!G51</f>
        <v>5000000</v>
      </c>
      <c r="H84" s="169">
        <f>'הנדסה '!H51</f>
        <v>232617.1</v>
      </c>
      <c r="I84" s="169">
        <f>'הנדסה '!I51</f>
        <v>904842.99</v>
      </c>
      <c r="J84" s="169">
        <f>'הנדסה '!J51</f>
        <v>2904609.27</v>
      </c>
      <c r="K84" s="169">
        <f>'הנדסה '!K51</f>
        <v>3809452.26</v>
      </c>
      <c r="L84" s="169">
        <f>'הנדסה '!L51</f>
        <v>4042069.36</v>
      </c>
      <c r="M84" s="169">
        <f>'הנדסה '!M51</f>
        <v>957930.64000000013</v>
      </c>
      <c r="N84" s="169">
        <f>'הנדסה '!N51</f>
        <v>500000</v>
      </c>
      <c r="O84" s="169">
        <f>'הנדסה '!O51</f>
        <v>500000</v>
      </c>
      <c r="P84" s="169">
        <f>'הנדסה '!P51</f>
        <v>957930.64000000013</v>
      </c>
      <c r="Q84" s="169">
        <f>'הנדסה '!Q51</f>
        <v>0</v>
      </c>
      <c r="R84" s="169">
        <f>'הנדסה '!R51</f>
        <v>0</v>
      </c>
      <c r="S84" s="169">
        <f>'הנדסה '!S51</f>
        <v>0</v>
      </c>
      <c r="T84" s="169">
        <f>'הנדסה '!T51</f>
        <v>0</v>
      </c>
      <c r="U84" s="169">
        <f>'הנדסה '!U51</f>
        <v>500000</v>
      </c>
      <c r="V84" s="169">
        <f>'הנדסה '!V51</f>
        <v>500000</v>
      </c>
      <c r="W84" s="169">
        <f>'הנדסה '!W51</f>
        <v>0</v>
      </c>
      <c r="X84" s="169">
        <f>'הנדסה '!X51</f>
        <v>0</v>
      </c>
      <c r="Y84" s="169">
        <f>'הנדסה '!Y51</f>
        <v>0</v>
      </c>
      <c r="Z84" s="169">
        <f>'הנדסה '!Z51</f>
        <v>0</v>
      </c>
      <c r="AA84" s="659">
        <f>'הנדסה '!AA51</f>
        <v>744000</v>
      </c>
      <c r="AB84" s="157"/>
      <c r="AC84" s="157"/>
      <c r="AD84" s="157"/>
      <c r="AE84" s="157"/>
      <c r="AI84" s="157"/>
      <c r="AME84" s="158"/>
    </row>
    <row r="85" spans="1:1019" s="174" customFormat="1" ht="15" customHeight="1">
      <c r="A85" s="168">
        <f t="shared" si="2"/>
        <v>78</v>
      </c>
      <c r="B85" s="184">
        <v>2007</v>
      </c>
      <c r="C85" s="168" t="s">
        <v>916</v>
      </c>
      <c r="D85" s="169">
        <f>'הנדסה '!D52</f>
        <v>3000000</v>
      </c>
      <c r="E85" s="169">
        <f>'הנדסה '!E52</f>
        <v>0</v>
      </c>
      <c r="F85" s="169">
        <f>'הנדסה '!F52</f>
        <v>3000000</v>
      </c>
      <c r="G85" s="169">
        <f>'הנדסה '!G52</f>
        <v>0</v>
      </c>
      <c r="H85" s="169">
        <f>'הנדסה '!H52</f>
        <v>0</v>
      </c>
      <c r="I85" s="169">
        <f>'הנדסה '!I52</f>
        <v>0</v>
      </c>
      <c r="J85" s="169">
        <f>'הנדסה '!J52</f>
        <v>0</v>
      </c>
      <c r="K85" s="169">
        <f>'הנדסה '!K52</f>
        <v>0</v>
      </c>
      <c r="L85" s="169">
        <f>'הנדסה '!L52</f>
        <v>0</v>
      </c>
      <c r="M85" s="169">
        <f>'הנדסה '!M52</f>
        <v>0</v>
      </c>
      <c r="N85" s="169">
        <f>'הנדסה '!N52</f>
        <v>500000</v>
      </c>
      <c r="O85" s="169">
        <f>'הנדסה '!O52</f>
        <v>2500000</v>
      </c>
      <c r="P85" s="169">
        <f>'הנדסה '!P52</f>
        <v>0</v>
      </c>
      <c r="Q85" s="169">
        <f>'הנדסה '!Q52</f>
        <v>0</v>
      </c>
      <c r="R85" s="169">
        <f>'הנדסה '!R52</f>
        <v>0</v>
      </c>
      <c r="S85" s="169">
        <f>'הנדסה '!S52</f>
        <v>0</v>
      </c>
      <c r="T85" s="169">
        <f>'הנדסה '!T52</f>
        <v>0</v>
      </c>
      <c r="U85" s="169">
        <f>'הנדסה '!U52</f>
        <v>500000</v>
      </c>
      <c r="V85" s="169">
        <f>'הנדסה '!V52</f>
        <v>500000</v>
      </c>
      <c r="W85" s="169">
        <f>'הנדסה '!W52</f>
        <v>0</v>
      </c>
      <c r="X85" s="169">
        <f>'הנדסה '!X52</f>
        <v>0</v>
      </c>
      <c r="Y85" s="169">
        <f>'הנדסה '!Y52</f>
        <v>0</v>
      </c>
      <c r="Z85" s="169">
        <f>'הנדסה '!Z52</f>
        <v>0</v>
      </c>
      <c r="AA85" s="659">
        <f>'הנדסה '!AA52</f>
        <v>742000</v>
      </c>
      <c r="AB85" s="157"/>
      <c r="AC85" s="157"/>
      <c r="AD85" s="169"/>
      <c r="AE85" s="157"/>
      <c r="AF85" s="172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0"/>
      <c r="CO85" s="160"/>
      <c r="CP85" s="160"/>
      <c r="CQ85" s="160"/>
      <c r="CR85" s="160"/>
      <c r="CS85" s="160"/>
      <c r="CT85" s="160"/>
      <c r="CU85" s="160"/>
      <c r="CV85" s="160"/>
      <c r="CW85" s="160"/>
      <c r="CX85" s="160"/>
      <c r="CY85" s="160"/>
      <c r="CZ85" s="160"/>
      <c r="DA85" s="160"/>
      <c r="DB85" s="160"/>
      <c r="DC85" s="160"/>
      <c r="DD85" s="160"/>
      <c r="DE85" s="160"/>
      <c r="DF85" s="160"/>
      <c r="DG85" s="160"/>
      <c r="DH85" s="160"/>
      <c r="DI85" s="160"/>
      <c r="DJ85" s="160"/>
      <c r="DK85" s="160"/>
      <c r="DL85" s="160"/>
      <c r="DM85" s="160"/>
      <c r="DN85" s="160"/>
      <c r="DO85" s="160"/>
      <c r="DP85" s="160"/>
      <c r="DQ85" s="160"/>
      <c r="DR85" s="160"/>
      <c r="DS85" s="160"/>
      <c r="DT85" s="160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0"/>
      <c r="EU85" s="160"/>
      <c r="EV85" s="160"/>
      <c r="EW85" s="160"/>
      <c r="EX85" s="160"/>
      <c r="EY85" s="160"/>
      <c r="EZ85" s="160"/>
      <c r="FA85" s="160"/>
      <c r="FB85" s="160"/>
      <c r="FC85" s="160"/>
      <c r="FD85" s="160"/>
      <c r="FE85" s="160"/>
      <c r="FF85" s="160"/>
      <c r="FG85" s="160"/>
      <c r="FH85" s="160"/>
      <c r="FI85" s="160"/>
      <c r="FJ85" s="160"/>
      <c r="FK85" s="160"/>
      <c r="FL85" s="160"/>
      <c r="FM85" s="160"/>
      <c r="FN85" s="160"/>
      <c r="FO85" s="160"/>
      <c r="FP85" s="160"/>
      <c r="FQ85" s="160"/>
      <c r="FR85" s="160"/>
      <c r="FS85" s="160"/>
      <c r="FT85" s="160"/>
      <c r="FU85" s="160"/>
      <c r="FV85" s="160"/>
      <c r="FW85" s="160"/>
      <c r="FX85" s="160"/>
      <c r="FY85" s="160"/>
      <c r="FZ85" s="160"/>
      <c r="GA85" s="160"/>
      <c r="GB85" s="160"/>
      <c r="GC85" s="160"/>
      <c r="GD85" s="160"/>
      <c r="GE85" s="160"/>
      <c r="GF85" s="160"/>
      <c r="GG85" s="160"/>
      <c r="GH85" s="160"/>
      <c r="GI85" s="160"/>
      <c r="GJ85" s="160"/>
      <c r="GK85" s="160"/>
      <c r="GL85" s="160"/>
      <c r="GM85" s="160"/>
      <c r="GN85" s="160"/>
      <c r="GO85" s="160"/>
      <c r="GP85" s="160"/>
      <c r="GQ85" s="160"/>
      <c r="GR85" s="160"/>
      <c r="GS85" s="160"/>
      <c r="GT85" s="160"/>
      <c r="GU85" s="160"/>
      <c r="GV85" s="160"/>
      <c r="GW85" s="160"/>
      <c r="GX85" s="160"/>
      <c r="GY85" s="160"/>
      <c r="GZ85" s="160"/>
      <c r="HA85" s="160"/>
      <c r="HB85" s="160"/>
      <c r="HC85" s="160"/>
      <c r="HD85" s="160"/>
      <c r="HE85" s="160"/>
      <c r="HF85" s="160"/>
      <c r="HG85" s="160"/>
      <c r="HH85" s="160"/>
      <c r="HI85" s="160"/>
      <c r="HJ85" s="160"/>
      <c r="HK85" s="160"/>
      <c r="HL85" s="160"/>
      <c r="HM85" s="160"/>
      <c r="HN85" s="160"/>
      <c r="HO85" s="160"/>
      <c r="HP85" s="160"/>
      <c r="HQ85" s="160"/>
      <c r="HR85" s="160"/>
      <c r="HS85" s="160"/>
      <c r="HT85" s="160"/>
      <c r="HU85" s="160"/>
      <c r="HV85" s="160"/>
      <c r="HW85" s="160"/>
      <c r="HX85" s="160"/>
      <c r="HY85" s="160"/>
      <c r="HZ85" s="160"/>
      <c r="IA85" s="160"/>
      <c r="IB85" s="160"/>
      <c r="IC85" s="160"/>
      <c r="ID85" s="160"/>
      <c r="IE85" s="160"/>
      <c r="IF85" s="160"/>
      <c r="IG85" s="160"/>
      <c r="IH85" s="160"/>
      <c r="II85" s="160"/>
      <c r="IJ85" s="160"/>
      <c r="IK85" s="160"/>
      <c r="IL85" s="160"/>
      <c r="IM85" s="160"/>
      <c r="IN85" s="160"/>
      <c r="IO85" s="160"/>
      <c r="IP85" s="160"/>
      <c r="IQ85" s="160"/>
      <c r="IR85" s="160"/>
      <c r="IS85" s="160"/>
      <c r="IT85" s="160"/>
      <c r="IU85" s="160"/>
      <c r="IV85" s="160"/>
      <c r="IW85" s="160"/>
      <c r="IX85" s="160"/>
      <c r="IY85" s="160"/>
      <c r="IZ85" s="160"/>
      <c r="JA85" s="160"/>
      <c r="JB85" s="160"/>
      <c r="JC85" s="160"/>
      <c r="JD85" s="160"/>
      <c r="JE85" s="160"/>
      <c r="JF85" s="160"/>
      <c r="JG85" s="160"/>
      <c r="JH85" s="160"/>
      <c r="JI85" s="160"/>
      <c r="JJ85" s="160"/>
      <c r="JK85" s="160"/>
      <c r="JL85" s="160"/>
      <c r="JM85" s="160"/>
      <c r="JN85" s="160"/>
      <c r="JO85" s="160"/>
      <c r="JP85" s="160"/>
      <c r="JQ85" s="160"/>
      <c r="JR85" s="160"/>
      <c r="JS85" s="160"/>
      <c r="JT85" s="160"/>
      <c r="JU85" s="160"/>
      <c r="JV85" s="160"/>
      <c r="JW85" s="160"/>
      <c r="JX85" s="160"/>
      <c r="JY85" s="160"/>
      <c r="JZ85" s="160"/>
      <c r="KA85" s="160"/>
      <c r="KB85" s="160"/>
      <c r="KC85" s="160"/>
      <c r="KD85" s="160"/>
      <c r="KE85" s="160"/>
      <c r="KF85" s="160"/>
      <c r="KG85" s="160"/>
      <c r="KH85" s="160"/>
      <c r="KI85" s="160"/>
      <c r="KJ85" s="160"/>
      <c r="KK85" s="160"/>
      <c r="KL85" s="160"/>
      <c r="KM85" s="160"/>
      <c r="KN85" s="160"/>
      <c r="KO85" s="160"/>
      <c r="KP85" s="160"/>
      <c r="KQ85" s="160"/>
      <c r="KR85" s="160"/>
      <c r="KS85" s="160"/>
      <c r="KT85" s="160"/>
      <c r="KU85" s="160"/>
      <c r="KV85" s="160"/>
      <c r="KW85" s="160"/>
      <c r="KX85" s="160"/>
      <c r="KY85" s="160"/>
      <c r="KZ85" s="160"/>
      <c r="LA85" s="160"/>
      <c r="LB85" s="160"/>
      <c r="LC85" s="160"/>
      <c r="LD85" s="160"/>
      <c r="LE85" s="160"/>
      <c r="LF85" s="160"/>
      <c r="LG85" s="160"/>
      <c r="LH85" s="160"/>
      <c r="LI85" s="160"/>
      <c r="LJ85" s="160"/>
      <c r="LK85" s="160"/>
      <c r="LL85" s="160"/>
      <c r="LM85" s="160"/>
      <c r="LN85" s="160"/>
      <c r="LO85" s="160"/>
      <c r="LP85" s="160"/>
      <c r="LQ85" s="160"/>
      <c r="LR85" s="160"/>
      <c r="LS85" s="160"/>
      <c r="LT85" s="160"/>
      <c r="LU85" s="160"/>
      <c r="LV85" s="160"/>
      <c r="LW85" s="160"/>
      <c r="LX85" s="160"/>
      <c r="LY85" s="160"/>
      <c r="LZ85" s="160"/>
      <c r="MA85" s="160"/>
      <c r="MB85" s="160"/>
      <c r="MC85" s="160"/>
      <c r="MD85" s="160"/>
      <c r="ME85" s="160"/>
      <c r="MF85" s="160"/>
      <c r="MG85" s="160"/>
      <c r="MH85" s="160"/>
      <c r="MI85" s="160"/>
      <c r="MJ85" s="160"/>
      <c r="MK85" s="160"/>
      <c r="ML85" s="160"/>
      <c r="MM85" s="160"/>
      <c r="MN85" s="160"/>
      <c r="MO85" s="160"/>
      <c r="MP85" s="160"/>
      <c r="MQ85" s="160"/>
      <c r="MR85" s="160"/>
      <c r="MS85" s="160"/>
      <c r="MT85" s="160"/>
      <c r="MU85" s="160"/>
      <c r="MV85" s="160"/>
      <c r="MW85" s="160"/>
      <c r="MX85" s="160"/>
      <c r="MY85" s="160"/>
      <c r="MZ85" s="160"/>
      <c r="NA85" s="160"/>
      <c r="NB85" s="160"/>
      <c r="NC85" s="160"/>
      <c r="ND85" s="160"/>
      <c r="NE85" s="160"/>
      <c r="NF85" s="160"/>
      <c r="NG85" s="160"/>
      <c r="NH85" s="160"/>
      <c r="NI85" s="160"/>
      <c r="NJ85" s="160"/>
      <c r="NK85" s="160"/>
      <c r="NL85" s="160"/>
      <c r="NM85" s="160"/>
      <c r="NN85" s="160"/>
      <c r="NO85" s="160"/>
      <c r="NP85" s="160"/>
      <c r="NQ85" s="160"/>
      <c r="NR85" s="160"/>
      <c r="NS85" s="160"/>
      <c r="NT85" s="160"/>
      <c r="NU85" s="160"/>
      <c r="NV85" s="160"/>
      <c r="NW85" s="160"/>
      <c r="NX85" s="160"/>
      <c r="NY85" s="160"/>
      <c r="NZ85" s="160"/>
      <c r="OA85" s="160"/>
      <c r="OB85" s="160"/>
      <c r="OC85" s="160"/>
      <c r="OD85" s="160"/>
      <c r="OE85" s="160"/>
      <c r="OF85" s="160"/>
      <c r="OG85" s="160"/>
      <c r="OH85" s="160"/>
      <c r="OI85" s="160"/>
      <c r="OJ85" s="160"/>
      <c r="OK85" s="160"/>
      <c r="OL85" s="160"/>
      <c r="OM85" s="160"/>
      <c r="ON85" s="160"/>
      <c r="OO85" s="160"/>
      <c r="OP85" s="160"/>
      <c r="OQ85" s="160"/>
      <c r="OR85" s="160"/>
      <c r="OS85" s="160"/>
      <c r="OT85" s="160"/>
      <c r="OU85" s="160"/>
      <c r="OV85" s="160"/>
      <c r="OW85" s="160"/>
      <c r="OX85" s="160"/>
      <c r="OY85" s="160"/>
      <c r="OZ85" s="160"/>
      <c r="PA85" s="160"/>
      <c r="PB85" s="160"/>
      <c r="PC85" s="160"/>
      <c r="PD85" s="160"/>
      <c r="PE85" s="160"/>
      <c r="PF85" s="160"/>
      <c r="PG85" s="160"/>
      <c r="PH85" s="160"/>
      <c r="PI85" s="160"/>
      <c r="PJ85" s="160"/>
      <c r="PK85" s="160"/>
      <c r="PL85" s="160"/>
      <c r="PM85" s="160"/>
      <c r="PN85" s="160"/>
      <c r="PO85" s="160"/>
      <c r="PP85" s="160"/>
      <c r="PQ85" s="160"/>
      <c r="PR85" s="160"/>
      <c r="PS85" s="160"/>
      <c r="PT85" s="160"/>
      <c r="PU85" s="160"/>
      <c r="PV85" s="160"/>
      <c r="PW85" s="160"/>
      <c r="PX85" s="160"/>
      <c r="PY85" s="160"/>
      <c r="PZ85" s="160"/>
      <c r="QA85" s="160"/>
      <c r="QB85" s="160"/>
      <c r="QC85" s="160"/>
      <c r="QD85" s="160"/>
      <c r="QE85" s="160"/>
      <c r="QF85" s="160"/>
      <c r="QG85" s="160"/>
      <c r="QH85" s="160"/>
      <c r="QI85" s="160"/>
      <c r="QJ85" s="160"/>
      <c r="QK85" s="160"/>
      <c r="QL85" s="160"/>
      <c r="QM85" s="160"/>
      <c r="QN85" s="160"/>
      <c r="QO85" s="160"/>
      <c r="QP85" s="160"/>
      <c r="QQ85" s="160"/>
      <c r="QR85" s="160"/>
      <c r="QS85" s="160"/>
      <c r="QT85" s="160"/>
      <c r="QU85" s="160"/>
      <c r="QV85" s="160"/>
      <c r="QW85" s="160"/>
      <c r="QX85" s="160"/>
      <c r="QY85" s="160"/>
      <c r="QZ85" s="160"/>
      <c r="RA85" s="160"/>
      <c r="RB85" s="160"/>
      <c r="RC85" s="160"/>
      <c r="RD85" s="160"/>
      <c r="RE85" s="160"/>
      <c r="RF85" s="160"/>
      <c r="RG85" s="160"/>
      <c r="RH85" s="160"/>
      <c r="RI85" s="160"/>
      <c r="RJ85" s="160"/>
      <c r="RK85" s="160"/>
      <c r="RL85" s="160"/>
      <c r="RM85" s="160"/>
      <c r="RN85" s="160"/>
      <c r="RO85" s="160"/>
      <c r="RP85" s="160"/>
      <c r="RQ85" s="160"/>
      <c r="RR85" s="160"/>
      <c r="RS85" s="160"/>
      <c r="RT85" s="160"/>
      <c r="RU85" s="160"/>
      <c r="RV85" s="160"/>
      <c r="RW85" s="160"/>
      <c r="RX85" s="160"/>
      <c r="RY85" s="160"/>
      <c r="RZ85" s="160"/>
      <c r="SA85" s="160"/>
      <c r="SB85" s="160"/>
      <c r="SC85" s="160"/>
      <c r="SD85" s="160"/>
      <c r="SE85" s="160"/>
      <c r="SF85" s="160"/>
      <c r="SG85" s="160"/>
      <c r="SH85" s="160"/>
      <c r="SI85" s="160"/>
      <c r="SJ85" s="160"/>
      <c r="SK85" s="160"/>
      <c r="SL85" s="160"/>
      <c r="SM85" s="160"/>
      <c r="SN85" s="160"/>
      <c r="SO85" s="160"/>
      <c r="SP85" s="160"/>
      <c r="SQ85" s="160"/>
      <c r="SR85" s="160"/>
      <c r="SS85" s="160"/>
      <c r="ST85" s="160"/>
      <c r="SU85" s="160"/>
      <c r="SV85" s="160"/>
      <c r="SW85" s="160"/>
      <c r="SX85" s="160"/>
      <c r="SY85" s="160"/>
      <c r="SZ85" s="160"/>
      <c r="TA85" s="160"/>
      <c r="TB85" s="160"/>
      <c r="TC85" s="160"/>
      <c r="TD85" s="160"/>
      <c r="TE85" s="160"/>
      <c r="TF85" s="160"/>
      <c r="TG85" s="160"/>
      <c r="TH85" s="160"/>
      <c r="TI85" s="160"/>
      <c r="TJ85" s="160"/>
      <c r="TK85" s="160"/>
      <c r="TL85" s="160"/>
      <c r="TM85" s="160"/>
      <c r="TN85" s="160"/>
      <c r="TO85" s="160"/>
      <c r="TP85" s="160"/>
      <c r="TQ85" s="160"/>
      <c r="TR85" s="160"/>
      <c r="TS85" s="160"/>
      <c r="TT85" s="160"/>
      <c r="TU85" s="160"/>
      <c r="TV85" s="160"/>
      <c r="TW85" s="160"/>
      <c r="TX85" s="160"/>
      <c r="TY85" s="160"/>
      <c r="TZ85" s="160"/>
      <c r="UA85" s="160"/>
      <c r="UB85" s="160"/>
      <c r="UC85" s="160"/>
      <c r="UD85" s="160"/>
      <c r="UE85" s="160"/>
      <c r="UF85" s="160"/>
      <c r="UG85" s="160"/>
      <c r="UH85" s="160"/>
      <c r="UI85" s="160"/>
      <c r="UJ85" s="160"/>
      <c r="UK85" s="160"/>
      <c r="UL85" s="160"/>
      <c r="UM85" s="160"/>
      <c r="UN85" s="160"/>
      <c r="UO85" s="160"/>
      <c r="UP85" s="160"/>
      <c r="UQ85" s="160"/>
      <c r="UR85" s="160"/>
      <c r="US85" s="160"/>
      <c r="UT85" s="160"/>
      <c r="UU85" s="160"/>
      <c r="UV85" s="160"/>
      <c r="UW85" s="160"/>
      <c r="UX85" s="160"/>
      <c r="UY85" s="160"/>
      <c r="UZ85" s="160"/>
      <c r="VA85" s="160"/>
      <c r="VB85" s="160"/>
      <c r="VC85" s="160"/>
      <c r="VD85" s="160"/>
      <c r="VE85" s="160"/>
      <c r="VF85" s="160"/>
      <c r="VG85" s="160"/>
      <c r="VH85" s="160"/>
      <c r="VI85" s="160"/>
      <c r="VJ85" s="160"/>
      <c r="VK85" s="160"/>
      <c r="VL85" s="160"/>
      <c r="VM85" s="160"/>
      <c r="VN85" s="160"/>
      <c r="VO85" s="160"/>
      <c r="VP85" s="160"/>
      <c r="VQ85" s="160"/>
      <c r="VR85" s="160"/>
      <c r="VS85" s="160"/>
      <c r="VT85" s="160"/>
      <c r="VU85" s="160"/>
      <c r="VV85" s="160"/>
      <c r="VW85" s="160"/>
      <c r="VX85" s="160"/>
      <c r="VY85" s="160"/>
      <c r="VZ85" s="160"/>
      <c r="WA85" s="160"/>
      <c r="WB85" s="160"/>
      <c r="WC85" s="160"/>
      <c r="WD85" s="160"/>
      <c r="WE85" s="160"/>
      <c r="WF85" s="160"/>
      <c r="WG85" s="160"/>
      <c r="WH85" s="160"/>
      <c r="WI85" s="160"/>
      <c r="WJ85" s="160"/>
      <c r="WK85" s="160"/>
      <c r="WL85" s="160"/>
      <c r="WM85" s="160"/>
      <c r="WN85" s="160"/>
      <c r="WO85" s="160"/>
      <c r="WP85" s="160"/>
      <c r="WQ85" s="160"/>
      <c r="WR85" s="160"/>
      <c r="WS85" s="160"/>
      <c r="WT85" s="160"/>
      <c r="WU85" s="160"/>
      <c r="WV85" s="160"/>
      <c r="WW85" s="160"/>
      <c r="WX85" s="160"/>
      <c r="WY85" s="160"/>
      <c r="WZ85" s="160"/>
      <c r="XA85" s="160"/>
      <c r="XB85" s="160"/>
      <c r="XC85" s="160"/>
      <c r="XD85" s="160"/>
      <c r="XE85" s="160"/>
      <c r="XF85" s="160"/>
      <c r="XG85" s="160"/>
      <c r="XH85" s="160"/>
      <c r="XI85" s="160"/>
      <c r="XJ85" s="160"/>
      <c r="XK85" s="160"/>
      <c r="XL85" s="160"/>
      <c r="XM85" s="160"/>
      <c r="XN85" s="160"/>
      <c r="XO85" s="160"/>
      <c r="XP85" s="160"/>
      <c r="XQ85" s="160"/>
      <c r="XR85" s="160"/>
      <c r="XS85" s="160"/>
      <c r="XT85" s="160"/>
      <c r="XU85" s="160"/>
      <c r="XV85" s="160"/>
      <c r="XW85" s="160"/>
      <c r="XX85" s="160"/>
      <c r="XY85" s="160"/>
      <c r="XZ85" s="160"/>
      <c r="YA85" s="160"/>
      <c r="YB85" s="160"/>
      <c r="YC85" s="160"/>
      <c r="YD85" s="160"/>
      <c r="YE85" s="160"/>
      <c r="YF85" s="160"/>
      <c r="YG85" s="160"/>
      <c r="YH85" s="160"/>
      <c r="YI85" s="160"/>
      <c r="YJ85" s="160"/>
      <c r="YK85" s="160"/>
      <c r="YL85" s="160"/>
      <c r="YM85" s="160"/>
      <c r="YN85" s="160"/>
      <c r="YO85" s="160"/>
      <c r="YP85" s="160"/>
      <c r="YQ85" s="160"/>
      <c r="YR85" s="160"/>
      <c r="YS85" s="160"/>
      <c r="YT85" s="160"/>
      <c r="YU85" s="160"/>
      <c r="YV85" s="160"/>
      <c r="YW85" s="160"/>
      <c r="YX85" s="160"/>
      <c r="YY85" s="160"/>
      <c r="YZ85" s="160"/>
      <c r="ZA85" s="160"/>
      <c r="ZB85" s="160"/>
      <c r="ZC85" s="160"/>
      <c r="ZD85" s="160"/>
      <c r="ZE85" s="160"/>
      <c r="ZF85" s="160"/>
      <c r="ZG85" s="160"/>
      <c r="ZH85" s="160"/>
      <c r="ZI85" s="160"/>
      <c r="ZJ85" s="160"/>
      <c r="ZK85" s="160"/>
      <c r="ZL85" s="160"/>
      <c r="ZM85" s="160"/>
      <c r="ZN85" s="160"/>
      <c r="ZO85" s="160"/>
      <c r="ZP85" s="160"/>
      <c r="ZQ85" s="160"/>
      <c r="ZR85" s="160"/>
      <c r="ZS85" s="160"/>
      <c r="ZT85" s="160"/>
      <c r="ZU85" s="160"/>
      <c r="ZV85" s="160"/>
      <c r="ZW85" s="160"/>
      <c r="ZX85" s="160"/>
      <c r="ZY85" s="160"/>
      <c r="ZZ85" s="160"/>
      <c r="AAA85" s="160"/>
      <c r="AAB85" s="160"/>
      <c r="AAC85" s="160"/>
      <c r="AAD85" s="160"/>
      <c r="AAE85" s="160"/>
      <c r="AAF85" s="160"/>
      <c r="AAG85" s="160"/>
      <c r="AAH85" s="160"/>
      <c r="AAI85" s="160"/>
      <c r="AAJ85" s="160"/>
      <c r="AAK85" s="160"/>
      <c r="AAL85" s="160"/>
      <c r="AAM85" s="160"/>
      <c r="AAN85" s="160"/>
      <c r="AAO85" s="160"/>
      <c r="AAP85" s="160"/>
      <c r="AAQ85" s="160"/>
      <c r="AAR85" s="160"/>
      <c r="AAS85" s="160"/>
      <c r="AAT85" s="160"/>
      <c r="AAU85" s="160"/>
      <c r="AAV85" s="160"/>
      <c r="AAW85" s="160"/>
      <c r="AAX85" s="160"/>
      <c r="AAY85" s="160"/>
      <c r="AAZ85" s="160"/>
      <c r="ABA85" s="160"/>
      <c r="ABB85" s="160"/>
      <c r="ABC85" s="160"/>
      <c r="ABD85" s="160"/>
      <c r="ABE85" s="160"/>
      <c r="ABF85" s="160"/>
      <c r="ABG85" s="160"/>
      <c r="ABH85" s="160"/>
      <c r="ABI85" s="160"/>
      <c r="ABJ85" s="160"/>
      <c r="ABK85" s="160"/>
      <c r="ABL85" s="160"/>
      <c r="ABM85" s="160"/>
      <c r="ABN85" s="160"/>
      <c r="ABO85" s="160"/>
      <c r="ABP85" s="160"/>
      <c r="ABQ85" s="160"/>
      <c r="ABR85" s="160"/>
      <c r="ABS85" s="160"/>
      <c r="ABT85" s="160"/>
      <c r="ABU85" s="160"/>
      <c r="ABV85" s="160"/>
      <c r="ABW85" s="160"/>
      <c r="ABX85" s="160"/>
      <c r="ABY85" s="160"/>
      <c r="ABZ85" s="160"/>
      <c r="ACA85" s="160"/>
      <c r="ACB85" s="160"/>
      <c r="ACC85" s="160"/>
      <c r="ACD85" s="160"/>
      <c r="ACE85" s="160"/>
      <c r="ACF85" s="160"/>
      <c r="ACG85" s="160"/>
      <c r="ACH85" s="160"/>
      <c r="ACI85" s="160"/>
      <c r="ACJ85" s="160"/>
      <c r="ACK85" s="160"/>
      <c r="ACL85" s="160"/>
      <c r="ACM85" s="160"/>
      <c r="ACN85" s="160"/>
      <c r="ACO85" s="160"/>
      <c r="ACP85" s="160"/>
      <c r="ACQ85" s="160"/>
      <c r="ACR85" s="160"/>
      <c r="ACS85" s="160"/>
      <c r="ACT85" s="160"/>
      <c r="ACU85" s="160"/>
      <c r="ACV85" s="160"/>
      <c r="ACW85" s="160"/>
      <c r="ACX85" s="160"/>
      <c r="ACY85" s="160"/>
      <c r="ACZ85" s="160"/>
      <c r="ADA85" s="160"/>
      <c r="ADB85" s="160"/>
      <c r="ADC85" s="160"/>
      <c r="ADD85" s="160"/>
      <c r="ADE85" s="160"/>
      <c r="ADF85" s="160"/>
      <c r="ADG85" s="160"/>
      <c r="ADH85" s="160"/>
      <c r="ADI85" s="160"/>
      <c r="ADJ85" s="160"/>
      <c r="ADK85" s="160"/>
      <c r="ADL85" s="160"/>
      <c r="ADM85" s="160"/>
      <c r="ADN85" s="160"/>
      <c r="ADO85" s="160"/>
      <c r="ADP85" s="160"/>
      <c r="ADQ85" s="160"/>
      <c r="ADR85" s="160"/>
      <c r="ADS85" s="160"/>
      <c r="ADT85" s="160"/>
      <c r="ADU85" s="160"/>
      <c r="ADV85" s="160"/>
      <c r="ADW85" s="160"/>
      <c r="ADX85" s="160"/>
      <c r="ADY85" s="160"/>
      <c r="ADZ85" s="160"/>
      <c r="AEA85" s="160"/>
      <c r="AEB85" s="160"/>
      <c r="AEC85" s="160"/>
      <c r="AED85" s="160"/>
      <c r="AEE85" s="160"/>
      <c r="AEF85" s="160"/>
      <c r="AEG85" s="160"/>
      <c r="AEH85" s="160"/>
      <c r="AEI85" s="160"/>
      <c r="AEJ85" s="160"/>
      <c r="AEK85" s="160"/>
      <c r="AEL85" s="160"/>
      <c r="AEM85" s="160"/>
      <c r="AEN85" s="160"/>
      <c r="AEO85" s="160"/>
      <c r="AEP85" s="160"/>
      <c r="AEQ85" s="160"/>
      <c r="AER85" s="160"/>
      <c r="AES85" s="160"/>
      <c r="AET85" s="160"/>
      <c r="AEU85" s="160"/>
      <c r="AEV85" s="160"/>
      <c r="AEW85" s="160"/>
      <c r="AEX85" s="160"/>
      <c r="AEY85" s="160"/>
      <c r="AEZ85" s="160"/>
      <c r="AFA85" s="160"/>
      <c r="AFB85" s="160"/>
      <c r="AFC85" s="160"/>
      <c r="AFD85" s="160"/>
      <c r="AFE85" s="160"/>
      <c r="AFF85" s="160"/>
      <c r="AFG85" s="160"/>
      <c r="AFH85" s="160"/>
      <c r="AFI85" s="160"/>
      <c r="AFJ85" s="160"/>
      <c r="AFK85" s="160"/>
      <c r="AFL85" s="160"/>
      <c r="AFM85" s="160"/>
      <c r="AFN85" s="160"/>
      <c r="AFO85" s="160"/>
      <c r="AFP85" s="160"/>
      <c r="AFQ85" s="160"/>
      <c r="AFR85" s="160"/>
      <c r="AFS85" s="160"/>
      <c r="AFT85" s="160"/>
      <c r="AFU85" s="160"/>
      <c r="AFV85" s="160"/>
      <c r="AFW85" s="160"/>
      <c r="AFX85" s="160"/>
      <c r="AFY85" s="160"/>
      <c r="AFZ85" s="160"/>
      <c r="AGA85" s="160"/>
      <c r="AGB85" s="160"/>
      <c r="AGC85" s="160"/>
      <c r="AGD85" s="160"/>
      <c r="AGE85" s="160"/>
      <c r="AGF85" s="160"/>
      <c r="AGG85" s="160"/>
      <c r="AGH85" s="160"/>
      <c r="AGI85" s="160"/>
      <c r="AGJ85" s="160"/>
      <c r="AGK85" s="160"/>
      <c r="AGL85" s="160"/>
      <c r="AGM85" s="160"/>
      <c r="AGN85" s="160"/>
      <c r="AGO85" s="160"/>
      <c r="AGP85" s="160"/>
      <c r="AGQ85" s="160"/>
      <c r="AGR85" s="160"/>
      <c r="AGS85" s="160"/>
      <c r="AGT85" s="160"/>
      <c r="AGU85" s="160"/>
      <c r="AGV85" s="160"/>
      <c r="AGW85" s="160"/>
      <c r="AGX85" s="160"/>
      <c r="AGY85" s="160"/>
      <c r="AGZ85" s="160"/>
      <c r="AHA85" s="160"/>
      <c r="AHB85" s="160"/>
      <c r="AHC85" s="160"/>
      <c r="AHD85" s="160"/>
      <c r="AHE85" s="160"/>
      <c r="AHF85" s="160"/>
      <c r="AHG85" s="160"/>
      <c r="AHH85" s="160"/>
      <c r="AHI85" s="160"/>
      <c r="AHJ85" s="160"/>
      <c r="AHK85" s="160"/>
      <c r="AHL85" s="160"/>
      <c r="AHM85" s="160"/>
      <c r="AHN85" s="160"/>
      <c r="AHO85" s="160"/>
      <c r="AHP85" s="160"/>
      <c r="AHQ85" s="160"/>
      <c r="AHR85" s="160"/>
      <c r="AHS85" s="160"/>
      <c r="AHT85" s="160"/>
      <c r="AHU85" s="160"/>
      <c r="AHV85" s="160"/>
      <c r="AHW85" s="160"/>
      <c r="AHX85" s="160"/>
      <c r="AHY85" s="160"/>
      <c r="AHZ85" s="160"/>
      <c r="AIA85" s="160"/>
      <c r="AIB85" s="160"/>
      <c r="AIC85" s="160"/>
      <c r="AID85" s="160"/>
      <c r="AIE85" s="160"/>
      <c r="AIF85" s="160"/>
      <c r="AIG85" s="160"/>
      <c r="AIH85" s="160"/>
      <c r="AII85" s="160"/>
      <c r="AIJ85" s="160"/>
      <c r="AIK85" s="160"/>
      <c r="AIL85" s="160"/>
      <c r="AIM85" s="160"/>
      <c r="AIN85" s="160"/>
      <c r="AIO85" s="160"/>
      <c r="AIP85" s="160"/>
      <c r="AIQ85" s="160"/>
      <c r="AIR85" s="160"/>
      <c r="AIS85" s="160"/>
      <c r="AIT85" s="160"/>
      <c r="AIU85" s="160"/>
      <c r="AIV85" s="160"/>
      <c r="AIW85" s="160"/>
      <c r="AIX85" s="160"/>
      <c r="AIY85" s="160"/>
      <c r="AIZ85" s="160"/>
      <c r="AJA85" s="160"/>
      <c r="AJB85" s="160"/>
      <c r="AJC85" s="160"/>
      <c r="AJD85" s="160"/>
      <c r="AJE85" s="160"/>
      <c r="AJF85" s="160"/>
      <c r="AJG85" s="160"/>
      <c r="AJH85" s="160"/>
      <c r="AJI85" s="160"/>
      <c r="AJJ85" s="160"/>
      <c r="AJK85" s="160"/>
      <c r="AJL85" s="160"/>
      <c r="AJM85" s="160"/>
      <c r="AJN85" s="160"/>
      <c r="AJO85" s="160"/>
      <c r="AJP85" s="160"/>
      <c r="AJQ85" s="160"/>
      <c r="AJR85" s="160"/>
      <c r="AJS85" s="160"/>
      <c r="AJT85" s="160"/>
      <c r="AJU85" s="160"/>
      <c r="AJV85" s="160"/>
      <c r="AJW85" s="160"/>
      <c r="AJX85" s="160"/>
      <c r="AJY85" s="160"/>
      <c r="AJZ85" s="160"/>
      <c r="AKA85" s="160"/>
      <c r="AKB85" s="160"/>
      <c r="AKC85" s="160"/>
      <c r="AKD85" s="160"/>
      <c r="AKE85" s="160"/>
      <c r="AKF85" s="160"/>
      <c r="AKG85" s="160"/>
      <c r="AKH85" s="160"/>
      <c r="AKI85" s="160"/>
      <c r="AKJ85" s="160"/>
      <c r="AKK85" s="160"/>
      <c r="AKL85" s="160"/>
      <c r="AKM85" s="160"/>
      <c r="AKN85" s="160"/>
      <c r="AKO85" s="160"/>
      <c r="AKP85" s="160"/>
      <c r="AKQ85" s="160"/>
      <c r="AKR85" s="160"/>
      <c r="AKS85" s="160"/>
      <c r="AKT85" s="160"/>
      <c r="AKU85" s="160"/>
      <c r="AKV85" s="160"/>
      <c r="AKW85" s="160"/>
      <c r="AKX85" s="160"/>
      <c r="AKY85" s="160"/>
      <c r="AKZ85" s="160"/>
      <c r="ALA85" s="160"/>
      <c r="ALB85" s="160"/>
      <c r="ALC85" s="160"/>
      <c r="ALD85" s="160"/>
      <c r="ALE85" s="160"/>
      <c r="ALF85" s="160"/>
      <c r="ALG85" s="160"/>
      <c r="ALH85" s="160"/>
      <c r="ALI85" s="160"/>
      <c r="ALJ85" s="160"/>
      <c r="ALK85" s="160"/>
      <c r="ALL85" s="160"/>
      <c r="ALM85" s="160"/>
      <c r="ALN85" s="160"/>
      <c r="ALO85" s="160"/>
      <c r="ALP85" s="160"/>
      <c r="ALQ85" s="160"/>
      <c r="ALR85" s="160"/>
      <c r="ALS85" s="160"/>
      <c r="ALT85" s="160"/>
      <c r="ALU85" s="160"/>
      <c r="ALV85" s="160"/>
      <c r="ALW85" s="160"/>
      <c r="ALX85" s="160"/>
      <c r="ALY85" s="160"/>
      <c r="ALZ85" s="160"/>
      <c r="AMA85" s="160"/>
      <c r="AMB85" s="160"/>
      <c r="AMC85" s="160"/>
      <c r="AMD85" s="160"/>
      <c r="AME85" s="158"/>
    </row>
    <row r="86" spans="1:1019" ht="15" customHeight="1">
      <c r="A86" s="168">
        <f t="shared" si="2"/>
        <v>79</v>
      </c>
      <c r="B86" s="184">
        <v>2008</v>
      </c>
      <c r="C86" s="168" t="s">
        <v>917</v>
      </c>
      <c r="D86" s="169">
        <f>'הנדסה '!D53</f>
        <v>2500000</v>
      </c>
      <c r="E86" s="169">
        <f>'הנדסה '!E53</f>
        <v>0</v>
      </c>
      <c r="F86" s="169">
        <f>'הנדסה '!F53</f>
        <v>2500000</v>
      </c>
      <c r="G86" s="169">
        <f>'הנדסה '!G53</f>
        <v>0</v>
      </c>
      <c r="H86" s="169">
        <f>'הנדסה '!H53</f>
        <v>0</v>
      </c>
      <c r="I86" s="169">
        <f>'הנדסה '!I53</f>
        <v>0</v>
      </c>
      <c r="J86" s="169">
        <f>'הנדסה '!J53</f>
        <v>0</v>
      </c>
      <c r="K86" s="169">
        <f>'הנדסה '!K53</f>
        <v>0</v>
      </c>
      <c r="L86" s="169">
        <f>'הנדסה '!L53</f>
        <v>0</v>
      </c>
      <c r="M86" s="169">
        <f>'הנדסה '!M53</f>
        <v>0</v>
      </c>
      <c r="N86" s="169">
        <f>'הנדסה '!N53</f>
        <v>2500000</v>
      </c>
      <c r="O86" s="169">
        <f>'הנדסה '!O53</f>
        <v>0</v>
      </c>
      <c r="P86" s="169">
        <f>'הנדסה '!P53</f>
        <v>0</v>
      </c>
      <c r="Q86" s="169">
        <f>'הנדסה '!Q53</f>
        <v>0</v>
      </c>
      <c r="R86" s="169">
        <f>'הנדסה '!R53</f>
        <v>0</v>
      </c>
      <c r="S86" s="169">
        <f>'הנדסה '!S53</f>
        <v>0</v>
      </c>
      <c r="T86" s="169">
        <f>'הנדסה '!T53</f>
        <v>0</v>
      </c>
      <c r="U86" s="169">
        <f>'הנדסה '!U53</f>
        <v>2500000</v>
      </c>
      <c r="V86" s="169">
        <f>'הנדסה '!V53</f>
        <v>2500000</v>
      </c>
      <c r="W86" s="169">
        <f>'הנדסה '!W53</f>
        <v>0</v>
      </c>
      <c r="X86" s="169">
        <f>'הנדסה '!X53</f>
        <v>0</v>
      </c>
      <c r="Y86" s="169">
        <f>'הנדסה '!Y53</f>
        <v>0</v>
      </c>
      <c r="Z86" s="169">
        <f>'הנדסה '!Z53</f>
        <v>0</v>
      </c>
      <c r="AA86" s="659">
        <f>'הנדסה '!AA53</f>
        <v>742000</v>
      </c>
      <c r="AB86" s="157"/>
      <c r="AF86" s="172"/>
      <c r="AG86" s="174"/>
      <c r="AH86" s="174"/>
      <c r="AI86" s="174"/>
      <c r="AJ86" s="174"/>
      <c r="AK86" s="174"/>
    </row>
    <row r="87" spans="1:1019">
      <c r="A87" s="168">
        <f t="shared" si="2"/>
        <v>80</v>
      </c>
      <c r="B87" s="184">
        <v>2009</v>
      </c>
      <c r="C87" s="168" t="s">
        <v>918</v>
      </c>
      <c r="D87" s="169">
        <f>'הנדסה '!D54</f>
        <v>9000000</v>
      </c>
      <c r="E87" s="169">
        <f>'הנדסה '!E54</f>
        <v>0</v>
      </c>
      <c r="F87" s="169">
        <f>'הנדסה '!F54</f>
        <v>9000000</v>
      </c>
      <c r="G87" s="169">
        <f>'הנדסה '!G54</f>
        <v>0</v>
      </c>
      <c r="H87" s="169">
        <f>'הנדסה '!H54</f>
        <v>0</v>
      </c>
      <c r="I87" s="169">
        <f>'הנדסה '!I54</f>
        <v>0</v>
      </c>
      <c r="J87" s="169">
        <f>'הנדסה '!J54</f>
        <v>0</v>
      </c>
      <c r="K87" s="169">
        <f>'הנדסה '!K54</f>
        <v>0</v>
      </c>
      <c r="L87" s="169">
        <f>'הנדסה '!L54</f>
        <v>0</v>
      </c>
      <c r="M87" s="169">
        <f>'הנדסה '!M54</f>
        <v>0</v>
      </c>
      <c r="N87" s="169">
        <f>'הנדסה '!N54</f>
        <v>250000</v>
      </c>
      <c r="O87" s="169">
        <f>'הנדסה '!O54</f>
        <v>8750000</v>
      </c>
      <c r="P87" s="169">
        <f>'הנדסה '!P54</f>
        <v>0</v>
      </c>
      <c r="Q87" s="169">
        <f>'הנדסה '!Q54</f>
        <v>0</v>
      </c>
      <c r="R87" s="169">
        <f>'הנדסה '!R54</f>
        <v>0</v>
      </c>
      <c r="S87" s="169">
        <f>'הנדסה '!S54</f>
        <v>0</v>
      </c>
      <c r="T87" s="169">
        <f>'הנדסה '!T54</f>
        <v>0</v>
      </c>
      <c r="U87" s="169">
        <f>'הנדסה '!U54</f>
        <v>250000</v>
      </c>
      <c r="V87" s="169">
        <f>'הנדסה '!V54</f>
        <v>250000</v>
      </c>
      <c r="W87" s="169">
        <f>'הנדסה '!W54</f>
        <v>0</v>
      </c>
      <c r="X87" s="169">
        <f>'הנדסה '!X54</f>
        <v>0</v>
      </c>
      <c r="Y87" s="169">
        <f>'הנדסה '!Y54</f>
        <v>0</v>
      </c>
      <c r="Z87" s="169">
        <f>'הנדסה '!Z54</f>
        <v>0</v>
      </c>
      <c r="AA87" s="659">
        <f>'הנדסה '!AA54</f>
        <v>742000</v>
      </c>
      <c r="AB87" s="157"/>
      <c r="AF87" s="172"/>
      <c r="AG87" s="174"/>
      <c r="AH87" s="174"/>
      <c r="AI87" s="174"/>
      <c r="AJ87" s="174"/>
      <c r="AK87" s="174"/>
    </row>
    <row r="88" spans="1:1019" s="174" customFormat="1" ht="15" customHeight="1">
      <c r="A88" s="168">
        <f t="shared" si="2"/>
        <v>81</v>
      </c>
      <c r="B88" s="184">
        <v>2010</v>
      </c>
      <c r="C88" s="168" t="s">
        <v>919</v>
      </c>
      <c r="D88" s="169">
        <f>'הנדסה '!D55</f>
        <v>8000000</v>
      </c>
      <c r="E88" s="169">
        <f>'הנדסה '!E55</f>
        <v>0</v>
      </c>
      <c r="F88" s="169">
        <f>'הנדסה '!F55</f>
        <v>8000000</v>
      </c>
      <c r="G88" s="169">
        <f>'הנדסה '!G55</f>
        <v>0</v>
      </c>
      <c r="H88" s="169">
        <f>'הנדסה '!H55</f>
        <v>0</v>
      </c>
      <c r="I88" s="169">
        <f>'הנדסה '!I55</f>
        <v>0</v>
      </c>
      <c r="J88" s="169">
        <f>'הנדסה '!J55</f>
        <v>0</v>
      </c>
      <c r="K88" s="169">
        <f>'הנדסה '!K55</f>
        <v>0</v>
      </c>
      <c r="L88" s="169">
        <f>'הנדסה '!L55</f>
        <v>0</v>
      </c>
      <c r="M88" s="169">
        <f>'הנדסה '!M55</f>
        <v>0</v>
      </c>
      <c r="N88" s="169">
        <f>'הנדסה '!N55</f>
        <v>750000</v>
      </c>
      <c r="O88" s="169">
        <f>'הנדסה '!O55</f>
        <v>7250000</v>
      </c>
      <c r="P88" s="169">
        <f>'הנדסה '!P55</f>
        <v>0</v>
      </c>
      <c r="Q88" s="169">
        <f>'הנדסה '!Q55</f>
        <v>0</v>
      </c>
      <c r="R88" s="169">
        <f>'הנדסה '!R55</f>
        <v>0</v>
      </c>
      <c r="S88" s="169">
        <f>'הנדסה '!S55</f>
        <v>0</v>
      </c>
      <c r="T88" s="169">
        <f>'הנדסה '!T55</f>
        <v>0</v>
      </c>
      <c r="U88" s="169">
        <f>'הנדסה '!U55</f>
        <v>750000</v>
      </c>
      <c r="V88" s="169">
        <f>'הנדסה '!V55</f>
        <v>750000</v>
      </c>
      <c r="W88" s="169">
        <f>'הנדסה '!W55</f>
        <v>0</v>
      </c>
      <c r="X88" s="169">
        <f>'הנדסה '!X55</f>
        <v>0</v>
      </c>
      <c r="Y88" s="169">
        <f>'הנדסה '!Y55</f>
        <v>0</v>
      </c>
      <c r="Z88" s="169">
        <f>'הנדסה '!Z55</f>
        <v>0</v>
      </c>
      <c r="AA88" s="659">
        <f>'הנדסה '!AA55</f>
        <v>742000</v>
      </c>
      <c r="AB88" s="157"/>
      <c r="AC88" s="157"/>
      <c r="AD88" s="157"/>
      <c r="AE88" s="157"/>
      <c r="AF88" s="172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0"/>
      <c r="GH88" s="160"/>
      <c r="GI88" s="160"/>
      <c r="GJ88" s="160"/>
      <c r="GK88" s="160"/>
      <c r="GL88" s="160"/>
      <c r="GM88" s="160"/>
      <c r="GN88" s="160"/>
      <c r="GO88" s="160"/>
      <c r="GP88" s="160"/>
      <c r="GQ88" s="160"/>
      <c r="GR88" s="160"/>
      <c r="GS88" s="160"/>
      <c r="GT88" s="160"/>
      <c r="GU88" s="160"/>
      <c r="GV88" s="160"/>
      <c r="GW88" s="160"/>
      <c r="GX88" s="160"/>
      <c r="GY88" s="160"/>
      <c r="GZ88" s="160"/>
      <c r="HA88" s="160"/>
      <c r="HB88" s="160"/>
      <c r="HC88" s="160"/>
      <c r="HD88" s="160"/>
      <c r="HE88" s="160"/>
      <c r="HF88" s="160"/>
      <c r="HG88" s="160"/>
      <c r="HH88" s="160"/>
      <c r="HI88" s="160"/>
      <c r="HJ88" s="160"/>
      <c r="HK88" s="160"/>
      <c r="HL88" s="160"/>
      <c r="HM88" s="160"/>
      <c r="HN88" s="160"/>
      <c r="HO88" s="160"/>
      <c r="HP88" s="160"/>
      <c r="HQ88" s="160"/>
      <c r="HR88" s="160"/>
      <c r="HS88" s="160"/>
      <c r="HT88" s="160"/>
      <c r="HU88" s="160"/>
      <c r="HV88" s="160"/>
      <c r="HW88" s="160"/>
      <c r="HX88" s="160"/>
      <c r="HY88" s="160"/>
      <c r="HZ88" s="160"/>
      <c r="IA88" s="160"/>
      <c r="IB88" s="160"/>
      <c r="IC88" s="160"/>
      <c r="ID88" s="160"/>
      <c r="IE88" s="160"/>
      <c r="IF88" s="160"/>
      <c r="IG88" s="160"/>
      <c r="IH88" s="160"/>
      <c r="II88" s="160"/>
      <c r="IJ88" s="160"/>
      <c r="IK88" s="160"/>
      <c r="IL88" s="160"/>
      <c r="IM88" s="160"/>
      <c r="IN88" s="160"/>
      <c r="IO88" s="160"/>
      <c r="IP88" s="160"/>
      <c r="IQ88" s="160"/>
      <c r="IR88" s="160"/>
      <c r="IS88" s="160"/>
      <c r="IT88" s="160"/>
      <c r="IU88" s="160"/>
      <c r="IV88" s="160"/>
      <c r="IW88" s="160"/>
      <c r="IX88" s="160"/>
      <c r="IY88" s="160"/>
      <c r="IZ88" s="160"/>
      <c r="JA88" s="160"/>
      <c r="JB88" s="160"/>
      <c r="JC88" s="160"/>
      <c r="JD88" s="160"/>
      <c r="JE88" s="160"/>
      <c r="JF88" s="160"/>
      <c r="JG88" s="160"/>
      <c r="JH88" s="160"/>
      <c r="JI88" s="160"/>
      <c r="JJ88" s="160"/>
      <c r="JK88" s="160"/>
      <c r="JL88" s="160"/>
      <c r="JM88" s="160"/>
      <c r="JN88" s="160"/>
      <c r="JO88" s="160"/>
      <c r="JP88" s="160"/>
      <c r="JQ88" s="160"/>
      <c r="JR88" s="160"/>
      <c r="JS88" s="160"/>
      <c r="JT88" s="160"/>
      <c r="JU88" s="160"/>
      <c r="JV88" s="160"/>
      <c r="JW88" s="160"/>
      <c r="JX88" s="160"/>
      <c r="JY88" s="160"/>
      <c r="JZ88" s="160"/>
      <c r="KA88" s="160"/>
      <c r="KB88" s="160"/>
      <c r="KC88" s="160"/>
      <c r="KD88" s="160"/>
      <c r="KE88" s="160"/>
      <c r="KF88" s="160"/>
      <c r="KG88" s="160"/>
      <c r="KH88" s="160"/>
      <c r="KI88" s="160"/>
      <c r="KJ88" s="160"/>
      <c r="KK88" s="160"/>
      <c r="KL88" s="160"/>
      <c r="KM88" s="160"/>
      <c r="KN88" s="160"/>
      <c r="KO88" s="160"/>
      <c r="KP88" s="160"/>
      <c r="KQ88" s="160"/>
      <c r="KR88" s="160"/>
      <c r="KS88" s="160"/>
      <c r="KT88" s="160"/>
      <c r="KU88" s="160"/>
      <c r="KV88" s="160"/>
      <c r="KW88" s="160"/>
      <c r="KX88" s="160"/>
      <c r="KY88" s="160"/>
      <c r="KZ88" s="160"/>
      <c r="LA88" s="160"/>
      <c r="LB88" s="160"/>
      <c r="LC88" s="160"/>
      <c r="LD88" s="160"/>
      <c r="LE88" s="160"/>
      <c r="LF88" s="160"/>
      <c r="LG88" s="160"/>
      <c r="LH88" s="160"/>
      <c r="LI88" s="160"/>
      <c r="LJ88" s="160"/>
      <c r="LK88" s="160"/>
      <c r="LL88" s="160"/>
      <c r="LM88" s="160"/>
      <c r="LN88" s="160"/>
      <c r="LO88" s="160"/>
      <c r="LP88" s="160"/>
      <c r="LQ88" s="160"/>
      <c r="LR88" s="160"/>
      <c r="LS88" s="160"/>
      <c r="LT88" s="160"/>
      <c r="LU88" s="160"/>
      <c r="LV88" s="160"/>
      <c r="LW88" s="160"/>
      <c r="LX88" s="160"/>
      <c r="LY88" s="160"/>
      <c r="LZ88" s="160"/>
      <c r="MA88" s="160"/>
      <c r="MB88" s="160"/>
      <c r="MC88" s="160"/>
      <c r="MD88" s="160"/>
      <c r="ME88" s="160"/>
      <c r="MF88" s="160"/>
      <c r="MG88" s="160"/>
      <c r="MH88" s="160"/>
      <c r="MI88" s="160"/>
      <c r="MJ88" s="160"/>
      <c r="MK88" s="160"/>
      <c r="ML88" s="160"/>
      <c r="MM88" s="160"/>
      <c r="MN88" s="160"/>
      <c r="MO88" s="160"/>
      <c r="MP88" s="160"/>
      <c r="MQ88" s="160"/>
      <c r="MR88" s="160"/>
      <c r="MS88" s="160"/>
      <c r="MT88" s="160"/>
      <c r="MU88" s="160"/>
      <c r="MV88" s="160"/>
      <c r="MW88" s="160"/>
      <c r="MX88" s="160"/>
      <c r="MY88" s="160"/>
      <c r="MZ88" s="160"/>
      <c r="NA88" s="160"/>
      <c r="NB88" s="160"/>
      <c r="NC88" s="160"/>
      <c r="ND88" s="160"/>
      <c r="NE88" s="160"/>
      <c r="NF88" s="160"/>
      <c r="NG88" s="160"/>
      <c r="NH88" s="160"/>
      <c r="NI88" s="160"/>
      <c r="NJ88" s="160"/>
      <c r="NK88" s="160"/>
      <c r="NL88" s="160"/>
      <c r="NM88" s="160"/>
      <c r="NN88" s="160"/>
      <c r="NO88" s="160"/>
      <c r="NP88" s="160"/>
      <c r="NQ88" s="160"/>
      <c r="NR88" s="160"/>
      <c r="NS88" s="160"/>
      <c r="NT88" s="160"/>
      <c r="NU88" s="160"/>
      <c r="NV88" s="160"/>
      <c r="NW88" s="160"/>
      <c r="NX88" s="160"/>
      <c r="NY88" s="160"/>
      <c r="NZ88" s="160"/>
      <c r="OA88" s="160"/>
      <c r="OB88" s="160"/>
      <c r="OC88" s="160"/>
      <c r="OD88" s="160"/>
      <c r="OE88" s="160"/>
      <c r="OF88" s="160"/>
      <c r="OG88" s="160"/>
      <c r="OH88" s="160"/>
      <c r="OI88" s="160"/>
      <c r="OJ88" s="160"/>
      <c r="OK88" s="160"/>
      <c r="OL88" s="160"/>
      <c r="OM88" s="160"/>
      <c r="ON88" s="160"/>
      <c r="OO88" s="160"/>
      <c r="OP88" s="160"/>
      <c r="OQ88" s="160"/>
      <c r="OR88" s="160"/>
      <c r="OS88" s="160"/>
      <c r="OT88" s="160"/>
      <c r="OU88" s="160"/>
      <c r="OV88" s="160"/>
      <c r="OW88" s="160"/>
      <c r="OX88" s="160"/>
      <c r="OY88" s="160"/>
      <c r="OZ88" s="160"/>
      <c r="PA88" s="160"/>
      <c r="PB88" s="160"/>
      <c r="PC88" s="160"/>
      <c r="PD88" s="160"/>
      <c r="PE88" s="160"/>
      <c r="PF88" s="160"/>
      <c r="PG88" s="160"/>
      <c r="PH88" s="160"/>
      <c r="PI88" s="160"/>
      <c r="PJ88" s="160"/>
      <c r="PK88" s="160"/>
      <c r="PL88" s="160"/>
      <c r="PM88" s="160"/>
      <c r="PN88" s="160"/>
      <c r="PO88" s="160"/>
      <c r="PP88" s="160"/>
      <c r="PQ88" s="160"/>
      <c r="PR88" s="160"/>
      <c r="PS88" s="160"/>
      <c r="PT88" s="160"/>
      <c r="PU88" s="160"/>
      <c r="PV88" s="160"/>
      <c r="PW88" s="160"/>
      <c r="PX88" s="160"/>
      <c r="PY88" s="160"/>
      <c r="PZ88" s="160"/>
      <c r="QA88" s="160"/>
      <c r="QB88" s="160"/>
      <c r="QC88" s="160"/>
      <c r="QD88" s="160"/>
      <c r="QE88" s="160"/>
      <c r="QF88" s="160"/>
      <c r="QG88" s="160"/>
      <c r="QH88" s="160"/>
      <c r="QI88" s="160"/>
      <c r="QJ88" s="160"/>
      <c r="QK88" s="160"/>
      <c r="QL88" s="160"/>
      <c r="QM88" s="160"/>
      <c r="QN88" s="160"/>
      <c r="QO88" s="160"/>
      <c r="QP88" s="160"/>
      <c r="QQ88" s="160"/>
      <c r="QR88" s="160"/>
      <c r="QS88" s="160"/>
      <c r="QT88" s="160"/>
      <c r="QU88" s="160"/>
      <c r="QV88" s="160"/>
      <c r="QW88" s="160"/>
      <c r="QX88" s="160"/>
      <c r="QY88" s="160"/>
      <c r="QZ88" s="160"/>
      <c r="RA88" s="160"/>
      <c r="RB88" s="160"/>
      <c r="RC88" s="160"/>
      <c r="RD88" s="160"/>
      <c r="RE88" s="160"/>
      <c r="RF88" s="160"/>
      <c r="RG88" s="160"/>
      <c r="RH88" s="160"/>
      <c r="RI88" s="160"/>
      <c r="RJ88" s="160"/>
      <c r="RK88" s="160"/>
      <c r="RL88" s="160"/>
      <c r="RM88" s="160"/>
      <c r="RN88" s="160"/>
      <c r="RO88" s="160"/>
      <c r="RP88" s="160"/>
      <c r="RQ88" s="160"/>
      <c r="RR88" s="160"/>
      <c r="RS88" s="160"/>
      <c r="RT88" s="160"/>
      <c r="RU88" s="160"/>
      <c r="RV88" s="160"/>
      <c r="RW88" s="160"/>
      <c r="RX88" s="160"/>
      <c r="RY88" s="160"/>
      <c r="RZ88" s="160"/>
      <c r="SA88" s="160"/>
      <c r="SB88" s="160"/>
      <c r="SC88" s="160"/>
      <c r="SD88" s="160"/>
      <c r="SE88" s="160"/>
      <c r="SF88" s="160"/>
      <c r="SG88" s="160"/>
      <c r="SH88" s="160"/>
      <c r="SI88" s="160"/>
      <c r="SJ88" s="160"/>
      <c r="SK88" s="160"/>
      <c r="SL88" s="160"/>
      <c r="SM88" s="160"/>
      <c r="SN88" s="160"/>
      <c r="SO88" s="160"/>
      <c r="SP88" s="160"/>
      <c r="SQ88" s="160"/>
      <c r="SR88" s="160"/>
      <c r="SS88" s="160"/>
      <c r="ST88" s="160"/>
      <c r="SU88" s="160"/>
      <c r="SV88" s="160"/>
      <c r="SW88" s="160"/>
      <c r="SX88" s="160"/>
      <c r="SY88" s="160"/>
      <c r="SZ88" s="160"/>
      <c r="TA88" s="160"/>
      <c r="TB88" s="160"/>
      <c r="TC88" s="160"/>
      <c r="TD88" s="160"/>
      <c r="TE88" s="160"/>
      <c r="TF88" s="160"/>
      <c r="TG88" s="160"/>
      <c r="TH88" s="160"/>
      <c r="TI88" s="160"/>
      <c r="TJ88" s="160"/>
      <c r="TK88" s="160"/>
      <c r="TL88" s="160"/>
      <c r="TM88" s="160"/>
      <c r="TN88" s="160"/>
      <c r="TO88" s="160"/>
      <c r="TP88" s="160"/>
      <c r="TQ88" s="160"/>
      <c r="TR88" s="160"/>
      <c r="TS88" s="160"/>
      <c r="TT88" s="160"/>
      <c r="TU88" s="160"/>
      <c r="TV88" s="160"/>
      <c r="TW88" s="160"/>
      <c r="TX88" s="160"/>
      <c r="TY88" s="160"/>
      <c r="TZ88" s="160"/>
      <c r="UA88" s="160"/>
      <c r="UB88" s="160"/>
      <c r="UC88" s="160"/>
      <c r="UD88" s="160"/>
      <c r="UE88" s="160"/>
      <c r="UF88" s="160"/>
      <c r="UG88" s="160"/>
      <c r="UH88" s="160"/>
      <c r="UI88" s="160"/>
      <c r="UJ88" s="160"/>
      <c r="UK88" s="160"/>
      <c r="UL88" s="160"/>
      <c r="UM88" s="160"/>
      <c r="UN88" s="160"/>
      <c r="UO88" s="160"/>
      <c r="UP88" s="160"/>
      <c r="UQ88" s="160"/>
      <c r="UR88" s="160"/>
      <c r="US88" s="160"/>
      <c r="UT88" s="160"/>
      <c r="UU88" s="160"/>
      <c r="UV88" s="160"/>
      <c r="UW88" s="160"/>
      <c r="UX88" s="160"/>
      <c r="UY88" s="160"/>
      <c r="UZ88" s="160"/>
      <c r="VA88" s="160"/>
      <c r="VB88" s="160"/>
      <c r="VC88" s="160"/>
      <c r="VD88" s="160"/>
      <c r="VE88" s="160"/>
      <c r="VF88" s="160"/>
      <c r="VG88" s="160"/>
      <c r="VH88" s="160"/>
      <c r="VI88" s="160"/>
      <c r="VJ88" s="160"/>
      <c r="VK88" s="160"/>
      <c r="VL88" s="160"/>
      <c r="VM88" s="160"/>
      <c r="VN88" s="160"/>
      <c r="VO88" s="160"/>
      <c r="VP88" s="160"/>
      <c r="VQ88" s="160"/>
      <c r="VR88" s="160"/>
      <c r="VS88" s="160"/>
      <c r="VT88" s="160"/>
      <c r="VU88" s="160"/>
      <c r="VV88" s="160"/>
      <c r="VW88" s="160"/>
      <c r="VX88" s="160"/>
      <c r="VY88" s="160"/>
      <c r="VZ88" s="160"/>
      <c r="WA88" s="160"/>
      <c r="WB88" s="160"/>
      <c r="WC88" s="160"/>
      <c r="WD88" s="160"/>
      <c r="WE88" s="160"/>
      <c r="WF88" s="160"/>
      <c r="WG88" s="160"/>
      <c r="WH88" s="160"/>
      <c r="WI88" s="160"/>
      <c r="WJ88" s="160"/>
      <c r="WK88" s="160"/>
      <c r="WL88" s="160"/>
      <c r="WM88" s="160"/>
      <c r="WN88" s="160"/>
      <c r="WO88" s="160"/>
      <c r="WP88" s="160"/>
      <c r="WQ88" s="160"/>
      <c r="WR88" s="160"/>
      <c r="WS88" s="160"/>
      <c r="WT88" s="160"/>
      <c r="WU88" s="160"/>
      <c r="WV88" s="160"/>
      <c r="WW88" s="160"/>
      <c r="WX88" s="160"/>
      <c r="WY88" s="160"/>
      <c r="WZ88" s="160"/>
      <c r="XA88" s="160"/>
      <c r="XB88" s="160"/>
      <c r="XC88" s="160"/>
      <c r="XD88" s="160"/>
      <c r="XE88" s="160"/>
      <c r="XF88" s="160"/>
      <c r="XG88" s="160"/>
      <c r="XH88" s="160"/>
      <c r="XI88" s="160"/>
      <c r="XJ88" s="160"/>
      <c r="XK88" s="160"/>
      <c r="XL88" s="160"/>
      <c r="XM88" s="160"/>
      <c r="XN88" s="160"/>
      <c r="XO88" s="160"/>
      <c r="XP88" s="160"/>
      <c r="XQ88" s="160"/>
      <c r="XR88" s="160"/>
      <c r="XS88" s="160"/>
      <c r="XT88" s="160"/>
      <c r="XU88" s="160"/>
      <c r="XV88" s="160"/>
      <c r="XW88" s="160"/>
      <c r="XX88" s="160"/>
      <c r="XY88" s="160"/>
      <c r="XZ88" s="160"/>
      <c r="YA88" s="160"/>
      <c r="YB88" s="160"/>
      <c r="YC88" s="160"/>
      <c r="YD88" s="160"/>
      <c r="YE88" s="160"/>
      <c r="YF88" s="160"/>
      <c r="YG88" s="160"/>
      <c r="YH88" s="160"/>
      <c r="YI88" s="160"/>
      <c r="YJ88" s="160"/>
      <c r="YK88" s="160"/>
      <c r="YL88" s="160"/>
      <c r="YM88" s="160"/>
      <c r="YN88" s="160"/>
      <c r="YO88" s="160"/>
      <c r="YP88" s="160"/>
      <c r="YQ88" s="160"/>
      <c r="YR88" s="160"/>
      <c r="YS88" s="160"/>
      <c r="YT88" s="160"/>
      <c r="YU88" s="160"/>
      <c r="YV88" s="160"/>
      <c r="YW88" s="160"/>
      <c r="YX88" s="160"/>
      <c r="YY88" s="160"/>
      <c r="YZ88" s="160"/>
      <c r="ZA88" s="160"/>
      <c r="ZB88" s="160"/>
      <c r="ZC88" s="160"/>
      <c r="ZD88" s="160"/>
      <c r="ZE88" s="160"/>
      <c r="ZF88" s="160"/>
      <c r="ZG88" s="160"/>
      <c r="ZH88" s="160"/>
      <c r="ZI88" s="160"/>
      <c r="ZJ88" s="160"/>
      <c r="ZK88" s="160"/>
      <c r="ZL88" s="160"/>
      <c r="ZM88" s="160"/>
      <c r="ZN88" s="160"/>
      <c r="ZO88" s="160"/>
      <c r="ZP88" s="160"/>
      <c r="ZQ88" s="160"/>
      <c r="ZR88" s="160"/>
      <c r="ZS88" s="160"/>
      <c r="ZT88" s="160"/>
      <c r="ZU88" s="160"/>
      <c r="ZV88" s="160"/>
      <c r="ZW88" s="160"/>
      <c r="ZX88" s="160"/>
      <c r="ZY88" s="160"/>
      <c r="ZZ88" s="160"/>
      <c r="AAA88" s="160"/>
      <c r="AAB88" s="160"/>
      <c r="AAC88" s="160"/>
      <c r="AAD88" s="160"/>
      <c r="AAE88" s="160"/>
      <c r="AAF88" s="160"/>
      <c r="AAG88" s="160"/>
      <c r="AAH88" s="160"/>
      <c r="AAI88" s="160"/>
      <c r="AAJ88" s="160"/>
      <c r="AAK88" s="160"/>
      <c r="AAL88" s="160"/>
      <c r="AAM88" s="160"/>
      <c r="AAN88" s="160"/>
      <c r="AAO88" s="160"/>
      <c r="AAP88" s="160"/>
      <c r="AAQ88" s="160"/>
      <c r="AAR88" s="160"/>
      <c r="AAS88" s="160"/>
      <c r="AAT88" s="160"/>
      <c r="AAU88" s="160"/>
      <c r="AAV88" s="160"/>
      <c r="AAW88" s="160"/>
      <c r="AAX88" s="160"/>
      <c r="AAY88" s="160"/>
      <c r="AAZ88" s="160"/>
      <c r="ABA88" s="160"/>
      <c r="ABB88" s="160"/>
      <c r="ABC88" s="160"/>
      <c r="ABD88" s="160"/>
      <c r="ABE88" s="160"/>
      <c r="ABF88" s="160"/>
      <c r="ABG88" s="160"/>
      <c r="ABH88" s="160"/>
      <c r="ABI88" s="160"/>
      <c r="ABJ88" s="160"/>
      <c r="ABK88" s="160"/>
      <c r="ABL88" s="160"/>
      <c r="ABM88" s="160"/>
      <c r="ABN88" s="160"/>
      <c r="ABO88" s="160"/>
      <c r="ABP88" s="160"/>
      <c r="ABQ88" s="160"/>
      <c r="ABR88" s="160"/>
      <c r="ABS88" s="160"/>
      <c r="ABT88" s="160"/>
      <c r="ABU88" s="160"/>
      <c r="ABV88" s="160"/>
      <c r="ABW88" s="160"/>
      <c r="ABX88" s="160"/>
      <c r="ABY88" s="160"/>
      <c r="ABZ88" s="160"/>
      <c r="ACA88" s="160"/>
      <c r="ACB88" s="160"/>
      <c r="ACC88" s="160"/>
      <c r="ACD88" s="160"/>
      <c r="ACE88" s="160"/>
      <c r="ACF88" s="160"/>
      <c r="ACG88" s="160"/>
      <c r="ACH88" s="160"/>
      <c r="ACI88" s="160"/>
      <c r="ACJ88" s="160"/>
      <c r="ACK88" s="160"/>
      <c r="ACL88" s="160"/>
      <c r="ACM88" s="160"/>
      <c r="ACN88" s="160"/>
      <c r="ACO88" s="160"/>
      <c r="ACP88" s="160"/>
      <c r="ACQ88" s="160"/>
      <c r="ACR88" s="160"/>
      <c r="ACS88" s="160"/>
      <c r="ACT88" s="160"/>
      <c r="ACU88" s="160"/>
      <c r="ACV88" s="160"/>
      <c r="ACW88" s="160"/>
      <c r="ACX88" s="160"/>
      <c r="ACY88" s="160"/>
      <c r="ACZ88" s="160"/>
      <c r="ADA88" s="160"/>
      <c r="ADB88" s="160"/>
      <c r="ADC88" s="160"/>
      <c r="ADD88" s="160"/>
      <c r="ADE88" s="160"/>
      <c r="ADF88" s="160"/>
      <c r="ADG88" s="160"/>
      <c r="ADH88" s="160"/>
      <c r="ADI88" s="160"/>
      <c r="ADJ88" s="160"/>
      <c r="ADK88" s="160"/>
      <c r="ADL88" s="160"/>
      <c r="ADM88" s="160"/>
      <c r="ADN88" s="160"/>
      <c r="ADO88" s="160"/>
      <c r="ADP88" s="160"/>
      <c r="ADQ88" s="160"/>
      <c r="ADR88" s="160"/>
      <c r="ADS88" s="160"/>
      <c r="ADT88" s="160"/>
      <c r="ADU88" s="160"/>
      <c r="ADV88" s="160"/>
      <c r="ADW88" s="160"/>
      <c r="ADX88" s="160"/>
      <c r="ADY88" s="160"/>
      <c r="ADZ88" s="160"/>
      <c r="AEA88" s="160"/>
      <c r="AEB88" s="160"/>
      <c r="AEC88" s="160"/>
      <c r="AED88" s="160"/>
      <c r="AEE88" s="160"/>
      <c r="AEF88" s="160"/>
      <c r="AEG88" s="160"/>
      <c r="AEH88" s="160"/>
      <c r="AEI88" s="160"/>
      <c r="AEJ88" s="160"/>
      <c r="AEK88" s="160"/>
      <c r="AEL88" s="160"/>
      <c r="AEM88" s="160"/>
      <c r="AEN88" s="160"/>
      <c r="AEO88" s="160"/>
      <c r="AEP88" s="160"/>
      <c r="AEQ88" s="160"/>
      <c r="AER88" s="160"/>
      <c r="AES88" s="160"/>
      <c r="AET88" s="160"/>
      <c r="AEU88" s="160"/>
      <c r="AEV88" s="160"/>
      <c r="AEW88" s="160"/>
      <c r="AEX88" s="160"/>
      <c r="AEY88" s="160"/>
      <c r="AEZ88" s="160"/>
      <c r="AFA88" s="160"/>
      <c r="AFB88" s="160"/>
      <c r="AFC88" s="160"/>
      <c r="AFD88" s="160"/>
      <c r="AFE88" s="160"/>
      <c r="AFF88" s="160"/>
      <c r="AFG88" s="160"/>
      <c r="AFH88" s="160"/>
      <c r="AFI88" s="160"/>
      <c r="AFJ88" s="160"/>
      <c r="AFK88" s="160"/>
      <c r="AFL88" s="160"/>
      <c r="AFM88" s="160"/>
      <c r="AFN88" s="160"/>
      <c r="AFO88" s="160"/>
      <c r="AFP88" s="160"/>
      <c r="AFQ88" s="160"/>
      <c r="AFR88" s="160"/>
      <c r="AFS88" s="160"/>
      <c r="AFT88" s="160"/>
      <c r="AFU88" s="160"/>
      <c r="AFV88" s="160"/>
      <c r="AFW88" s="160"/>
      <c r="AFX88" s="160"/>
      <c r="AFY88" s="160"/>
      <c r="AFZ88" s="160"/>
      <c r="AGA88" s="160"/>
      <c r="AGB88" s="160"/>
      <c r="AGC88" s="160"/>
      <c r="AGD88" s="160"/>
      <c r="AGE88" s="160"/>
      <c r="AGF88" s="160"/>
      <c r="AGG88" s="160"/>
      <c r="AGH88" s="160"/>
      <c r="AGI88" s="160"/>
      <c r="AGJ88" s="160"/>
      <c r="AGK88" s="160"/>
      <c r="AGL88" s="160"/>
      <c r="AGM88" s="160"/>
      <c r="AGN88" s="160"/>
      <c r="AGO88" s="160"/>
      <c r="AGP88" s="160"/>
      <c r="AGQ88" s="160"/>
      <c r="AGR88" s="160"/>
      <c r="AGS88" s="160"/>
      <c r="AGT88" s="160"/>
      <c r="AGU88" s="160"/>
      <c r="AGV88" s="160"/>
      <c r="AGW88" s="160"/>
      <c r="AGX88" s="160"/>
      <c r="AGY88" s="160"/>
      <c r="AGZ88" s="160"/>
      <c r="AHA88" s="160"/>
      <c r="AHB88" s="160"/>
      <c r="AHC88" s="160"/>
      <c r="AHD88" s="160"/>
      <c r="AHE88" s="160"/>
      <c r="AHF88" s="160"/>
      <c r="AHG88" s="160"/>
      <c r="AHH88" s="160"/>
      <c r="AHI88" s="160"/>
      <c r="AHJ88" s="160"/>
      <c r="AHK88" s="160"/>
      <c r="AHL88" s="160"/>
      <c r="AHM88" s="160"/>
      <c r="AHN88" s="160"/>
      <c r="AHO88" s="160"/>
      <c r="AHP88" s="160"/>
      <c r="AHQ88" s="160"/>
      <c r="AHR88" s="160"/>
      <c r="AHS88" s="160"/>
      <c r="AHT88" s="160"/>
      <c r="AHU88" s="160"/>
      <c r="AHV88" s="160"/>
      <c r="AHW88" s="160"/>
      <c r="AHX88" s="160"/>
      <c r="AHY88" s="160"/>
      <c r="AHZ88" s="160"/>
      <c r="AIA88" s="160"/>
      <c r="AIB88" s="160"/>
      <c r="AIC88" s="160"/>
      <c r="AID88" s="160"/>
      <c r="AIE88" s="160"/>
      <c r="AIF88" s="160"/>
      <c r="AIG88" s="160"/>
      <c r="AIH88" s="160"/>
      <c r="AII88" s="160"/>
      <c r="AIJ88" s="160"/>
      <c r="AIK88" s="160"/>
      <c r="AIL88" s="160"/>
      <c r="AIM88" s="160"/>
      <c r="AIN88" s="160"/>
      <c r="AIO88" s="160"/>
      <c r="AIP88" s="160"/>
      <c r="AIQ88" s="160"/>
      <c r="AIR88" s="160"/>
      <c r="AIS88" s="160"/>
      <c r="AIT88" s="160"/>
      <c r="AIU88" s="160"/>
      <c r="AIV88" s="160"/>
      <c r="AIW88" s="160"/>
      <c r="AIX88" s="160"/>
      <c r="AIY88" s="160"/>
      <c r="AIZ88" s="160"/>
      <c r="AJA88" s="160"/>
      <c r="AJB88" s="160"/>
      <c r="AJC88" s="160"/>
      <c r="AJD88" s="160"/>
      <c r="AJE88" s="160"/>
      <c r="AJF88" s="160"/>
      <c r="AJG88" s="160"/>
      <c r="AJH88" s="160"/>
      <c r="AJI88" s="160"/>
      <c r="AJJ88" s="160"/>
      <c r="AJK88" s="160"/>
      <c r="AJL88" s="160"/>
      <c r="AJM88" s="160"/>
      <c r="AJN88" s="160"/>
      <c r="AJO88" s="160"/>
      <c r="AJP88" s="160"/>
      <c r="AJQ88" s="160"/>
      <c r="AJR88" s="160"/>
      <c r="AJS88" s="160"/>
      <c r="AJT88" s="160"/>
      <c r="AJU88" s="160"/>
      <c r="AJV88" s="160"/>
      <c r="AJW88" s="160"/>
      <c r="AJX88" s="160"/>
      <c r="AJY88" s="160"/>
      <c r="AJZ88" s="160"/>
      <c r="AKA88" s="160"/>
      <c r="AKB88" s="160"/>
      <c r="AKC88" s="160"/>
      <c r="AKD88" s="160"/>
      <c r="AKE88" s="160"/>
      <c r="AKF88" s="160"/>
      <c r="AKG88" s="160"/>
      <c r="AKH88" s="160"/>
      <c r="AKI88" s="160"/>
      <c r="AKJ88" s="160"/>
      <c r="AKK88" s="160"/>
      <c r="AKL88" s="160"/>
      <c r="AKM88" s="160"/>
      <c r="AKN88" s="160"/>
      <c r="AKO88" s="160"/>
      <c r="AKP88" s="160"/>
      <c r="AKQ88" s="160"/>
      <c r="AKR88" s="160"/>
      <c r="AKS88" s="160"/>
      <c r="AKT88" s="160"/>
      <c r="AKU88" s="160"/>
      <c r="AKV88" s="160"/>
      <c r="AKW88" s="160"/>
      <c r="AKX88" s="160"/>
      <c r="AKY88" s="160"/>
      <c r="AKZ88" s="160"/>
      <c r="ALA88" s="160"/>
      <c r="ALB88" s="160"/>
      <c r="ALC88" s="160"/>
      <c r="ALD88" s="160"/>
      <c r="ALE88" s="160"/>
      <c r="ALF88" s="160"/>
      <c r="ALG88" s="160"/>
      <c r="ALH88" s="160"/>
      <c r="ALI88" s="160"/>
      <c r="ALJ88" s="160"/>
      <c r="ALK88" s="160"/>
      <c r="ALL88" s="160"/>
      <c r="ALM88" s="160"/>
      <c r="ALN88" s="160"/>
      <c r="ALO88" s="160"/>
      <c r="ALP88" s="160"/>
      <c r="ALQ88" s="160"/>
      <c r="ALR88" s="160"/>
      <c r="ALS88" s="160"/>
      <c r="ALT88" s="160"/>
      <c r="ALU88" s="160"/>
      <c r="ALV88" s="160"/>
      <c r="ALW88" s="160"/>
      <c r="ALX88" s="160"/>
      <c r="ALY88" s="160"/>
      <c r="ALZ88" s="160"/>
      <c r="AMA88" s="160"/>
      <c r="AMB88" s="160"/>
      <c r="AMC88" s="160"/>
      <c r="AMD88" s="160"/>
      <c r="AME88" s="158"/>
    </row>
    <row r="89" spans="1:1019">
      <c r="A89" s="168">
        <f t="shared" si="2"/>
        <v>82</v>
      </c>
      <c r="B89" s="184">
        <v>2011</v>
      </c>
      <c r="C89" s="168" t="s">
        <v>920</v>
      </c>
      <c r="D89" s="169">
        <f>'הנדסה '!D56</f>
        <v>80000000</v>
      </c>
      <c r="E89" s="169">
        <f>'הנדסה '!E56</f>
        <v>0</v>
      </c>
      <c r="F89" s="169">
        <f>'הנדסה '!F56</f>
        <v>80000000</v>
      </c>
      <c r="G89" s="169">
        <f>'הנדסה '!G56</f>
        <v>0</v>
      </c>
      <c r="H89" s="169">
        <f>'הנדסה '!H56</f>
        <v>0</v>
      </c>
      <c r="I89" s="169">
        <f>'הנדסה '!I56</f>
        <v>0</v>
      </c>
      <c r="J89" s="169">
        <f>'הנדסה '!J56</f>
        <v>0</v>
      </c>
      <c r="K89" s="169">
        <f>'הנדסה '!K56</f>
        <v>0</v>
      </c>
      <c r="L89" s="169">
        <f>'הנדסה '!L56</f>
        <v>0</v>
      </c>
      <c r="M89" s="169">
        <f>'הנדסה '!M56</f>
        <v>0</v>
      </c>
      <c r="N89" s="169">
        <f>'הנדסה '!N56</f>
        <v>2000000</v>
      </c>
      <c r="O89" s="169">
        <f>'הנדסה '!O56</f>
        <v>78000000</v>
      </c>
      <c r="P89" s="169">
        <f>'הנדסה '!P56</f>
        <v>0</v>
      </c>
      <c r="Q89" s="169">
        <f>'הנדסה '!Q56</f>
        <v>0</v>
      </c>
      <c r="R89" s="169">
        <f>'הנדסה '!R56</f>
        <v>0</v>
      </c>
      <c r="S89" s="169">
        <f>'הנדסה '!S56</f>
        <v>0</v>
      </c>
      <c r="T89" s="169">
        <f>'הנדסה '!T56</f>
        <v>0</v>
      </c>
      <c r="U89" s="169">
        <f>'הנדסה '!U56</f>
        <v>2000000</v>
      </c>
      <c r="V89" s="169">
        <f>'הנדסה '!V56</f>
        <v>2000000</v>
      </c>
      <c r="W89" s="169">
        <f>'הנדסה '!W56</f>
        <v>0</v>
      </c>
      <c r="X89" s="169">
        <f>'הנדסה '!X56</f>
        <v>0</v>
      </c>
      <c r="Y89" s="169">
        <f>'הנדסה '!Y56</f>
        <v>0</v>
      </c>
      <c r="Z89" s="169">
        <f>'הנדסה '!Z56</f>
        <v>0</v>
      </c>
      <c r="AA89" s="659">
        <f>'הנדסה '!AA56</f>
        <v>742000</v>
      </c>
      <c r="AB89" s="157"/>
      <c r="AF89" s="172"/>
      <c r="AG89" s="174"/>
      <c r="AH89" s="174"/>
      <c r="AI89" s="174"/>
      <c r="AJ89" s="174"/>
      <c r="AK89" s="174"/>
    </row>
    <row r="90" spans="1:1019">
      <c r="A90" s="168">
        <f t="shared" si="2"/>
        <v>83</v>
      </c>
      <c r="B90" s="184">
        <v>2012</v>
      </c>
      <c r="C90" s="168" t="s">
        <v>921</v>
      </c>
      <c r="D90" s="169">
        <f>'הנדסה '!D57</f>
        <v>5000000</v>
      </c>
      <c r="E90" s="169">
        <f>'הנדסה '!E57</f>
        <v>0</v>
      </c>
      <c r="F90" s="169">
        <f>'הנדסה '!F57</f>
        <v>5000000</v>
      </c>
      <c r="G90" s="169">
        <f>'הנדסה '!G57</f>
        <v>0</v>
      </c>
      <c r="H90" s="169">
        <f>'הנדסה '!H57</f>
        <v>0</v>
      </c>
      <c r="I90" s="169">
        <f>'הנדסה '!I57</f>
        <v>0</v>
      </c>
      <c r="J90" s="169">
        <f>'הנדסה '!J57</f>
        <v>0</v>
      </c>
      <c r="K90" s="169">
        <f>'הנדסה '!K57</f>
        <v>0</v>
      </c>
      <c r="L90" s="169">
        <f>'הנדסה '!L57</f>
        <v>0</v>
      </c>
      <c r="M90" s="169">
        <f>'הנדסה '!M57</f>
        <v>0</v>
      </c>
      <c r="N90" s="169">
        <f>'הנדסה '!N57</f>
        <v>500000</v>
      </c>
      <c r="O90" s="169">
        <f>'הנדסה '!O57</f>
        <v>4500000</v>
      </c>
      <c r="P90" s="169">
        <f>'הנדסה '!P57</f>
        <v>0</v>
      </c>
      <c r="Q90" s="169">
        <f>'הנדסה '!Q57</f>
        <v>0</v>
      </c>
      <c r="R90" s="169">
        <f>'הנדסה '!R57</f>
        <v>0</v>
      </c>
      <c r="S90" s="169">
        <f>'הנדסה '!S57</f>
        <v>0</v>
      </c>
      <c r="T90" s="169">
        <f>'הנדסה '!T57</f>
        <v>0</v>
      </c>
      <c r="U90" s="169">
        <f>'הנדסה '!U57</f>
        <v>500000</v>
      </c>
      <c r="V90" s="169">
        <f>'הנדסה '!V57</f>
        <v>500000</v>
      </c>
      <c r="W90" s="169">
        <f>'הנדסה '!W57</f>
        <v>0</v>
      </c>
      <c r="X90" s="169">
        <f>'הנדסה '!X57</f>
        <v>0</v>
      </c>
      <c r="Y90" s="169">
        <f>'הנדסה '!Y57</f>
        <v>0</v>
      </c>
      <c r="Z90" s="169">
        <f>'הנדסה '!Z57</f>
        <v>0</v>
      </c>
      <c r="AA90" s="659">
        <f>'הנדסה '!AA57</f>
        <v>742000</v>
      </c>
      <c r="AB90" s="157"/>
      <c r="AF90" s="172"/>
      <c r="AG90" s="174"/>
      <c r="AH90" s="174"/>
      <c r="AI90" s="174"/>
      <c r="AJ90" s="174"/>
      <c r="AK90" s="174"/>
    </row>
    <row r="91" spans="1:1019" s="174" customFormat="1">
      <c r="A91" s="173"/>
      <c r="B91" s="183">
        <v>3</v>
      </c>
      <c r="C91" s="173" t="s">
        <v>1038</v>
      </c>
      <c r="D91" s="179">
        <f>SUM(D50:D90)</f>
        <v>607468301</v>
      </c>
      <c r="E91" s="179">
        <f t="shared" ref="E91:Z91" si="3">SUM(E50:E90)</f>
        <v>477592195</v>
      </c>
      <c r="F91" s="179">
        <f t="shared" si="3"/>
        <v>129876106</v>
      </c>
      <c r="G91" s="179">
        <f t="shared" si="3"/>
        <v>271438966</v>
      </c>
      <c r="H91" s="179">
        <f t="shared" si="3"/>
        <v>197362823.97</v>
      </c>
      <c r="I91" s="179">
        <f t="shared" si="3"/>
        <v>32778668.049999997</v>
      </c>
      <c r="J91" s="179">
        <f t="shared" si="3"/>
        <v>13336357.34</v>
      </c>
      <c r="K91" s="179">
        <f t="shared" si="3"/>
        <v>46115025.390000001</v>
      </c>
      <c r="L91" s="179">
        <f t="shared" si="3"/>
        <v>243477849.36000001</v>
      </c>
      <c r="M91" s="179">
        <f t="shared" si="3"/>
        <v>16832116.640000001</v>
      </c>
      <c r="N91" s="179">
        <f t="shared" si="3"/>
        <v>23810000</v>
      </c>
      <c r="O91" s="179">
        <f t="shared" si="3"/>
        <v>323348335</v>
      </c>
      <c r="P91" s="179">
        <f t="shared" si="3"/>
        <v>27961116.640000004</v>
      </c>
      <c r="Q91" s="179">
        <f t="shared" si="3"/>
        <v>0</v>
      </c>
      <c r="R91" s="179">
        <f t="shared" si="3"/>
        <v>0</v>
      </c>
      <c r="S91" s="179">
        <f t="shared" si="3"/>
        <v>0</v>
      </c>
      <c r="T91" s="179">
        <f t="shared" si="3"/>
        <v>11129000</v>
      </c>
      <c r="U91" s="179">
        <f t="shared" si="3"/>
        <v>12681000</v>
      </c>
      <c r="V91" s="179">
        <f t="shared" si="3"/>
        <v>12192173</v>
      </c>
      <c r="W91" s="179">
        <f t="shared" si="3"/>
        <v>0</v>
      </c>
      <c r="X91" s="179">
        <f t="shared" si="3"/>
        <v>0</v>
      </c>
      <c r="Y91" s="179">
        <f t="shared" si="3"/>
        <v>0</v>
      </c>
      <c r="Z91" s="179">
        <f t="shared" si="3"/>
        <v>488827</v>
      </c>
      <c r="AA91" s="180"/>
      <c r="AB91" s="157"/>
      <c r="AC91" s="157"/>
      <c r="AD91" s="157"/>
      <c r="AE91" s="157"/>
      <c r="AME91" s="158"/>
    </row>
    <row r="92" spans="1:1019">
      <c r="A92" s="168"/>
      <c r="B92" s="175"/>
      <c r="C92" s="168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659"/>
      <c r="AB92" s="157"/>
      <c r="AF92" s="172"/>
      <c r="AG92" s="172"/>
      <c r="AH92" s="172"/>
      <c r="AI92" s="172"/>
      <c r="AJ92" s="172"/>
      <c r="AK92" s="172"/>
    </row>
    <row r="93" spans="1:1019" ht="15" customHeight="1">
      <c r="A93" s="168">
        <f>A90+1</f>
        <v>84</v>
      </c>
      <c r="B93" s="175">
        <v>1060</v>
      </c>
      <c r="C93" s="168" t="s">
        <v>81</v>
      </c>
      <c r="D93" s="169">
        <f>'הנדסה '!D16</f>
        <v>725000</v>
      </c>
      <c r="E93" s="169">
        <f>'הנדסה '!E16</f>
        <v>2085000</v>
      </c>
      <c r="F93" s="169">
        <f>'הנדסה '!F16</f>
        <v>-1360000</v>
      </c>
      <c r="G93" s="169">
        <f>'הנדסה '!G16</f>
        <v>850000</v>
      </c>
      <c r="H93" s="169">
        <f>'הנדסה '!H16</f>
        <v>718557.75</v>
      </c>
      <c r="I93" s="169">
        <f>'הנדסה '!I16</f>
        <v>0</v>
      </c>
      <c r="J93" s="169">
        <f>'הנדסה '!J16</f>
        <v>6318</v>
      </c>
      <c r="K93" s="169">
        <f>'הנדסה '!K16</f>
        <v>6318</v>
      </c>
      <c r="L93" s="169">
        <f>'הנדסה '!L16</f>
        <v>724875.75</v>
      </c>
      <c r="M93" s="169">
        <f>'הנדסה '!M16</f>
        <v>124.25</v>
      </c>
      <c r="N93" s="169">
        <f>'הנדסה '!N16</f>
        <v>0</v>
      </c>
      <c r="O93" s="169">
        <f>'הנדסה '!O16</f>
        <v>0</v>
      </c>
      <c r="P93" s="169">
        <f>'הנדסה '!P16</f>
        <v>125124.25</v>
      </c>
      <c r="Q93" s="169">
        <f>'הנדסה '!Q16</f>
        <v>0</v>
      </c>
      <c r="R93" s="169">
        <f>'הנדסה '!R16</f>
        <v>0</v>
      </c>
      <c r="S93" s="169">
        <f>'הנדסה '!S16</f>
        <v>0</v>
      </c>
      <c r="T93" s="169">
        <f>'הנדסה '!T16</f>
        <v>125000</v>
      </c>
      <c r="U93" s="169">
        <f>'הנדסה '!U16</f>
        <v>-125000</v>
      </c>
      <c r="V93" s="169">
        <f>'הנדסה '!V16</f>
        <v>-125000</v>
      </c>
      <c r="W93" s="169">
        <f>'הנדסה '!W16</f>
        <v>0</v>
      </c>
      <c r="X93" s="169">
        <f>'הנדסה '!X16</f>
        <v>0</v>
      </c>
      <c r="Y93" s="169">
        <f>'הנדסה '!Y16</f>
        <v>0</v>
      </c>
      <c r="Z93" s="169">
        <f>'הנדסה '!Z16</f>
        <v>0</v>
      </c>
      <c r="AA93" s="659">
        <f>'הנדסה '!AA16</f>
        <v>760000</v>
      </c>
      <c r="AB93" s="157"/>
      <c r="AF93" s="172"/>
      <c r="AG93" s="172"/>
      <c r="AH93" s="172"/>
      <c r="AI93" s="172"/>
      <c r="AJ93" s="172"/>
      <c r="AK93" s="172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174"/>
      <c r="EU93" s="174"/>
      <c r="EV93" s="174"/>
      <c r="EW93" s="174"/>
      <c r="EX93" s="174"/>
      <c r="EY93" s="174"/>
      <c r="EZ93" s="174"/>
      <c r="FA93" s="174"/>
      <c r="FB93" s="174"/>
      <c r="FC93" s="174"/>
      <c r="FD93" s="174"/>
      <c r="FE93" s="174"/>
      <c r="FF93" s="174"/>
      <c r="FG93" s="174"/>
      <c r="FH93" s="174"/>
      <c r="FI93" s="174"/>
      <c r="FJ93" s="174"/>
      <c r="FK93" s="174"/>
      <c r="FL93" s="174"/>
      <c r="FM93" s="174"/>
      <c r="FN93" s="174"/>
      <c r="FO93" s="174"/>
      <c r="FP93" s="174"/>
      <c r="FQ93" s="174"/>
      <c r="FR93" s="174"/>
      <c r="FS93" s="174"/>
      <c r="FT93" s="174"/>
      <c r="FU93" s="174"/>
      <c r="FV93" s="174"/>
      <c r="FW93" s="174"/>
      <c r="FX93" s="174"/>
      <c r="FY93" s="174"/>
      <c r="FZ93" s="174"/>
      <c r="GA93" s="174"/>
      <c r="GB93" s="174"/>
      <c r="GC93" s="174"/>
      <c r="GD93" s="174"/>
      <c r="GE93" s="174"/>
      <c r="GF93" s="174"/>
      <c r="GG93" s="174"/>
      <c r="GH93" s="174"/>
      <c r="GI93" s="174"/>
      <c r="GJ93" s="174"/>
      <c r="GK93" s="174"/>
      <c r="GL93" s="174"/>
      <c r="GM93" s="174"/>
      <c r="GN93" s="174"/>
      <c r="GO93" s="174"/>
      <c r="GP93" s="174"/>
      <c r="GQ93" s="174"/>
      <c r="GR93" s="174"/>
      <c r="GS93" s="174"/>
      <c r="GT93" s="174"/>
      <c r="GU93" s="174"/>
      <c r="GV93" s="174"/>
      <c r="GW93" s="174"/>
      <c r="GX93" s="174"/>
      <c r="GY93" s="174"/>
      <c r="GZ93" s="174"/>
      <c r="HA93" s="174"/>
      <c r="HB93" s="174"/>
      <c r="HC93" s="174"/>
      <c r="HD93" s="174"/>
      <c r="HE93" s="174"/>
      <c r="HF93" s="174"/>
      <c r="HG93" s="174"/>
      <c r="HH93" s="174"/>
      <c r="HI93" s="174"/>
      <c r="HJ93" s="174"/>
      <c r="HK93" s="174"/>
      <c r="HL93" s="174"/>
      <c r="HM93" s="174"/>
      <c r="HN93" s="174"/>
      <c r="HO93" s="174"/>
      <c r="HP93" s="174"/>
      <c r="HQ93" s="174"/>
      <c r="HR93" s="174"/>
      <c r="HS93" s="174"/>
      <c r="HT93" s="174"/>
      <c r="HU93" s="174"/>
      <c r="HV93" s="174"/>
      <c r="HW93" s="174"/>
      <c r="HX93" s="174"/>
      <c r="HY93" s="174"/>
      <c r="HZ93" s="174"/>
      <c r="IA93" s="174"/>
      <c r="IB93" s="174"/>
      <c r="IC93" s="174"/>
      <c r="ID93" s="174"/>
      <c r="IE93" s="174"/>
      <c r="IF93" s="174"/>
      <c r="IG93" s="174"/>
      <c r="IH93" s="174"/>
      <c r="II93" s="174"/>
      <c r="IJ93" s="174"/>
      <c r="IK93" s="174"/>
      <c r="IL93" s="174"/>
      <c r="IM93" s="174"/>
      <c r="IN93" s="174"/>
      <c r="IO93" s="174"/>
      <c r="IP93" s="174"/>
      <c r="IQ93" s="174"/>
      <c r="IR93" s="174"/>
      <c r="IS93" s="174"/>
      <c r="IT93" s="174"/>
      <c r="IU93" s="174"/>
      <c r="IV93" s="174"/>
      <c r="IW93" s="174"/>
      <c r="IX93" s="174"/>
      <c r="IY93" s="174"/>
      <c r="IZ93" s="174"/>
      <c r="JA93" s="174"/>
      <c r="JB93" s="174"/>
      <c r="JC93" s="174"/>
      <c r="JD93" s="174"/>
      <c r="JE93" s="174"/>
      <c r="JF93" s="174"/>
      <c r="JG93" s="174"/>
      <c r="JH93" s="174"/>
      <c r="JI93" s="174"/>
      <c r="JJ93" s="174"/>
      <c r="JK93" s="174"/>
      <c r="JL93" s="174"/>
      <c r="JM93" s="174"/>
      <c r="JN93" s="174"/>
      <c r="JO93" s="174"/>
      <c r="JP93" s="174"/>
      <c r="JQ93" s="174"/>
      <c r="JR93" s="174"/>
      <c r="JS93" s="174"/>
      <c r="JT93" s="174"/>
      <c r="JU93" s="174"/>
      <c r="JV93" s="174"/>
      <c r="JW93" s="174"/>
      <c r="JX93" s="174"/>
      <c r="JY93" s="174"/>
      <c r="JZ93" s="174"/>
      <c r="KA93" s="174"/>
      <c r="KB93" s="174"/>
      <c r="KC93" s="174"/>
      <c r="KD93" s="174"/>
      <c r="KE93" s="174"/>
      <c r="KF93" s="174"/>
      <c r="KG93" s="174"/>
      <c r="KH93" s="174"/>
      <c r="KI93" s="174"/>
      <c r="KJ93" s="174"/>
      <c r="KK93" s="174"/>
      <c r="KL93" s="174"/>
      <c r="KM93" s="174"/>
      <c r="KN93" s="174"/>
      <c r="KO93" s="174"/>
      <c r="KP93" s="174"/>
      <c r="KQ93" s="174"/>
      <c r="KR93" s="174"/>
      <c r="KS93" s="174"/>
      <c r="KT93" s="174"/>
      <c r="KU93" s="174"/>
      <c r="KV93" s="174"/>
      <c r="KW93" s="174"/>
      <c r="KX93" s="174"/>
      <c r="KY93" s="174"/>
      <c r="KZ93" s="174"/>
      <c r="LA93" s="174"/>
      <c r="LB93" s="174"/>
      <c r="LC93" s="174"/>
      <c r="LD93" s="174"/>
      <c r="LE93" s="174"/>
      <c r="LF93" s="174"/>
      <c r="LG93" s="174"/>
      <c r="LH93" s="174"/>
      <c r="LI93" s="174"/>
      <c r="LJ93" s="174"/>
      <c r="LK93" s="174"/>
      <c r="LL93" s="174"/>
      <c r="LM93" s="174"/>
      <c r="LN93" s="174"/>
      <c r="LO93" s="174"/>
      <c r="LP93" s="174"/>
      <c r="LQ93" s="174"/>
      <c r="LR93" s="174"/>
      <c r="LS93" s="174"/>
      <c r="LT93" s="174"/>
      <c r="LU93" s="174"/>
      <c r="LV93" s="174"/>
      <c r="LW93" s="174"/>
      <c r="LX93" s="174"/>
      <c r="LY93" s="174"/>
      <c r="LZ93" s="174"/>
      <c r="MA93" s="174"/>
      <c r="MB93" s="174"/>
      <c r="MC93" s="174"/>
      <c r="MD93" s="174"/>
      <c r="ME93" s="174"/>
      <c r="MF93" s="174"/>
      <c r="MG93" s="174"/>
      <c r="MH93" s="174"/>
      <c r="MI93" s="174"/>
      <c r="MJ93" s="174"/>
      <c r="MK93" s="174"/>
      <c r="ML93" s="174"/>
      <c r="MM93" s="174"/>
      <c r="MN93" s="174"/>
      <c r="MO93" s="174"/>
      <c r="MP93" s="174"/>
      <c r="MQ93" s="174"/>
      <c r="MR93" s="174"/>
      <c r="MS93" s="174"/>
      <c r="MT93" s="174"/>
      <c r="MU93" s="174"/>
      <c r="MV93" s="174"/>
      <c r="MW93" s="174"/>
      <c r="MX93" s="174"/>
      <c r="MY93" s="174"/>
      <c r="MZ93" s="174"/>
      <c r="NA93" s="174"/>
      <c r="NB93" s="174"/>
      <c r="NC93" s="174"/>
      <c r="ND93" s="174"/>
      <c r="NE93" s="174"/>
      <c r="NF93" s="174"/>
      <c r="NG93" s="174"/>
      <c r="NH93" s="174"/>
      <c r="NI93" s="174"/>
      <c r="NJ93" s="174"/>
      <c r="NK93" s="174"/>
      <c r="NL93" s="174"/>
      <c r="NM93" s="174"/>
      <c r="NN93" s="174"/>
      <c r="NO93" s="174"/>
      <c r="NP93" s="174"/>
      <c r="NQ93" s="174"/>
      <c r="NR93" s="174"/>
      <c r="NS93" s="174"/>
      <c r="NT93" s="174"/>
      <c r="NU93" s="174"/>
      <c r="NV93" s="174"/>
      <c r="NW93" s="174"/>
      <c r="NX93" s="174"/>
      <c r="NY93" s="174"/>
      <c r="NZ93" s="174"/>
      <c r="OA93" s="174"/>
      <c r="OB93" s="174"/>
      <c r="OC93" s="174"/>
      <c r="OD93" s="174"/>
      <c r="OE93" s="174"/>
      <c r="OF93" s="174"/>
      <c r="OG93" s="174"/>
      <c r="OH93" s="174"/>
      <c r="OI93" s="174"/>
      <c r="OJ93" s="174"/>
      <c r="OK93" s="174"/>
      <c r="OL93" s="174"/>
      <c r="OM93" s="174"/>
      <c r="ON93" s="174"/>
      <c r="OO93" s="174"/>
      <c r="OP93" s="174"/>
      <c r="OQ93" s="174"/>
      <c r="OR93" s="174"/>
      <c r="OS93" s="174"/>
      <c r="OT93" s="174"/>
      <c r="OU93" s="174"/>
      <c r="OV93" s="174"/>
      <c r="OW93" s="174"/>
      <c r="OX93" s="174"/>
      <c r="OY93" s="174"/>
      <c r="OZ93" s="174"/>
      <c r="PA93" s="174"/>
      <c r="PB93" s="174"/>
      <c r="PC93" s="174"/>
      <c r="PD93" s="174"/>
      <c r="PE93" s="174"/>
      <c r="PF93" s="174"/>
      <c r="PG93" s="174"/>
      <c r="PH93" s="174"/>
      <c r="PI93" s="174"/>
      <c r="PJ93" s="174"/>
      <c r="PK93" s="174"/>
      <c r="PL93" s="174"/>
      <c r="PM93" s="174"/>
      <c r="PN93" s="174"/>
      <c r="PO93" s="174"/>
      <c r="PP93" s="174"/>
      <c r="PQ93" s="174"/>
      <c r="PR93" s="174"/>
      <c r="PS93" s="174"/>
      <c r="PT93" s="174"/>
      <c r="PU93" s="174"/>
      <c r="PV93" s="174"/>
      <c r="PW93" s="174"/>
      <c r="PX93" s="174"/>
      <c r="PY93" s="174"/>
      <c r="PZ93" s="174"/>
      <c r="QA93" s="174"/>
      <c r="QB93" s="174"/>
      <c r="QC93" s="174"/>
      <c r="QD93" s="174"/>
      <c r="QE93" s="174"/>
      <c r="QF93" s="174"/>
      <c r="QG93" s="174"/>
      <c r="QH93" s="174"/>
      <c r="QI93" s="174"/>
      <c r="QJ93" s="174"/>
      <c r="QK93" s="174"/>
      <c r="QL93" s="174"/>
      <c r="QM93" s="174"/>
      <c r="QN93" s="174"/>
      <c r="QO93" s="174"/>
      <c r="QP93" s="174"/>
      <c r="QQ93" s="174"/>
      <c r="QR93" s="174"/>
      <c r="QS93" s="174"/>
      <c r="QT93" s="174"/>
      <c r="QU93" s="174"/>
      <c r="QV93" s="174"/>
      <c r="QW93" s="174"/>
      <c r="QX93" s="174"/>
      <c r="QY93" s="174"/>
      <c r="QZ93" s="174"/>
      <c r="RA93" s="174"/>
      <c r="RB93" s="174"/>
      <c r="RC93" s="174"/>
      <c r="RD93" s="174"/>
      <c r="RE93" s="174"/>
      <c r="RF93" s="174"/>
      <c r="RG93" s="174"/>
      <c r="RH93" s="174"/>
      <c r="RI93" s="174"/>
      <c r="RJ93" s="174"/>
      <c r="RK93" s="174"/>
      <c r="RL93" s="174"/>
      <c r="RM93" s="174"/>
      <c r="RN93" s="174"/>
      <c r="RO93" s="174"/>
      <c r="RP93" s="174"/>
      <c r="RQ93" s="174"/>
      <c r="RR93" s="174"/>
      <c r="RS93" s="174"/>
      <c r="RT93" s="174"/>
      <c r="RU93" s="174"/>
      <c r="RV93" s="174"/>
      <c r="RW93" s="174"/>
      <c r="RX93" s="174"/>
      <c r="RY93" s="174"/>
      <c r="RZ93" s="174"/>
      <c r="SA93" s="174"/>
      <c r="SB93" s="174"/>
      <c r="SC93" s="174"/>
      <c r="SD93" s="174"/>
      <c r="SE93" s="174"/>
      <c r="SF93" s="174"/>
      <c r="SG93" s="174"/>
      <c r="SH93" s="174"/>
      <c r="SI93" s="174"/>
      <c r="SJ93" s="174"/>
      <c r="SK93" s="174"/>
      <c r="SL93" s="174"/>
      <c r="SM93" s="174"/>
      <c r="SN93" s="174"/>
      <c r="SO93" s="174"/>
      <c r="SP93" s="174"/>
      <c r="SQ93" s="174"/>
      <c r="SR93" s="174"/>
      <c r="SS93" s="174"/>
      <c r="ST93" s="174"/>
      <c r="SU93" s="174"/>
      <c r="SV93" s="174"/>
      <c r="SW93" s="174"/>
      <c r="SX93" s="174"/>
      <c r="SY93" s="174"/>
      <c r="SZ93" s="174"/>
      <c r="TA93" s="174"/>
      <c r="TB93" s="174"/>
      <c r="TC93" s="174"/>
      <c r="TD93" s="174"/>
      <c r="TE93" s="174"/>
      <c r="TF93" s="174"/>
      <c r="TG93" s="174"/>
      <c r="TH93" s="174"/>
      <c r="TI93" s="174"/>
      <c r="TJ93" s="174"/>
      <c r="TK93" s="174"/>
      <c r="TL93" s="174"/>
      <c r="TM93" s="174"/>
      <c r="TN93" s="174"/>
      <c r="TO93" s="174"/>
      <c r="TP93" s="174"/>
      <c r="TQ93" s="174"/>
      <c r="TR93" s="174"/>
      <c r="TS93" s="174"/>
      <c r="TT93" s="174"/>
      <c r="TU93" s="174"/>
      <c r="TV93" s="174"/>
      <c r="TW93" s="174"/>
      <c r="TX93" s="174"/>
      <c r="TY93" s="174"/>
      <c r="TZ93" s="174"/>
      <c r="UA93" s="174"/>
      <c r="UB93" s="174"/>
      <c r="UC93" s="174"/>
      <c r="UD93" s="174"/>
      <c r="UE93" s="174"/>
      <c r="UF93" s="174"/>
      <c r="UG93" s="174"/>
      <c r="UH93" s="174"/>
      <c r="UI93" s="174"/>
      <c r="UJ93" s="174"/>
      <c r="UK93" s="174"/>
      <c r="UL93" s="174"/>
      <c r="UM93" s="174"/>
      <c r="UN93" s="174"/>
      <c r="UO93" s="174"/>
      <c r="UP93" s="174"/>
      <c r="UQ93" s="174"/>
      <c r="UR93" s="174"/>
      <c r="US93" s="174"/>
      <c r="UT93" s="174"/>
      <c r="UU93" s="174"/>
      <c r="UV93" s="174"/>
      <c r="UW93" s="174"/>
      <c r="UX93" s="174"/>
      <c r="UY93" s="174"/>
      <c r="UZ93" s="174"/>
      <c r="VA93" s="174"/>
      <c r="VB93" s="174"/>
      <c r="VC93" s="174"/>
      <c r="VD93" s="174"/>
      <c r="VE93" s="174"/>
      <c r="VF93" s="174"/>
      <c r="VG93" s="174"/>
      <c r="VH93" s="174"/>
      <c r="VI93" s="174"/>
      <c r="VJ93" s="174"/>
      <c r="VK93" s="174"/>
      <c r="VL93" s="174"/>
      <c r="VM93" s="174"/>
      <c r="VN93" s="174"/>
      <c r="VO93" s="174"/>
      <c r="VP93" s="174"/>
      <c r="VQ93" s="174"/>
      <c r="VR93" s="174"/>
      <c r="VS93" s="174"/>
      <c r="VT93" s="174"/>
      <c r="VU93" s="174"/>
      <c r="VV93" s="174"/>
      <c r="VW93" s="174"/>
      <c r="VX93" s="174"/>
      <c r="VY93" s="174"/>
      <c r="VZ93" s="174"/>
      <c r="WA93" s="174"/>
      <c r="WB93" s="174"/>
      <c r="WC93" s="174"/>
      <c r="WD93" s="174"/>
      <c r="WE93" s="174"/>
      <c r="WF93" s="174"/>
      <c r="WG93" s="174"/>
      <c r="WH93" s="174"/>
      <c r="WI93" s="174"/>
      <c r="WJ93" s="174"/>
      <c r="WK93" s="174"/>
      <c r="WL93" s="174"/>
      <c r="WM93" s="174"/>
      <c r="WN93" s="174"/>
      <c r="WO93" s="174"/>
      <c r="WP93" s="174"/>
      <c r="WQ93" s="174"/>
      <c r="WR93" s="174"/>
      <c r="WS93" s="174"/>
      <c r="WT93" s="174"/>
      <c r="WU93" s="174"/>
      <c r="WV93" s="174"/>
      <c r="WW93" s="174"/>
      <c r="WX93" s="174"/>
      <c r="WY93" s="174"/>
      <c r="WZ93" s="174"/>
      <c r="XA93" s="174"/>
      <c r="XB93" s="174"/>
      <c r="XC93" s="174"/>
      <c r="XD93" s="174"/>
      <c r="XE93" s="174"/>
      <c r="XF93" s="174"/>
      <c r="XG93" s="174"/>
      <c r="XH93" s="174"/>
      <c r="XI93" s="174"/>
      <c r="XJ93" s="174"/>
      <c r="XK93" s="174"/>
      <c r="XL93" s="174"/>
      <c r="XM93" s="174"/>
      <c r="XN93" s="174"/>
      <c r="XO93" s="174"/>
      <c r="XP93" s="174"/>
      <c r="XQ93" s="174"/>
      <c r="XR93" s="174"/>
      <c r="XS93" s="174"/>
      <c r="XT93" s="174"/>
      <c r="XU93" s="174"/>
      <c r="XV93" s="174"/>
      <c r="XW93" s="174"/>
      <c r="XX93" s="174"/>
      <c r="XY93" s="174"/>
      <c r="XZ93" s="174"/>
      <c r="YA93" s="174"/>
      <c r="YB93" s="174"/>
      <c r="YC93" s="174"/>
      <c r="YD93" s="174"/>
      <c r="YE93" s="174"/>
      <c r="YF93" s="174"/>
      <c r="YG93" s="174"/>
      <c r="YH93" s="174"/>
      <c r="YI93" s="174"/>
      <c r="YJ93" s="174"/>
      <c r="YK93" s="174"/>
      <c r="YL93" s="174"/>
      <c r="YM93" s="174"/>
      <c r="YN93" s="174"/>
      <c r="YO93" s="174"/>
      <c r="YP93" s="174"/>
      <c r="YQ93" s="174"/>
      <c r="YR93" s="174"/>
      <c r="YS93" s="174"/>
      <c r="YT93" s="174"/>
      <c r="YU93" s="174"/>
      <c r="YV93" s="174"/>
      <c r="YW93" s="174"/>
      <c r="YX93" s="174"/>
      <c r="YY93" s="174"/>
      <c r="YZ93" s="174"/>
      <c r="ZA93" s="174"/>
      <c r="ZB93" s="174"/>
      <c r="ZC93" s="174"/>
      <c r="ZD93" s="174"/>
      <c r="ZE93" s="174"/>
      <c r="ZF93" s="174"/>
      <c r="ZG93" s="174"/>
      <c r="ZH93" s="174"/>
      <c r="ZI93" s="174"/>
      <c r="ZJ93" s="174"/>
      <c r="ZK93" s="174"/>
      <c r="ZL93" s="174"/>
      <c r="ZM93" s="174"/>
      <c r="ZN93" s="174"/>
      <c r="ZO93" s="174"/>
      <c r="ZP93" s="174"/>
      <c r="ZQ93" s="174"/>
      <c r="ZR93" s="174"/>
      <c r="ZS93" s="174"/>
      <c r="ZT93" s="174"/>
      <c r="ZU93" s="174"/>
      <c r="ZV93" s="174"/>
      <c r="ZW93" s="174"/>
      <c r="ZX93" s="174"/>
      <c r="ZY93" s="174"/>
      <c r="ZZ93" s="174"/>
      <c r="AAA93" s="174"/>
      <c r="AAB93" s="174"/>
      <c r="AAC93" s="174"/>
      <c r="AAD93" s="174"/>
      <c r="AAE93" s="174"/>
      <c r="AAF93" s="174"/>
      <c r="AAG93" s="174"/>
      <c r="AAH93" s="174"/>
      <c r="AAI93" s="174"/>
      <c r="AAJ93" s="174"/>
      <c r="AAK93" s="174"/>
      <c r="AAL93" s="174"/>
      <c r="AAM93" s="174"/>
      <c r="AAN93" s="174"/>
      <c r="AAO93" s="174"/>
      <c r="AAP93" s="174"/>
      <c r="AAQ93" s="174"/>
      <c r="AAR93" s="174"/>
      <c r="AAS93" s="174"/>
      <c r="AAT93" s="174"/>
      <c r="AAU93" s="174"/>
      <c r="AAV93" s="174"/>
      <c r="AAW93" s="174"/>
      <c r="AAX93" s="174"/>
      <c r="AAY93" s="174"/>
      <c r="AAZ93" s="174"/>
      <c r="ABA93" s="174"/>
      <c r="ABB93" s="174"/>
      <c r="ABC93" s="174"/>
      <c r="ABD93" s="174"/>
      <c r="ABE93" s="174"/>
      <c r="ABF93" s="174"/>
      <c r="ABG93" s="174"/>
      <c r="ABH93" s="174"/>
      <c r="ABI93" s="174"/>
      <c r="ABJ93" s="174"/>
      <c r="ABK93" s="174"/>
      <c r="ABL93" s="174"/>
      <c r="ABM93" s="174"/>
      <c r="ABN93" s="174"/>
      <c r="ABO93" s="174"/>
      <c r="ABP93" s="174"/>
      <c r="ABQ93" s="174"/>
      <c r="ABR93" s="174"/>
      <c r="ABS93" s="174"/>
      <c r="ABT93" s="174"/>
      <c r="ABU93" s="174"/>
      <c r="ABV93" s="174"/>
      <c r="ABW93" s="174"/>
      <c r="ABX93" s="174"/>
      <c r="ABY93" s="174"/>
      <c r="ABZ93" s="174"/>
      <c r="ACA93" s="174"/>
      <c r="ACB93" s="174"/>
      <c r="ACC93" s="174"/>
      <c r="ACD93" s="174"/>
      <c r="ACE93" s="174"/>
      <c r="ACF93" s="174"/>
      <c r="ACG93" s="174"/>
      <c r="ACH93" s="174"/>
      <c r="ACI93" s="174"/>
      <c r="ACJ93" s="174"/>
      <c r="ACK93" s="174"/>
      <c r="ACL93" s="174"/>
      <c r="ACM93" s="174"/>
      <c r="ACN93" s="174"/>
      <c r="ACO93" s="174"/>
      <c r="ACP93" s="174"/>
      <c r="ACQ93" s="174"/>
      <c r="ACR93" s="174"/>
      <c r="ACS93" s="174"/>
      <c r="ACT93" s="174"/>
      <c r="ACU93" s="174"/>
      <c r="ACV93" s="174"/>
      <c r="ACW93" s="174"/>
      <c r="ACX93" s="174"/>
      <c r="ACY93" s="174"/>
      <c r="ACZ93" s="174"/>
      <c r="ADA93" s="174"/>
      <c r="ADB93" s="174"/>
      <c r="ADC93" s="174"/>
      <c r="ADD93" s="174"/>
      <c r="ADE93" s="174"/>
      <c r="ADF93" s="174"/>
      <c r="ADG93" s="174"/>
      <c r="ADH93" s="174"/>
      <c r="ADI93" s="174"/>
      <c r="ADJ93" s="174"/>
      <c r="ADK93" s="174"/>
      <c r="ADL93" s="174"/>
      <c r="ADM93" s="174"/>
      <c r="ADN93" s="174"/>
      <c r="ADO93" s="174"/>
      <c r="ADP93" s="174"/>
      <c r="ADQ93" s="174"/>
      <c r="ADR93" s="174"/>
      <c r="ADS93" s="174"/>
      <c r="ADT93" s="174"/>
      <c r="ADU93" s="174"/>
      <c r="ADV93" s="174"/>
      <c r="ADW93" s="174"/>
      <c r="ADX93" s="174"/>
      <c r="ADY93" s="174"/>
      <c r="ADZ93" s="174"/>
      <c r="AEA93" s="174"/>
      <c r="AEB93" s="174"/>
      <c r="AEC93" s="174"/>
      <c r="AED93" s="174"/>
      <c r="AEE93" s="174"/>
      <c r="AEF93" s="174"/>
      <c r="AEG93" s="174"/>
      <c r="AEH93" s="174"/>
      <c r="AEI93" s="174"/>
      <c r="AEJ93" s="174"/>
      <c r="AEK93" s="174"/>
      <c r="AEL93" s="174"/>
      <c r="AEM93" s="174"/>
      <c r="AEN93" s="174"/>
      <c r="AEO93" s="174"/>
      <c r="AEP93" s="174"/>
      <c r="AEQ93" s="174"/>
      <c r="AER93" s="174"/>
      <c r="AES93" s="174"/>
      <c r="AET93" s="174"/>
      <c r="AEU93" s="174"/>
      <c r="AEV93" s="174"/>
      <c r="AEW93" s="174"/>
      <c r="AEX93" s="174"/>
      <c r="AEY93" s="174"/>
      <c r="AEZ93" s="174"/>
      <c r="AFA93" s="174"/>
      <c r="AFB93" s="174"/>
      <c r="AFC93" s="174"/>
      <c r="AFD93" s="174"/>
      <c r="AFE93" s="174"/>
      <c r="AFF93" s="174"/>
      <c r="AFG93" s="174"/>
      <c r="AFH93" s="174"/>
      <c r="AFI93" s="174"/>
      <c r="AFJ93" s="174"/>
      <c r="AFK93" s="174"/>
      <c r="AFL93" s="174"/>
      <c r="AFM93" s="174"/>
      <c r="AFN93" s="174"/>
      <c r="AFO93" s="174"/>
      <c r="AFP93" s="174"/>
      <c r="AFQ93" s="174"/>
      <c r="AFR93" s="174"/>
      <c r="AFS93" s="174"/>
      <c r="AFT93" s="174"/>
      <c r="AFU93" s="174"/>
      <c r="AFV93" s="174"/>
      <c r="AFW93" s="174"/>
      <c r="AFX93" s="174"/>
      <c r="AFY93" s="174"/>
      <c r="AFZ93" s="174"/>
      <c r="AGA93" s="174"/>
      <c r="AGB93" s="174"/>
      <c r="AGC93" s="174"/>
      <c r="AGD93" s="174"/>
      <c r="AGE93" s="174"/>
      <c r="AGF93" s="174"/>
      <c r="AGG93" s="174"/>
      <c r="AGH93" s="174"/>
      <c r="AGI93" s="174"/>
      <c r="AGJ93" s="174"/>
      <c r="AGK93" s="174"/>
      <c r="AGL93" s="174"/>
      <c r="AGM93" s="174"/>
      <c r="AGN93" s="174"/>
      <c r="AGO93" s="174"/>
      <c r="AGP93" s="174"/>
      <c r="AGQ93" s="174"/>
      <c r="AGR93" s="174"/>
      <c r="AGS93" s="174"/>
      <c r="AGT93" s="174"/>
      <c r="AGU93" s="174"/>
      <c r="AGV93" s="174"/>
      <c r="AGW93" s="174"/>
      <c r="AGX93" s="174"/>
      <c r="AGY93" s="174"/>
      <c r="AGZ93" s="174"/>
      <c r="AHA93" s="174"/>
      <c r="AHB93" s="174"/>
      <c r="AHC93" s="174"/>
      <c r="AHD93" s="174"/>
      <c r="AHE93" s="174"/>
      <c r="AHF93" s="174"/>
      <c r="AHG93" s="174"/>
      <c r="AHH93" s="174"/>
      <c r="AHI93" s="174"/>
      <c r="AHJ93" s="174"/>
      <c r="AHK93" s="174"/>
      <c r="AHL93" s="174"/>
      <c r="AHM93" s="174"/>
      <c r="AHN93" s="174"/>
      <c r="AHO93" s="174"/>
      <c r="AHP93" s="174"/>
      <c r="AHQ93" s="174"/>
      <c r="AHR93" s="174"/>
      <c r="AHS93" s="174"/>
      <c r="AHT93" s="174"/>
      <c r="AHU93" s="174"/>
      <c r="AHV93" s="174"/>
      <c r="AHW93" s="174"/>
      <c r="AHX93" s="174"/>
      <c r="AHY93" s="174"/>
      <c r="AHZ93" s="174"/>
      <c r="AIA93" s="174"/>
      <c r="AIB93" s="174"/>
      <c r="AIC93" s="174"/>
      <c r="AID93" s="174"/>
      <c r="AIE93" s="174"/>
      <c r="AIF93" s="174"/>
      <c r="AIG93" s="174"/>
      <c r="AIH93" s="174"/>
      <c r="AII93" s="174"/>
      <c r="AIJ93" s="174"/>
      <c r="AIK93" s="174"/>
      <c r="AIL93" s="174"/>
      <c r="AIM93" s="174"/>
      <c r="AIN93" s="174"/>
      <c r="AIO93" s="174"/>
      <c r="AIP93" s="174"/>
      <c r="AIQ93" s="174"/>
      <c r="AIR93" s="174"/>
      <c r="AIS93" s="174"/>
      <c r="AIT93" s="174"/>
      <c r="AIU93" s="174"/>
      <c r="AIV93" s="174"/>
      <c r="AIW93" s="174"/>
      <c r="AIX93" s="174"/>
      <c r="AIY93" s="174"/>
      <c r="AIZ93" s="174"/>
      <c r="AJA93" s="174"/>
      <c r="AJB93" s="174"/>
      <c r="AJC93" s="174"/>
      <c r="AJD93" s="174"/>
      <c r="AJE93" s="174"/>
      <c r="AJF93" s="174"/>
      <c r="AJG93" s="174"/>
      <c r="AJH93" s="174"/>
      <c r="AJI93" s="174"/>
      <c r="AJJ93" s="174"/>
      <c r="AJK93" s="174"/>
      <c r="AJL93" s="174"/>
      <c r="AJM93" s="174"/>
      <c r="AJN93" s="174"/>
      <c r="AJO93" s="174"/>
      <c r="AJP93" s="174"/>
      <c r="AJQ93" s="174"/>
      <c r="AJR93" s="174"/>
      <c r="AJS93" s="174"/>
      <c r="AJT93" s="174"/>
      <c r="AJU93" s="174"/>
      <c r="AJV93" s="174"/>
      <c r="AJW93" s="174"/>
      <c r="AJX93" s="174"/>
      <c r="AJY93" s="174"/>
      <c r="AJZ93" s="174"/>
      <c r="AKA93" s="174"/>
      <c r="AKB93" s="174"/>
      <c r="AKC93" s="174"/>
      <c r="AKD93" s="174"/>
      <c r="AKE93" s="174"/>
      <c r="AKF93" s="174"/>
      <c r="AKG93" s="174"/>
      <c r="AKH93" s="174"/>
      <c r="AKI93" s="174"/>
      <c r="AKJ93" s="174"/>
      <c r="AKK93" s="174"/>
      <c r="AKL93" s="174"/>
      <c r="AKM93" s="174"/>
      <c r="AKN93" s="174"/>
      <c r="AKO93" s="174"/>
      <c r="AKP93" s="174"/>
      <c r="AKQ93" s="174"/>
      <c r="AKR93" s="174"/>
      <c r="AKS93" s="174"/>
      <c r="AKT93" s="174"/>
      <c r="AKU93" s="174"/>
      <c r="AKV93" s="174"/>
      <c r="AKW93" s="174"/>
      <c r="AKX93" s="174"/>
      <c r="AKY93" s="174"/>
      <c r="AKZ93" s="174"/>
      <c r="ALA93" s="174"/>
      <c r="ALB93" s="174"/>
      <c r="ALC93" s="174"/>
      <c r="ALD93" s="174"/>
      <c r="ALE93" s="174"/>
      <c r="ALF93" s="174"/>
      <c r="ALG93" s="174"/>
      <c r="ALH93" s="174"/>
      <c r="ALI93" s="174"/>
      <c r="ALJ93" s="174"/>
      <c r="ALK93" s="174"/>
      <c r="ALL93" s="174"/>
      <c r="ALM93" s="174"/>
      <c r="ALN93" s="174"/>
      <c r="ALO93" s="174"/>
      <c r="ALP93" s="174"/>
      <c r="ALQ93" s="174"/>
      <c r="ALR93" s="174"/>
      <c r="ALS93" s="174"/>
      <c r="ALT93" s="174"/>
      <c r="ALU93" s="174"/>
      <c r="ALV93" s="174"/>
      <c r="ALW93" s="174"/>
      <c r="ALX93" s="174"/>
      <c r="ALY93" s="174"/>
      <c r="ALZ93" s="174"/>
      <c r="AMA93" s="174"/>
      <c r="AMB93" s="174"/>
      <c r="AMC93" s="174"/>
      <c r="AMD93" s="174"/>
    </row>
    <row r="94" spans="1:1019">
      <c r="A94" s="168">
        <f>A93+1</f>
        <v>85</v>
      </c>
      <c r="B94" s="175">
        <v>1529</v>
      </c>
      <c r="C94" s="168" t="s">
        <v>71</v>
      </c>
      <c r="D94" s="169">
        <f>'הנדסה '!D32</f>
        <v>350000</v>
      </c>
      <c r="E94" s="169">
        <f>'הנדסה '!E32</f>
        <v>350000</v>
      </c>
      <c r="F94" s="169">
        <f>'הנדסה '!F32</f>
        <v>0</v>
      </c>
      <c r="G94" s="169">
        <f>'הנדסה '!G32</f>
        <v>200000</v>
      </c>
      <c r="H94" s="169">
        <f>'הנדסה '!H32</f>
        <v>183866.55</v>
      </c>
      <c r="I94" s="169">
        <f>'הנדסה '!I32</f>
        <v>0</v>
      </c>
      <c r="J94" s="169">
        <f>'הנדסה '!J32</f>
        <v>0</v>
      </c>
      <c r="K94" s="169">
        <f>'הנדסה '!K32</f>
        <v>0</v>
      </c>
      <c r="L94" s="169">
        <f>'הנדסה '!L32</f>
        <v>183866.55</v>
      </c>
      <c r="M94" s="169">
        <f>'הנדסה '!M32</f>
        <v>16133.450000000012</v>
      </c>
      <c r="N94" s="169">
        <f>'הנדסה '!N32</f>
        <v>50000</v>
      </c>
      <c r="O94" s="169">
        <f>'הנדסה '!O32</f>
        <v>100000</v>
      </c>
      <c r="P94" s="169">
        <f>'הנדסה '!P32</f>
        <v>16133.450000000012</v>
      </c>
      <c r="Q94" s="169">
        <f>'הנדסה '!Q32</f>
        <v>0</v>
      </c>
      <c r="R94" s="169">
        <f>'הנדסה '!R32</f>
        <v>0</v>
      </c>
      <c r="S94" s="169">
        <f>'הנדסה '!S32</f>
        <v>0</v>
      </c>
      <c r="T94" s="169">
        <f>'הנדסה '!T32</f>
        <v>0</v>
      </c>
      <c r="U94" s="169">
        <f>'הנדסה '!U32</f>
        <v>50000</v>
      </c>
      <c r="V94" s="169">
        <f>'הנדסה '!V32</f>
        <v>50000</v>
      </c>
      <c r="W94" s="169">
        <f>'הנדסה '!W32</f>
        <v>0</v>
      </c>
      <c r="X94" s="169">
        <f>'הנדסה '!X32</f>
        <v>0</v>
      </c>
      <c r="Y94" s="169">
        <f>'הנדסה '!Y32</f>
        <v>0</v>
      </c>
      <c r="Z94" s="169">
        <f>'הנדסה '!Z32</f>
        <v>0</v>
      </c>
      <c r="AA94" s="659">
        <f>'הנדסה '!AA32</f>
        <v>760000</v>
      </c>
      <c r="AB94" s="157"/>
      <c r="AF94" s="172"/>
      <c r="AG94" s="172"/>
      <c r="AH94" s="172"/>
      <c r="AI94" s="172"/>
      <c r="AJ94" s="172"/>
      <c r="AK94" s="172"/>
    </row>
    <row r="95" spans="1:1019" s="174" customFormat="1">
      <c r="A95" s="173"/>
      <c r="B95" s="183">
        <v>5</v>
      </c>
      <c r="C95" s="173" t="s">
        <v>1039</v>
      </c>
      <c r="D95" s="179">
        <f>SUM(D93:D94)</f>
        <v>1075000</v>
      </c>
      <c r="E95" s="179">
        <f t="shared" ref="E95:Z95" si="4">SUM(E93:E94)</f>
        <v>2435000</v>
      </c>
      <c r="F95" s="179">
        <f t="shared" si="4"/>
        <v>-1360000</v>
      </c>
      <c r="G95" s="179">
        <f t="shared" si="4"/>
        <v>1050000</v>
      </c>
      <c r="H95" s="179">
        <f t="shared" si="4"/>
        <v>902424.3</v>
      </c>
      <c r="I95" s="179">
        <f t="shared" si="4"/>
        <v>0</v>
      </c>
      <c r="J95" s="179">
        <f t="shared" si="4"/>
        <v>6318</v>
      </c>
      <c r="K95" s="179">
        <f t="shared" si="4"/>
        <v>6318</v>
      </c>
      <c r="L95" s="179">
        <f t="shared" si="4"/>
        <v>908742.3</v>
      </c>
      <c r="M95" s="179">
        <f t="shared" si="4"/>
        <v>16257.700000000012</v>
      </c>
      <c r="N95" s="179">
        <f t="shared" si="4"/>
        <v>50000</v>
      </c>
      <c r="O95" s="179">
        <f t="shared" si="4"/>
        <v>100000</v>
      </c>
      <c r="P95" s="179">
        <f t="shared" si="4"/>
        <v>141257.70000000001</v>
      </c>
      <c r="Q95" s="179">
        <f t="shared" si="4"/>
        <v>0</v>
      </c>
      <c r="R95" s="179">
        <f t="shared" si="4"/>
        <v>0</v>
      </c>
      <c r="S95" s="179">
        <f t="shared" si="4"/>
        <v>0</v>
      </c>
      <c r="T95" s="179">
        <f t="shared" si="4"/>
        <v>125000</v>
      </c>
      <c r="U95" s="179">
        <f t="shared" si="4"/>
        <v>-75000</v>
      </c>
      <c r="V95" s="179">
        <f t="shared" si="4"/>
        <v>-75000</v>
      </c>
      <c r="W95" s="179">
        <f t="shared" si="4"/>
        <v>0</v>
      </c>
      <c r="X95" s="179">
        <f t="shared" si="4"/>
        <v>0</v>
      </c>
      <c r="Y95" s="179">
        <f t="shared" si="4"/>
        <v>0</v>
      </c>
      <c r="Z95" s="179">
        <f t="shared" si="4"/>
        <v>0</v>
      </c>
      <c r="AA95" s="180"/>
      <c r="AB95" s="157"/>
      <c r="AC95" s="157"/>
      <c r="AD95" s="157"/>
      <c r="AE95" s="157"/>
      <c r="AME95" s="158"/>
    </row>
    <row r="96" spans="1:1019">
      <c r="A96" s="168"/>
      <c r="B96" s="175"/>
      <c r="C96" s="168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659"/>
      <c r="AB96" s="157"/>
      <c r="AF96" s="172"/>
      <c r="AG96" s="172"/>
      <c r="AH96" s="172"/>
      <c r="AI96" s="172"/>
      <c r="AJ96" s="172"/>
      <c r="AK96" s="172"/>
    </row>
    <row r="97" spans="1:1019" s="186" customFormat="1" ht="15.75">
      <c r="A97" s="168">
        <f>A94+1</f>
        <v>86</v>
      </c>
      <c r="B97" s="175">
        <v>1268</v>
      </c>
      <c r="C97" s="168" t="s">
        <v>65</v>
      </c>
      <c r="D97" s="169">
        <f>'הנדסה '!D21</f>
        <v>10800000</v>
      </c>
      <c r="E97" s="169">
        <f>'הנדסה '!E21</f>
        <v>10800000</v>
      </c>
      <c r="F97" s="169">
        <f>'הנדסה '!F21</f>
        <v>0</v>
      </c>
      <c r="G97" s="169">
        <f>'הנדסה '!G21</f>
        <v>10800000</v>
      </c>
      <c r="H97" s="169">
        <f>'הנדסה '!H21</f>
        <v>10764946.49</v>
      </c>
      <c r="I97" s="169">
        <f>'הנדסה '!I21</f>
        <v>0</v>
      </c>
      <c r="J97" s="169">
        <f>'הנדסה '!J21</f>
        <v>19091.88</v>
      </c>
      <c r="K97" s="169">
        <f>'הנדסה '!K21</f>
        <v>19091.88</v>
      </c>
      <c r="L97" s="169">
        <f>'הנדסה '!L21</f>
        <v>10784038.370000001</v>
      </c>
      <c r="M97" s="169">
        <f>'הנדסה '!M21</f>
        <v>15961.629999998957</v>
      </c>
      <c r="N97" s="169">
        <f>'הנדסה '!N21</f>
        <v>0</v>
      </c>
      <c r="O97" s="169">
        <f>'הנדסה '!O21</f>
        <v>0</v>
      </c>
      <c r="P97" s="169">
        <f>'הנדסה '!P21</f>
        <v>15961.629999998957</v>
      </c>
      <c r="Q97" s="169">
        <f>'הנדסה '!Q21</f>
        <v>0</v>
      </c>
      <c r="R97" s="169">
        <f>'הנדסה '!R21</f>
        <v>0</v>
      </c>
      <c r="S97" s="169">
        <f>'הנדסה '!S21</f>
        <v>0</v>
      </c>
      <c r="T97" s="169">
        <f>'הנדסה '!T21</f>
        <v>0</v>
      </c>
      <c r="U97" s="169">
        <f>'הנדסה '!U21</f>
        <v>0</v>
      </c>
      <c r="V97" s="169">
        <f>'הנדסה '!V21</f>
        <v>0</v>
      </c>
      <c r="W97" s="169">
        <f>'הנדסה '!W21</f>
        <v>0</v>
      </c>
      <c r="X97" s="169">
        <f>'הנדסה '!X21</f>
        <v>0</v>
      </c>
      <c r="Y97" s="169">
        <f>'הנדסה '!Y21</f>
        <v>0</v>
      </c>
      <c r="Z97" s="169">
        <f>'הנדסה '!Z21</f>
        <v>0</v>
      </c>
      <c r="AA97" s="659">
        <f>'הנדסה '!AA21</f>
        <v>813200</v>
      </c>
      <c r="AB97" s="157"/>
      <c r="AC97" s="157"/>
      <c r="AD97" s="157"/>
      <c r="AE97" s="157"/>
      <c r="AF97" s="172"/>
      <c r="AG97" s="172"/>
      <c r="AH97" s="172"/>
      <c r="AI97" s="172"/>
      <c r="AJ97" s="172"/>
      <c r="AK97" s="172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4"/>
      <c r="DP97" s="174"/>
      <c r="DQ97" s="174"/>
      <c r="DR97" s="174"/>
      <c r="DS97" s="174"/>
      <c r="DT97" s="174"/>
      <c r="DU97" s="174"/>
      <c r="DV97" s="174"/>
      <c r="DW97" s="174"/>
      <c r="DX97" s="174"/>
      <c r="DY97" s="174"/>
      <c r="DZ97" s="174"/>
      <c r="EA97" s="174"/>
      <c r="EB97" s="174"/>
      <c r="EC97" s="174"/>
      <c r="ED97" s="174"/>
      <c r="EE97" s="174"/>
      <c r="EF97" s="174"/>
      <c r="EG97" s="174"/>
      <c r="EH97" s="174"/>
      <c r="EI97" s="174"/>
      <c r="EJ97" s="174"/>
      <c r="EK97" s="174"/>
      <c r="EL97" s="174"/>
      <c r="EM97" s="174"/>
      <c r="EN97" s="174"/>
      <c r="EO97" s="174"/>
      <c r="EP97" s="174"/>
      <c r="EQ97" s="174"/>
      <c r="ER97" s="174"/>
      <c r="ES97" s="174"/>
      <c r="ET97" s="174"/>
      <c r="EU97" s="174"/>
      <c r="EV97" s="174"/>
      <c r="EW97" s="174"/>
      <c r="EX97" s="174"/>
      <c r="EY97" s="174"/>
      <c r="EZ97" s="174"/>
      <c r="FA97" s="174"/>
      <c r="FB97" s="174"/>
      <c r="FC97" s="174"/>
      <c r="FD97" s="174"/>
      <c r="FE97" s="174"/>
      <c r="FF97" s="174"/>
      <c r="FG97" s="174"/>
      <c r="FH97" s="174"/>
      <c r="FI97" s="174"/>
      <c r="FJ97" s="174"/>
      <c r="FK97" s="174"/>
      <c r="FL97" s="174"/>
      <c r="FM97" s="174"/>
      <c r="FN97" s="174"/>
      <c r="FO97" s="174"/>
      <c r="FP97" s="174"/>
      <c r="FQ97" s="174"/>
      <c r="FR97" s="174"/>
      <c r="FS97" s="174"/>
      <c r="FT97" s="174"/>
      <c r="FU97" s="174"/>
      <c r="FV97" s="174"/>
      <c r="FW97" s="174"/>
      <c r="FX97" s="174"/>
      <c r="FY97" s="174"/>
      <c r="FZ97" s="174"/>
      <c r="GA97" s="174"/>
      <c r="GB97" s="174"/>
      <c r="GC97" s="174"/>
      <c r="GD97" s="174"/>
      <c r="GE97" s="174"/>
      <c r="GF97" s="174"/>
      <c r="GG97" s="174"/>
      <c r="GH97" s="174"/>
      <c r="GI97" s="174"/>
      <c r="GJ97" s="174"/>
      <c r="GK97" s="174"/>
      <c r="GL97" s="174"/>
      <c r="GM97" s="174"/>
      <c r="GN97" s="174"/>
      <c r="GO97" s="174"/>
      <c r="GP97" s="174"/>
      <c r="GQ97" s="174"/>
      <c r="GR97" s="174"/>
      <c r="GS97" s="174"/>
      <c r="GT97" s="174"/>
      <c r="GU97" s="174"/>
      <c r="GV97" s="174"/>
      <c r="GW97" s="174"/>
      <c r="GX97" s="174"/>
      <c r="GY97" s="174"/>
      <c r="GZ97" s="174"/>
      <c r="HA97" s="174"/>
      <c r="HB97" s="174"/>
      <c r="HC97" s="174"/>
      <c r="HD97" s="174"/>
      <c r="HE97" s="174"/>
      <c r="HF97" s="174"/>
      <c r="HG97" s="174"/>
      <c r="HH97" s="174"/>
      <c r="HI97" s="174"/>
      <c r="HJ97" s="174"/>
      <c r="HK97" s="174"/>
      <c r="HL97" s="174"/>
      <c r="HM97" s="174"/>
      <c r="HN97" s="174"/>
      <c r="HO97" s="174"/>
      <c r="HP97" s="174"/>
      <c r="HQ97" s="174"/>
      <c r="HR97" s="174"/>
      <c r="HS97" s="174"/>
      <c r="HT97" s="174"/>
      <c r="HU97" s="174"/>
      <c r="HV97" s="174"/>
      <c r="HW97" s="174"/>
      <c r="HX97" s="174"/>
      <c r="HY97" s="174"/>
      <c r="HZ97" s="174"/>
      <c r="IA97" s="174"/>
      <c r="IB97" s="174"/>
      <c r="IC97" s="174"/>
      <c r="ID97" s="174"/>
      <c r="IE97" s="174"/>
      <c r="IF97" s="174"/>
      <c r="IG97" s="174"/>
      <c r="IH97" s="174"/>
      <c r="II97" s="174"/>
      <c r="IJ97" s="174"/>
      <c r="IK97" s="174"/>
      <c r="IL97" s="174"/>
      <c r="IM97" s="174"/>
      <c r="IN97" s="174"/>
      <c r="IO97" s="174"/>
      <c r="IP97" s="174"/>
      <c r="IQ97" s="174"/>
      <c r="IR97" s="174"/>
      <c r="IS97" s="174"/>
      <c r="IT97" s="174"/>
      <c r="IU97" s="174"/>
      <c r="IV97" s="174"/>
      <c r="IW97" s="174"/>
      <c r="IX97" s="174"/>
      <c r="IY97" s="174"/>
      <c r="IZ97" s="174"/>
      <c r="JA97" s="174"/>
      <c r="JB97" s="174"/>
      <c r="JC97" s="174"/>
      <c r="JD97" s="174"/>
      <c r="JE97" s="174"/>
      <c r="JF97" s="174"/>
      <c r="JG97" s="174"/>
      <c r="JH97" s="174"/>
      <c r="JI97" s="174"/>
      <c r="JJ97" s="174"/>
      <c r="JK97" s="174"/>
      <c r="JL97" s="174"/>
      <c r="JM97" s="174"/>
      <c r="JN97" s="174"/>
      <c r="JO97" s="174"/>
      <c r="JP97" s="174"/>
      <c r="JQ97" s="174"/>
      <c r="JR97" s="174"/>
      <c r="JS97" s="174"/>
      <c r="JT97" s="174"/>
      <c r="JU97" s="174"/>
      <c r="JV97" s="174"/>
      <c r="JW97" s="174"/>
      <c r="JX97" s="174"/>
      <c r="JY97" s="174"/>
      <c r="JZ97" s="174"/>
      <c r="KA97" s="174"/>
      <c r="KB97" s="174"/>
      <c r="KC97" s="174"/>
      <c r="KD97" s="174"/>
      <c r="KE97" s="174"/>
      <c r="KF97" s="174"/>
      <c r="KG97" s="174"/>
      <c r="KH97" s="174"/>
      <c r="KI97" s="174"/>
      <c r="KJ97" s="174"/>
      <c r="KK97" s="174"/>
      <c r="KL97" s="174"/>
      <c r="KM97" s="174"/>
      <c r="KN97" s="174"/>
      <c r="KO97" s="174"/>
      <c r="KP97" s="174"/>
      <c r="KQ97" s="174"/>
      <c r="KR97" s="174"/>
      <c r="KS97" s="174"/>
      <c r="KT97" s="174"/>
      <c r="KU97" s="174"/>
      <c r="KV97" s="174"/>
      <c r="KW97" s="174"/>
      <c r="KX97" s="174"/>
      <c r="KY97" s="174"/>
      <c r="KZ97" s="174"/>
      <c r="LA97" s="174"/>
      <c r="LB97" s="174"/>
      <c r="LC97" s="174"/>
      <c r="LD97" s="174"/>
      <c r="LE97" s="174"/>
      <c r="LF97" s="174"/>
      <c r="LG97" s="174"/>
      <c r="LH97" s="174"/>
      <c r="LI97" s="174"/>
      <c r="LJ97" s="174"/>
      <c r="LK97" s="174"/>
      <c r="LL97" s="174"/>
      <c r="LM97" s="174"/>
      <c r="LN97" s="174"/>
      <c r="LO97" s="174"/>
      <c r="LP97" s="174"/>
      <c r="LQ97" s="174"/>
      <c r="LR97" s="174"/>
      <c r="LS97" s="174"/>
      <c r="LT97" s="174"/>
      <c r="LU97" s="174"/>
      <c r="LV97" s="174"/>
      <c r="LW97" s="174"/>
      <c r="LX97" s="174"/>
      <c r="LY97" s="174"/>
      <c r="LZ97" s="174"/>
      <c r="MA97" s="174"/>
      <c r="MB97" s="174"/>
      <c r="MC97" s="174"/>
      <c r="MD97" s="174"/>
      <c r="ME97" s="174"/>
      <c r="MF97" s="174"/>
      <c r="MG97" s="174"/>
      <c r="MH97" s="174"/>
      <c r="MI97" s="174"/>
      <c r="MJ97" s="174"/>
      <c r="MK97" s="174"/>
      <c r="ML97" s="174"/>
      <c r="MM97" s="174"/>
      <c r="MN97" s="174"/>
      <c r="MO97" s="174"/>
      <c r="MP97" s="174"/>
      <c r="MQ97" s="174"/>
      <c r="MR97" s="174"/>
      <c r="MS97" s="174"/>
      <c r="MT97" s="174"/>
      <c r="MU97" s="174"/>
      <c r="MV97" s="174"/>
      <c r="MW97" s="174"/>
      <c r="MX97" s="174"/>
      <c r="MY97" s="174"/>
      <c r="MZ97" s="174"/>
      <c r="NA97" s="174"/>
      <c r="NB97" s="174"/>
      <c r="NC97" s="174"/>
      <c r="ND97" s="174"/>
      <c r="NE97" s="174"/>
      <c r="NF97" s="174"/>
      <c r="NG97" s="174"/>
      <c r="NH97" s="174"/>
      <c r="NI97" s="174"/>
      <c r="NJ97" s="174"/>
      <c r="NK97" s="174"/>
      <c r="NL97" s="174"/>
      <c r="NM97" s="174"/>
      <c r="NN97" s="174"/>
      <c r="NO97" s="174"/>
      <c r="NP97" s="174"/>
      <c r="NQ97" s="174"/>
      <c r="NR97" s="174"/>
      <c r="NS97" s="174"/>
      <c r="NT97" s="174"/>
      <c r="NU97" s="174"/>
      <c r="NV97" s="174"/>
      <c r="NW97" s="174"/>
      <c r="NX97" s="174"/>
      <c r="NY97" s="174"/>
      <c r="NZ97" s="174"/>
      <c r="OA97" s="174"/>
      <c r="OB97" s="174"/>
      <c r="OC97" s="174"/>
      <c r="OD97" s="174"/>
      <c r="OE97" s="174"/>
      <c r="OF97" s="174"/>
      <c r="OG97" s="174"/>
      <c r="OH97" s="174"/>
      <c r="OI97" s="174"/>
      <c r="OJ97" s="174"/>
      <c r="OK97" s="174"/>
      <c r="OL97" s="174"/>
      <c r="OM97" s="174"/>
      <c r="ON97" s="174"/>
      <c r="OO97" s="174"/>
      <c r="OP97" s="174"/>
      <c r="OQ97" s="174"/>
      <c r="OR97" s="174"/>
      <c r="OS97" s="174"/>
      <c r="OT97" s="174"/>
      <c r="OU97" s="174"/>
      <c r="OV97" s="174"/>
      <c r="OW97" s="174"/>
      <c r="OX97" s="174"/>
      <c r="OY97" s="174"/>
      <c r="OZ97" s="174"/>
      <c r="PA97" s="174"/>
      <c r="PB97" s="174"/>
      <c r="PC97" s="174"/>
      <c r="PD97" s="174"/>
      <c r="PE97" s="174"/>
      <c r="PF97" s="174"/>
      <c r="PG97" s="174"/>
      <c r="PH97" s="174"/>
      <c r="PI97" s="174"/>
      <c r="PJ97" s="174"/>
      <c r="PK97" s="174"/>
      <c r="PL97" s="174"/>
      <c r="PM97" s="174"/>
      <c r="PN97" s="174"/>
      <c r="PO97" s="174"/>
      <c r="PP97" s="174"/>
      <c r="PQ97" s="174"/>
      <c r="PR97" s="174"/>
      <c r="PS97" s="174"/>
      <c r="PT97" s="174"/>
      <c r="PU97" s="174"/>
      <c r="PV97" s="174"/>
      <c r="PW97" s="174"/>
      <c r="PX97" s="174"/>
      <c r="PY97" s="174"/>
      <c r="PZ97" s="174"/>
      <c r="QA97" s="174"/>
      <c r="QB97" s="174"/>
      <c r="QC97" s="174"/>
      <c r="QD97" s="174"/>
      <c r="QE97" s="174"/>
      <c r="QF97" s="174"/>
      <c r="QG97" s="174"/>
      <c r="QH97" s="174"/>
      <c r="QI97" s="174"/>
      <c r="QJ97" s="174"/>
      <c r="QK97" s="174"/>
      <c r="QL97" s="174"/>
      <c r="QM97" s="174"/>
      <c r="QN97" s="174"/>
      <c r="QO97" s="174"/>
      <c r="QP97" s="174"/>
      <c r="QQ97" s="174"/>
      <c r="QR97" s="174"/>
      <c r="QS97" s="174"/>
      <c r="QT97" s="174"/>
      <c r="QU97" s="174"/>
      <c r="QV97" s="174"/>
      <c r="QW97" s="174"/>
      <c r="QX97" s="174"/>
      <c r="QY97" s="174"/>
      <c r="QZ97" s="174"/>
      <c r="RA97" s="174"/>
      <c r="RB97" s="174"/>
      <c r="RC97" s="174"/>
      <c r="RD97" s="174"/>
      <c r="RE97" s="174"/>
      <c r="RF97" s="174"/>
      <c r="RG97" s="174"/>
      <c r="RH97" s="174"/>
      <c r="RI97" s="174"/>
      <c r="RJ97" s="174"/>
      <c r="RK97" s="174"/>
      <c r="RL97" s="174"/>
      <c r="RM97" s="174"/>
      <c r="RN97" s="174"/>
      <c r="RO97" s="174"/>
      <c r="RP97" s="174"/>
      <c r="RQ97" s="174"/>
      <c r="RR97" s="174"/>
      <c r="RS97" s="174"/>
      <c r="RT97" s="174"/>
      <c r="RU97" s="174"/>
      <c r="RV97" s="174"/>
      <c r="RW97" s="174"/>
      <c r="RX97" s="174"/>
      <c r="RY97" s="174"/>
      <c r="RZ97" s="174"/>
      <c r="SA97" s="174"/>
      <c r="SB97" s="174"/>
      <c r="SC97" s="174"/>
      <c r="SD97" s="174"/>
      <c r="SE97" s="174"/>
      <c r="SF97" s="174"/>
      <c r="SG97" s="174"/>
      <c r="SH97" s="174"/>
      <c r="SI97" s="174"/>
      <c r="SJ97" s="174"/>
      <c r="SK97" s="174"/>
      <c r="SL97" s="174"/>
      <c r="SM97" s="174"/>
      <c r="SN97" s="174"/>
      <c r="SO97" s="174"/>
      <c r="SP97" s="174"/>
      <c r="SQ97" s="174"/>
      <c r="SR97" s="174"/>
      <c r="SS97" s="174"/>
      <c r="ST97" s="174"/>
      <c r="SU97" s="174"/>
      <c r="SV97" s="174"/>
      <c r="SW97" s="174"/>
      <c r="SX97" s="174"/>
      <c r="SY97" s="174"/>
      <c r="SZ97" s="174"/>
      <c r="TA97" s="174"/>
      <c r="TB97" s="174"/>
      <c r="TC97" s="174"/>
      <c r="TD97" s="174"/>
      <c r="TE97" s="174"/>
      <c r="TF97" s="174"/>
      <c r="TG97" s="174"/>
      <c r="TH97" s="174"/>
      <c r="TI97" s="174"/>
      <c r="TJ97" s="174"/>
      <c r="TK97" s="174"/>
      <c r="TL97" s="174"/>
      <c r="TM97" s="174"/>
      <c r="TN97" s="174"/>
      <c r="TO97" s="174"/>
      <c r="TP97" s="174"/>
      <c r="TQ97" s="174"/>
      <c r="TR97" s="174"/>
      <c r="TS97" s="174"/>
      <c r="TT97" s="174"/>
      <c r="TU97" s="174"/>
      <c r="TV97" s="174"/>
      <c r="TW97" s="174"/>
      <c r="TX97" s="174"/>
      <c r="TY97" s="174"/>
      <c r="TZ97" s="174"/>
      <c r="UA97" s="174"/>
      <c r="UB97" s="174"/>
      <c r="UC97" s="174"/>
      <c r="UD97" s="174"/>
      <c r="UE97" s="174"/>
      <c r="UF97" s="174"/>
      <c r="UG97" s="174"/>
      <c r="UH97" s="174"/>
      <c r="UI97" s="174"/>
      <c r="UJ97" s="174"/>
      <c r="UK97" s="174"/>
      <c r="UL97" s="174"/>
      <c r="UM97" s="174"/>
      <c r="UN97" s="174"/>
      <c r="UO97" s="174"/>
      <c r="UP97" s="174"/>
      <c r="UQ97" s="174"/>
      <c r="UR97" s="174"/>
      <c r="US97" s="174"/>
      <c r="UT97" s="174"/>
      <c r="UU97" s="174"/>
      <c r="UV97" s="174"/>
      <c r="UW97" s="174"/>
      <c r="UX97" s="174"/>
      <c r="UY97" s="174"/>
      <c r="UZ97" s="174"/>
      <c r="VA97" s="174"/>
      <c r="VB97" s="174"/>
      <c r="VC97" s="174"/>
      <c r="VD97" s="174"/>
      <c r="VE97" s="174"/>
      <c r="VF97" s="174"/>
      <c r="VG97" s="174"/>
      <c r="VH97" s="174"/>
      <c r="VI97" s="174"/>
      <c r="VJ97" s="174"/>
      <c r="VK97" s="174"/>
      <c r="VL97" s="174"/>
      <c r="VM97" s="174"/>
      <c r="VN97" s="174"/>
      <c r="VO97" s="174"/>
      <c r="VP97" s="174"/>
      <c r="VQ97" s="174"/>
      <c r="VR97" s="174"/>
      <c r="VS97" s="174"/>
      <c r="VT97" s="174"/>
      <c r="VU97" s="174"/>
      <c r="VV97" s="174"/>
      <c r="VW97" s="174"/>
      <c r="VX97" s="174"/>
      <c r="VY97" s="174"/>
      <c r="VZ97" s="174"/>
      <c r="WA97" s="174"/>
      <c r="WB97" s="174"/>
      <c r="WC97" s="174"/>
      <c r="WD97" s="174"/>
      <c r="WE97" s="174"/>
      <c r="WF97" s="174"/>
      <c r="WG97" s="174"/>
      <c r="WH97" s="174"/>
      <c r="WI97" s="174"/>
      <c r="WJ97" s="174"/>
      <c r="WK97" s="174"/>
      <c r="WL97" s="174"/>
      <c r="WM97" s="174"/>
      <c r="WN97" s="174"/>
      <c r="WO97" s="174"/>
      <c r="WP97" s="174"/>
      <c r="WQ97" s="174"/>
      <c r="WR97" s="174"/>
      <c r="WS97" s="174"/>
      <c r="WT97" s="174"/>
      <c r="WU97" s="174"/>
      <c r="WV97" s="174"/>
      <c r="WW97" s="174"/>
      <c r="WX97" s="174"/>
      <c r="WY97" s="174"/>
      <c r="WZ97" s="174"/>
      <c r="XA97" s="174"/>
      <c r="XB97" s="174"/>
      <c r="XC97" s="174"/>
      <c r="XD97" s="174"/>
      <c r="XE97" s="174"/>
      <c r="XF97" s="174"/>
      <c r="XG97" s="174"/>
      <c r="XH97" s="174"/>
      <c r="XI97" s="174"/>
      <c r="XJ97" s="174"/>
      <c r="XK97" s="174"/>
      <c r="XL97" s="174"/>
      <c r="XM97" s="174"/>
      <c r="XN97" s="174"/>
      <c r="XO97" s="174"/>
      <c r="XP97" s="174"/>
      <c r="XQ97" s="174"/>
      <c r="XR97" s="174"/>
      <c r="XS97" s="174"/>
      <c r="XT97" s="174"/>
      <c r="XU97" s="174"/>
      <c r="XV97" s="174"/>
      <c r="XW97" s="174"/>
      <c r="XX97" s="174"/>
      <c r="XY97" s="174"/>
      <c r="XZ97" s="174"/>
      <c r="YA97" s="174"/>
      <c r="YB97" s="174"/>
      <c r="YC97" s="174"/>
      <c r="YD97" s="174"/>
      <c r="YE97" s="174"/>
      <c r="YF97" s="174"/>
      <c r="YG97" s="174"/>
      <c r="YH97" s="174"/>
      <c r="YI97" s="174"/>
      <c r="YJ97" s="174"/>
      <c r="YK97" s="174"/>
      <c r="YL97" s="174"/>
      <c r="YM97" s="174"/>
      <c r="YN97" s="174"/>
      <c r="YO97" s="174"/>
      <c r="YP97" s="174"/>
      <c r="YQ97" s="174"/>
      <c r="YR97" s="174"/>
      <c r="YS97" s="174"/>
      <c r="YT97" s="174"/>
      <c r="YU97" s="174"/>
      <c r="YV97" s="174"/>
      <c r="YW97" s="174"/>
      <c r="YX97" s="174"/>
      <c r="YY97" s="174"/>
      <c r="YZ97" s="174"/>
      <c r="ZA97" s="174"/>
      <c r="ZB97" s="174"/>
      <c r="ZC97" s="174"/>
      <c r="ZD97" s="174"/>
      <c r="ZE97" s="174"/>
      <c r="ZF97" s="174"/>
      <c r="ZG97" s="174"/>
      <c r="ZH97" s="174"/>
      <c r="ZI97" s="174"/>
      <c r="ZJ97" s="174"/>
      <c r="ZK97" s="174"/>
      <c r="ZL97" s="174"/>
      <c r="ZM97" s="174"/>
      <c r="ZN97" s="174"/>
      <c r="ZO97" s="174"/>
      <c r="ZP97" s="174"/>
      <c r="ZQ97" s="174"/>
      <c r="ZR97" s="174"/>
      <c r="ZS97" s="174"/>
      <c r="ZT97" s="174"/>
      <c r="ZU97" s="174"/>
      <c r="ZV97" s="174"/>
      <c r="ZW97" s="174"/>
      <c r="ZX97" s="174"/>
      <c r="ZY97" s="174"/>
      <c r="ZZ97" s="174"/>
      <c r="AAA97" s="174"/>
      <c r="AAB97" s="174"/>
      <c r="AAC97" s="174"/>
      <c r="AAD97" s="174"/>
      <c r="AAE97" s="174"/>
      <c r="AAF97" s="174"/>
      <c r="AAG97" s="174"/>
      <c r="AAH97" s="174"/>
      <c r="AAI97" s="174"/>
      <c r="AAJ97" s="174"/>
      <c r="AAK97" s="174"/>
      <c r="AAL97" s="174"/>
      <c r="AAM97" s="174"/>
      <c r="AAN97" s="174"/>
      <c r="AAO97" s="174"/>
      <c r="AAP97" s="174"/>
      <c r="AAQ97" s="174"/>
      <c r="AAR97" s="174"/>
      <c r="AAS97" s="174"/>
      <c r="AAT97" s="174"/>
      <c r="AAU97" s="174"/>
      <c r="AAV97" s="174"/>
      <c r="AAW97" s="174"/>
      <c r="AAX97" s="174"/>
      <c r="AAY97" s="174"/>
      <c r="AAZ97" s="174"/>
      <c r="ABA97" s="174"/>
      <c r="ABB97" s="174"/>
      <c r="ABC97" s="174"/>
      <c r="ABD97" s="174"/>
      <c r="ABE97" s="174"/>
      <c r="ABF97" s="174"/>
      <c r="ABG97" s="174"/>
      <c r="ABH97" s="174"/>
      <c r="ABI97" s="174"/>
      <c r="ABJ97" s="174"/>
      <c r="ABK97" s="174"/>
      <c r="ABL97" s="174"/>
      <c r="ABM97" s="174"/>
      <c r="ABN97" s="174"/>
      <c r="ABO97" s="174"/>
      <c r="ABP97" s="174"/>
      <c r="ABQ97" s="174"/>
      <c r="ABR97" s="174"/>
      <c r="ABS97" s="174"/>
      <c r="ABT97" s="174"/>
      <c r="ABU97" s="174"/>
      <c r="ABV97" s="174"/>
      <c r="ABW97" s="174"/>
      <c r="ABX97" s="174"/>
      <c r="ABY97" s="174"/>
      <c r="ABZ97" s="174"/>
      <c r="ACA97" s="174"/>
      <c r="ACB97" s="174"/>
      <c r="ACC97" s="174"/>
      <c r="ACD97" s="174"/>
      <c r="ACE97" s="174"/>
      <c r="ACF97" s="174"/>
      <c r="ACG97" s="174"/>
      <c r="ACH97" s="174"/>
      <c r="ACI97" s="174"/>
      <c r="ACJ97" s="174"/>
      <c r="ACK97" s="174"/>
      <c r="ACL97" s="174"/>
      <c r="ACM97" s="174"/>
      <c r="ACN97" s="174"/>
      <c r="ACO97" s="174"/>
      <c r="ACP97" s="174"/>
      <c r="ACQ97" s="174"/>
      <c r="ACR97" s="174"/>
      <c r="ACS97" s="174"/>
      <c r="ACT97" s="174"/>
      <c r="ACU97" s="174"/>
      <c r="ACV97" s="174"/>
      <c r="ACW97" s="174"/>
      <c r="ACX97" s="174"/>
      <c r="ACY97" s="174"/>
      <c r="ACZ97" s="174"/>
      <c r="ADA97" s="174"/>
      <c r="ADB97" s="174"/>
      <c r="ADC97" s="174"/>
      <c r="ADD97" s="174"/>
      <c r="ADE97" s="174"/>
      <c r="ADF97" s="174"/>
      <c r="ADG97" s="174"/>
      <c r="ADH97" s="174"/>
      <c r="ADI97" s="174"/>
      <c r="ADJ97" s="174"/>
      <c r="ADK97" s="174"/>
      <c r="ADL97" s="174"/>
      <c r="ADM97" s="174"/>
      <c r="ADN97" s="174"/>
      <c r="ADO97" s="174"/>
      <c r="ADP97" s="174"/>
      <c r="ADQ97" s="174"/>
      <c r="ADR97" s="174"/>
      <c r="ADS97" s="174"/>
      <c r="ADT97" s="174"/>
      <c r="ADU97" s="174"/>
      <c r="ADV97" s="174"/>
      <c r="ADW97" s="174"/>
      <c r="ADX97" s="174"/>
      <c r="ADY97" s="174"/>
      <c r="ADZ97" s="174"/>
      <c r="AEA97" s="174"/>
      <c r="AEB97" s="174"/>
      <c r="AEC97" s="174"/>
      <c r="AED97" s="174"/>
      <c r="AEE97" s="174"/>
      <c r="AEF97" s="174"/>
      <c r="AEG97" s="174"/>
      <c r="AEH97" s="174"/>
      <c r="AEI97" s="174"/>
      <c r="AEJ97" s="174"/>
      <c r="AEK97" s="174"/>
      <c r="AEL97" s="174"/>
      <c r="AEM97" s="174"/>
      <c r="AEN97" s="174"/>
      <c r="AEO97" s="174"/>
      <c r="AEP97" s="174"/>
      <c r="AEQ97" s="174"/>
      <c r="AER97" s="174"/>
      <c r="AES97" s="174"/>
      <c r="AET97" s="174"/>
      <c r="AEU97" s="174"/>
      <c r="AEV97" s="174"/>
      <c r="AEW97" s="174"/>
      <c r="AEX97" s="174"/>
      <c r="AEY97" s="174"/>
      <c r="AEZ97" s="174"/>
      <c r="AFA97" s="174"/>
      <c r="AFB97" s="174"/>
      <c r="AFC97" s="174"/>
      <c r="AFD97" s="174"/>
      <c r="AFE97" s="174"/>
      <c r="AFF97" s="174"/>
      <c r="AFG97" s="174"/>
      <c r="AFH97" s="174"/>
      <c r="AFI97" s="174"/>
      <c r="AFJ97" s="174"/>
      <c r="AFK97" s="174"/>
      <c r="AFL97" s="174"/>
      <c r="AFM97" s="174"/>
      <c r="AFN97" s="174"/>
      <c r="AFO97" s="174"/>
      <c r="AFP97" s="174"/>
      <c r="AFQ97" s="174"/>
      <c r="AFR97" s="174"/>
      <c r="AFS97" s="174"/>
      <c r="AFT97" s="174"/>
      <c r="AFU97" s="174"/>
      <c r="AFV97" s="174"/>
      <c r="AFW97" s="174"/>
      <c r="AFX97" s="174"/>
      <c r="AFY97" s="174"/>
      <c r="AFZ97" s="174"/>
      <c r="AGA97" s="174"/>
      <c r="AGB97" s="174"/>
      <c r="AGC97" s="174"/>
      <c r="AGD97" s="174"/>
      <c r="AGE97" s="174"/>
      <c r="AGF97" s="174"/>
      <c r="AGG97" s="174"/>
      <c r="AGH97" s="174"/>
      <c r="AGI97" s="174"/>
      <c r="AGJ97" s="174"/>
      <c r="AGK97" s="174"/>
      <c r="AGL97" s="174"/>
      <c r="AGM97" s="174"/>
      <c r="AGN97" s="174"/>
      <c r="AGO97" s="174"/>
      <c r="AGP97" s="174"/>
      <c r="AGQ97" s="174"/>
      <c r="AGR97" s="174"/>
      <c r="AGS97" s="174"/>
      <c r="AGT97" s="174"/>
      <c r="AGU97" s="174"/>
      <c r="AGV97" s="174"/>
      <c r="AGW97" s="174"/>
      <c r="AGX97" s="174"/>
      <c r="AGY97" s="174"/>
      <c r="AGZ97" s="174"/>
      <c r="AHA97" s="174"/>
      <c r="AHB97" s="174"/>
      <c r="AHC97" s="174"/>
      <c r="AHD97" s="174"/>
      <c r="AHE97" s="174"/>
      <c r="AHF97" s="174"/>
      <c r="AHG97" s="174"/>
      <c r="AHH97" s="174"/>
      <c r="AHI97" s="174"/>
      <c r="AHJ97" s="174"/>
      <c r="AHK97" s="174"/>
      <c r="AHL97" s="174"/>
      <c r="AHM97" s="174"/>
      <c r="AHN97" s="174"/>
      <c r="AHO97" s="174"/>
      <c r="AHP97" s="174"/>
      <c r="AHQ97" s="174"/>
      <c r="AHR97" s="174"/>
      <c r="AHS97" s="174"/>
      <c r="AHT97" s="174"/>
      <c r="AHU97" s="174"/>
      <c r="AHV97" s="174"/>
      <c r="AHW97" s="174"/>
      <c r="AHX97" s="174"/>
      <c r="AHY97" s="174"/>
      <c r="AHZ97" s="174"/>
      <c r="AIA97" s="174"/>
      <c r="AIB97" s="174"/>
      <c r="AIC97" s="174"/>
      <c r="AID97" s="174"/>
      <c r="AIE97" s="174"/>
      <c r="AIF97" s="174"/>
      <c r="AIG97" s="174"/>
      <c r="AIH97" s="174"/>
      <c r="AII97" s="174"/>
      <c r="AIJ97" s="174"/>
      <c r="AIK97" s="174"/>
      <c r="AIL97" s="174"/>
      <c r="AIM97" s="174"/>
      <c r="AIN97" s="174"/>
      <c r="AIO97" s="174"/>
      <c r="AIP97" s="174"/>
      <c r="AIQ97" s="174"/>
      <c r="AIR97" s="174"/>
      <c r="AIS97" s="174"/>
      <c r="AIT97" s="174"/>
      <c r="AIU97" s="174"/>
      <c r="AIV97" s="174"/>
      <c r="AIW97" s="174"/>
      <c r="AIX97" s="174"/>
      <c r="AIY97" s="174"/>
      <c r="AIZ97" s="174"/>
      <c r="AJA97" s="174"/>
      <c r="AJB97" s="174"/>
      <c r="AJC97" s="174"/>
      <c r="AJD97" s="174"/>
      <c r="AJE97" s="174"/>
      <c r="AJF97" s="174"/>
      <c r="AJG97" s="174"/>
      <c r="AJH97" s="174"/>
      <c r="AJI97" s="174"/>
      <c r="AJJ97" s="174"/>
      <c r="AJK97" s="174"/>
      <c r="AJL97" s="174"/>
      <c r="AJM97" s="174"/>
      <c r="AJN97" s="174"/>
      <c r="AJO97" s="174"/>
      <c r="AJP97" s="174"/>
      <c r="AJQ97" s="174"/>
      <c r="AJR97" s="174"/>
      <c r="AJS97" s="174"/>
      <c r="AJT97" s="174"/>
      <c r="AJU97" s="174"/>
      <c r="AJV97" s="174"/>
      <c r="AJW97" s="174"/>
      <c r="AJX97" s="174"/>
      <c r="AJY97" s="174"/>
      <c r="AJZ97" s="174"/>
      <c r="AKA97" s="174"/>
      <c r="AKB97" s="174"/>
      <c r="AKC97" s="174"/>
      <c r="AKD97" s="174"/>
      <c r="AKE97" s="174"/>
      <c r="AKF97" s="174"/>
      <c r="AKG97" s="174"/>
      <c r="AKH97" s="174"/>
      <c r="AKI97" s="174"/>
      <c r="AKJ97" s="174"/>
      <c r="AKK97" s="174"/>
      <c r="AKL97" s="174"/>
      <c r="AKM97" s="174"/>
      <c r="AKN97" s="174"/>
      <c r="AKO97" s="174"/>
      <c r="AKP97" s="174"/>
      <c r="AKQ97" s="174"/>
      <c r="AKR97" s="174"/>
      <c r="AKS97" s="174"/>
      <c r="AKT97" s="174"/>
      <c r="AKU97" s="174"/>
      <c r="AKV97" s="174"/>
      <c r="AKW97" s="174"/>
      <c r="AKX97" s="174"/>
      <c r="AKY97" s="174"/>
      <c r="AKZ97" s="174"/>
      <c r="ALA97" s="174"/>
      <c r="ALB97" s="174"/>
      <c r="ALC97" s="174"/>
      <c r="ALD97" s="174"/>
      <c r="ALE97" s="174"/>
      <c r="ALF97" s="174"/>
      <c r="ALG97" s="174"/>
      <c r="ALH97" s="174"/>
      <c r="ALI97" s="174"/>
      <c r="ALJ97" s="174"/>
      <c r="ALK97" s="174"/>
      <c r="ALL97" s="174"/>
      <c r="ALM97" s="174"/>
      <c r="ALN97" s="174"/>
      <c r="ALO97" s="174"/>
      <c r="ALP97" s="174"/>
      <c r="ALQ97" s="174"/>
      <c r="ALR97" s="174"/>
      <c r="ALS97" s="174"/>
      <c r="ALT97" s="174"/>
      <c r="ALU97" s="174"/>
      <c r="ALV97" s="174"/>
      <c r="ALW97" s="174"/>
      <c r="ALX97" s="174"/>
      <c r="ALY97" s="174"/>
      <c r="ALZ97" s="174"/>
      <c r="AMA97" s="174"/>
      <c r="AMB97" s="174"/>
      <c r="AMC97" s="174"/>
      <c r="AMD97" s="174"/>
      <c r="AME97" s="158"/>
    </row>
    <row r="98" spans="1:1019" s="174" customFormat="1">
      <c r="A98" s="173"/>
      <c r="B98" s="183">
        <v>6</v>
      </c>
      <c r="C98" s="173" t="s">
        <v>1040</v>
      </c>
      <c r="D98" s="179">
        <f>SUM(D97)</f>
        <v>10800000</v>
      </c>
      <c r="E98" s="179">
        <f t="shared" ref="E98:Z98" si="5">SUM(E97)</f>
        <v>10800000</v>
      </c>
      <c r="F98" s="179">
        <f t="shared" si="5"/>
        <v>0</v>
      </c>
      <c r="G98" s="179">
        <f t="shared" si="5"/>
        <v>10800000</v>
      </c>
      <c r="H98" s="179">
        <f t="shared" si="5"/>
        <v>10764946.49</v>
      </c>
      <c r="I98" s="179">
        <f t="shared" si="5"/>
        <v>0</v>
      </c>
      <c r="J98" s="179">
        <f t="shared" si="5"/>
        <v>19091.88</v>
      </c>
      <c r="K98" s="179">
        <f t="shared" si="5"/>
        <v>19091.88</v>
      </c>
      <c r="L98" s="179">
        <f t="shared" si="5"/>
        <v>10784038.370000001</v>
      </c>
      <c r="M98" s="179">
        <f t="shared" si="5"/>
        <v>15961.629999998957</v>
      </c>
      <c r="N98" s="179">
        <f t="shared" si="5"/>
        <v>0</v>
      </c>
      <c r="O98" s="179">
        <f t="shared" si="5"/>
        <v>0</v>
      </c>
      <c r="P98" s="179">
        <f t="shared" si="5"/>
        <v>15961.629999998957</v>
      </c>
      <c r="Q98" s="179">
        <f t="shared" si="5"/>
        <v>0</v>
      </c>
      <c r="R98" s="179">
        <f t="shared" si="5"/>
        <v>0</v>
      </c>
      <c r="S98" s="179">
        <f t="shared" si="5"/>
        <v>0</v>
      </c>
      <c r="T98" s="179">
        <f t="shared" si="5"/>
        <v>0</v>
      </c>
      <c r="U98" s="179">
        <f t="shared" si="5"/>
        <v>0</v>
      </c>
      <c r="V98" s="179">
        <f t="shared" si="5"/>
        <v>0</v>
      </c>
      <c r="W98" s="179">
        <f t="shared" si="5"/>
        <v>0</v>
      </c>
      <c r="X98" s="179">
        <f t="shared" si="5"/>
        <v>0</v>
      </c>
      <c r="Y98" s="179">
        <f t="shared" si="5"/>
        <v>0</v>
      </c>
      <c r="Z98" s="179">
        <f t="shared" si="5"/>
        <v>0</v>
      </c>
      <c r="AA98" s="180"/>
      <c r="AB98" s="157"/>
      <c r="AC98" s="157"/>
      <c r="AD98" s="157"/>
      <c r="AE98" s="157"/>
      <c r="AME98" s="158"/>
    </row>
    <row r="99" spans="1:1019" s="186" customFormat="1" ht="15.75">
      <c r="A99" s="168"/>
      <c r="B99" s="175"/>
      <c r="C99" s="168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659"/>
      <c r="AB99" s="157"/>
      <c r="AC99" s="157"/>
      <c r="AD99" s="157"/>
      <c r="AE99" s="157"/>
      <c r="AF99" s="172"/>
      <c r="AG99" s="172"/>
      <c r="AH99" s="172"/>
      <c r="AI99" s="172"/>
      <c r="AJ99" s="172"/>
      <c r="AK99" s="172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/>
      <c r="ET99" s="174"/>
      <c r="EU99" s="174"/>
      <c r="EV99" s="174"/>
      <c r="EW99" s="174"/>
      <c r="EX99" s="174"/>
      <c r="EY99" s="174"/>
      <c r="EZ99" s="174"/>
      <c r="FA99" s="174"/>
      <c r="FB99" s="174"/>
      <c r="FC99" s="174"/>
      <c r="FD99" s="174"/>
      <c r="FE99" s="174"/>
      <c r="FF99" s="174"/>
      <c r="FG99" s="174"/>
      <c r="FH99" s="174"/>
      <c r="FI99" s="174"/>
      <c r="FJ99" s="174"/>
      <c r="FK99" s="174"/>
      <c r="FL99" s="174"/>
      <c r="FM99" s="174"/>
      <c r="FN99" s="174"/>
      <c r="FO99" s="174"/>
      <c r="FP99" s="174"/>
      <c r="FQ99" s="174"/>
      <c r="FR99" s="174"/>
      <c r="FS99" s="174"/>
      <c r="FT99" s="174"/>
      <c r="FU99" s="174"/>
      <c r="FV99" s="174"/>
      <c r="FW99" s="174"/>
      <c r="FX99" s="174"/>
      <c r="FY99" s="174"/>
      <c r="FZ99" s="174"/>
      <c r="GA99" s="174"/>
      <c r="GB99" s="174"/>
      <c r="GC99" s="174"/>
      <c r="GD99" s="174"/>
      <c r="GE99" s="174"/>
      <c r="GF99" s="174"/>
      <c r="GG99" s="174"/>
      <c r="GH99" s="174"/>
      <c r="GI99" s="174"/>
      <c r="GJ99" s="174"/>
      <c r="GK99" s="174"/>
      <c r="GL99" s="174"/>
      <c r="GM99" s="174"/>
      <c r="GN99" s="174"/>
      <c r="GO99" s="174"/>
      <c r="GP99" s="174"/>
      <c r="GQ99" s="174"/>
      <c r="GR99" s="174"/>
      <c r="GS99" s="174"/>
      <c r="GT99" s="174"/>
      <c r="GU99" s="174"/>
      <c r="GV99" s="174"/>
      <c r="GW99" s="174"/>
      <c r="GX99" s="174"/>
      <c r="GY99" s="174"/>
      <c r="GZ99" s="174"/>
      <c r="HA99" s="174"/>
      <c r="HB99" s="174"/>
      <c r="HC99" s="174"/>
      <c r="HD99" s="174"/>
      <c r="HE99" s="174"/>
      <c r="HF99" s="174"/>
      <c r="HG99" s="174"/>
      <c r="HH99" s="174"/>
      <c r="HI99" s="174"/>
      <c r="HJ99" s="174"/>
      <c r="HK99" s="174"/>
      <c r="HL99" s="174"/>
      <c r="HM99" s="174"/>
      <c r="HN99" s="174"/>
      <c r="HO99" s="174"/>
      <c r="HP99" s="174"/>
      <c r="HQ99" s="174"/>
      <c r="HR99" s="174"/>
      <c r="HS99" s="174"/>
      <c r="HT99" s="174"/>
      <c r="HU99" s="174"/>
      <c r="HV99" s="174"/>
      <c r="HW99" s="174"/>
      <c r="HX99" s="174"/>
      <c r="HY99" s="174"/>
      <c r="HZ99" s="174"/>
      <c r="IA99" s="174"/>
      <c r="IB99" s="174"/>
      <c r="IC99" s="174"/>
      <c r="ID99" s="174"/>
      <c r="IE99" s="174"/>
      <c r="IF99" s="174"/>
      <c r="IG99" s="174"/>
      <c r="IH99" s="174"/>
      <c r="II99" s="174"/>
      <c r="IJ99" s="174"/>
      <c r="IK99" s="174"/>
      <c r="IL99" s="174"/>
      <c r="IM99" s="174"/>
      <c r="IN99" s="174"/>
      <c r="IO99" s="174"/>
      <c r="IP99" s="174"/>
      <c r="IQ99" s="174"/>
      <c r="IR99" s="174"/>
      <c r="IS99" s="174"/>
      <c r="IT99" s="174"/>
      <c r="IU99" s="174"/>
      <c r="IV99" s="174"/>
      <c r="IW99" s="174"/>
      <c r="IX99" s="174"/>
      <c r="IY99" s="174"/>
      <c r="IZ99" s="174"/>
      <c r="JA99" s="174"/>
      <c r="JB99" s="174"/>
      <c r="JC99" s="174"/>
      <c r="JD99" s="174"/>
      <c r="JE99" s="174"/>
      <c r="JF99" s="174"/>
      <c r="JG99" s="174"/>
      <c r="JH99" s="174"/>
      <c r="JI99" s="174"/>
      <c r="JJ99" s="174"/>
      <c r="JK99" s="174"/>
      <c r="JL99" s="174"/>
      <c r="JM99" s="174"/>
      <c r="JN99" s="174"/>
      <c r="JO99" s="174"/>
      <c r="JP99" s="174"/>
      <c r="JQ99" s="174"/>
      <c r="JR99" s="174"/>
      <c r="JS99" s="174"/>
      <c r="JT99" s="174"/>
      <c r="JU99" s="174"/>
      <c r="JV99" s="174"/>
      <c r="JW99" s="174"/>
      <c r="JX99" s="174"/>
      <c r="JY99" s="174"/>
      <c r="JZ99" s="174"/>
      <c r="KA99" s="174"/>
      <c r="KB99" s="174"/>
      <c r="KC99" s="174"/>
      <c r="KD99" s="174"/>
      <c r="KE99" s="174"/>
      <c r="KF99" s="174"/>
      <c r="KG99" s="174"/>
      <c r="KH99" s="174"/>
      <c r="KI99" s="174"/>
      <c r="KJ99" s="174"/>
      <c r="KK99" s="174"/>
      <c r="KL99" s="174"/>
      <c r="KM99" s="174"/>
      <c r="KN99" s="174"/>
      <c r="KO99" s="174"/>
      <c r="KP99" s="174"/>
      <c r="KQ99" s="174"/>
      <c r="KR99" s="174"/>
      <c r="KS99" s="174"/>
      <c r="KT99" s="174"/>
      <c r="KU99" s="174"/>
      <c r="KV99" s="174"/>
      <c r="KW99" s="174"/>
      <c r="KX99" s="174"/>
      <c r="KY99" s="174"/>
      <c r="KZ99" s="174"/>
      <c r="LA99" s="174"/>
      <c r="LB99" s="174"/>
      <c r="LC99" s="174"/>
      <c r="LD99" s="174"/>
      <c r="LE99" s="174"/>
      <c r="LF99" s="174"/>
      <c r="LG99" s="174"/>
      <c r="LH99" s="174"/>
      <c r="LI99" s="174"/>
      <c r="LJ99" s="174"/>
      <c r="LK99" s="174"/>
      <c r="LL99" s="174"/>
      <c r="LM99" s="174"/>
      <c r="LN99" s="174"/>
      <c r="LO99" s="174"/>
      <c r="LP99" s="174"/>
      <c r="LQ99" s="174"/>
      <c r="LR99" s="174"/>
      <c r="LS99" s="174"/>
      <c r="LT99" s="174"/>
      <c r="LU99" s="174"/>
      <c r="LV99" s="174"/>
      <c r="LW99" s="174"/>
      <c r="LX99" s="174"/>
      <c r="LY99" s="174"/>
      <c r="LZ99" s="174"/>
      <c r="MA99" s="174"/>
      <c r="MB99" s="174"/>
      <c r="MC99" s="174"/>
      <c r="MD99" s="174"/>
      <c r="ME99" s="174"/>
      <c r="MF99" s="174"/>
      <c r="MG99" s="174"/>
      <c r="MH99" s="174"/>
      <c r="MI99" s="174"/>
      <c r="MJ99" s="174"/>
      <c r="MK99" s="174"/>
      <c r="ML99" s="174"/>
      <c r="MM99" s="174"/>
      <c r="MN99" s="174"/>
      <c r="MO99" s="174"/>
      <c r="MP99" s="174"/>
      <c r="MQ99" s="174"/>
      <c r="MR99" s="174"/>
      <c r="MS99" s="174"/>
      <c r="MT99" s="174"/>
      <c r="MU99" s="174"/>
      <c r="MV99" s="174"/>
      <c r="MW99" s="174"/>
      <c r="MX99" s="174"/>
      <c r="MY99" s="174"/>
      <c r="MZ99" s="174"/>
      <c r="NA99" s="174"/>
      <c r="NB99" s="174"/>
      <c r="NC99" s="174"/>
      <c r="ND99" s="174"/>
      <c r="NE99" s="174"/>
      <c r="NF99" s="174"/>
      <c r="NG99" s="174"/>
      <c r="NH99" s="174"/>
      <c r="NI99" s="174"/>
      <c r="NJ99" s="174"/>
      <c r="NK99" s="174"/>
      <c r="NL99" s="174"/>
      <c r="NM99" s="174"/>
      <c r="NN99" s="174"/>
      <c r="NO99" s="174"/>
      <c r="NP99" s="174"/>
      <c r="NQ99" s="174"/>
      <c r="NR99" s="174"/>
      <c r="NS99" s="174"/>
      <c r="NT99" s="174"/>
      <c r="NU99" s="174"/>
      <c r="NV99" s="174"/>
      <c r="NW99" s="174"/>
      <c r="NX99" s="174"/>
      <c r="NY99" s="174"/>
      <c r="NZ99" s="174"/>
      <c r="OA99" s="174"/>
      <c r="OB99" s="174"/>
      <c r="OC99" s="174"/>
      <c r="OD99" s="174"/>
      <c r="OE99" s="174"/>
      <c r="OF99" s="174"/>
      <c r="OG99" s="174"/>
      <c r="OH99" s="174"/>
      <c r="OI99" s="174"/>
      <c r="OJ99" s="174"/>
      <c r="OK99" s="174"/>
      <c r="OL99" s="174"/>
      <c r="OM99" s="174"/>
      <c r="ON99" s="174"/>
      <c r="OO99" s="174"/>
      <c r="OP99" s="174"/>
      <c r="OQ99" s="174"/>
      <c r="OR99" s="174"/>
      <c r="OS99" s="174"/>
      <c r="OT99" s="174"/>
      <c r="OU99" s="174"/>
      <c r="OV99" s="174"/>
      <c r="OW99" s="174"/>
      <c r="OX99" s="174"/>
      <c r="OY99" s="174"/>
      <c r="OZ99" s="174"/>
      <c r="PA99" s="174"/>
      <c r="PB99" s="174"/>
      <c r="PC99" s="174"/>
      <c r="PD99" s="174"/>
      <c r="PE99" s="174"/>
      <c r="PF99" s="174"/>
      <c r="PG99" s="174"/>
      <c r="PH99" s="174"/>
      <c r="PI99" s="174"/>
      <c r="PJ99" s="174"/>
      <c r="PK99" s="174"/>
      <c r="PL99" s="174"/>
      <c r="PM99" s="174"/>
      <c r="PN99" s="174"/>
      <c r="PO99" s="174"/>
      <c r="PP99" s="174"/>
      <c r="PQ99" s="174"/>
      <c r="PR99" s="174"/>
      <c r="PS99" s="174"/>
      <c r="PT99" s="174"/>
      <c r="PU99" s="174"/>
      <c r="PV99" s="174"/>
      <c r="PW99" s="174"/>
      <c r="PX99" s="174"/>
      <c r="PY99" s="174"/>
      <c r="PZ99" s="174"/>
      <c r="QA99" s="174"/>
      <c r="QB99" s="174"/>
      <c r="QC99" s="174"/>
      <c r="QD99" s="174"/>
      <c r="QE99" s="174"/>
      <c r="QF99" s="174"/>
      <c r="QG99" s="174"/>
      <c r="QH99" s="174"/>
      <c r="QI99" s="174"/>
      <c r="QJ99" s="174"/>
      <c r="QK99" s="174"/>
      <c r="QL99" s="174"/>
      <c r="QM99" s="174"/>
      <c r="QN99" s="174"/>
      <c r="QO99" s="174"/>
      <c r="QP99" s="174"/>
      <c r="QQ99" s="174"/>
      <c r="QR99" s="174"/>
      <c r="QS99" s="174"/>
      <c r="QT99" s="174"/>
      <c r="QU99" s="174"/>
      <c r="QV99" s="174"/>
      <c r="QW99" s="174"/>
      <c r="QX99" s="174"/>
      <c r="QY99" s="174"/>
      <c r="QZ99" s="174"/>
      <c r="RA99" s="174"/>
      <c r="RB99" s="174"/>
      <c r="RC99" s="174"/>
      <c r="RD99" s="174"/>
      <c r="RE99" s="174"/>
      <c r="RF99" s="174"/>
      <c r="RG99" s="174"/>
      <c r="RH99" s="174"/>
      <c r="RI99" s="174"/>
      <c r="RJ99" s="174"/>
      <c r="RK99" s="174"/>
      <c r="RL99" s="174"/>
      <c r="RM99" s="174"/>
      <c r="RN99" s="174"/>
      <c r="RO99" s="174"/>
      <c r="RP99" s="174"/>
      <c r="RQ99" s="174"/>
      <c r="RR99" s="174"/>
      <c r="RS99" s="174"/>
      <c r="RT99" s="174"/>
      <c r="RU99" s="174"/>
      <c r="RV99" s="174"/>
      <c r="RW99" s="174"/>
      <c r="RX99" s="174"/>
      <c r="RY99" s="174"/>
      <c r="RZ99" s="174"/>
      <c r="SA99" s="174"/>
      <c r="SB99" s="174"/>
      <c r="SC99" s="174"/>
      <c r="SD99" s="174"/>
      <c r="SE99" s="174"/>
      <c r="SF99" s="174"/>
      <c r="SG99" s="174"/>
      <c r="SH99" s="174"/>
      <c r="SI99" s="174"/>
      <c r="SJ99" s="174"/>
      <c r="SK99" s="174"/>
      <c r="SL99" s="174"/>
      <c r="SM99" s="174"/>
      <c r="SN99" s="174"/>
      <c r="SO99" s="174"/>
      <c r="SP99" s="174"/>
      <c r="SQ99" s="174"/>
      <c r="SR99" s="174"/>
      <c r="SS99" s="174"/>
      <c r="ST99" s="174"/>
      <c r="SU99" s="174"/>
      <c r="SV99" s="174"/>
      <c r="SW99" s="174"/>
      <c r="SX99" s="174"/>
      <c r="SY99" s="174"/>
      <c r="SZ99" s="174"/>
      <c r="TA99" s="174"/>
      <c r="TB99" s="174"/>
      <c r="TC99" s="174"/>
      <c r="TD99" s="174"/>
      <c r="TE99" s="174"/>
      <c r="TF99" s="174"/>
      <c r="TG99" s="174"/>
      <c r="TH99" s="174"/>
      <c r="TI99" s="174"/>
      <c r="TJ99" s="174"/>
      <c r="TK99" s="174"/>
      <c r="TL99" s="174"/>
      <c r="TM99" s="174"/>
      <c r="TN99" s="174"/>
      <c r="TO99" s="174"/>
      <c r="TP99" s="174"/>
      <c r="TQ99" s="174"/>
      <c r="TR99" s="174"/>
      <c r="TS99" s="174"/>
      <c r="TT99" s="174"/>
      <c r="TU99" s="174"/>
      <c r="TV99" s="174"/>
      <c r="TW99" s="174"/>
      <c r="TX99" s="174"/>
      <c r="TY99" s="174"/>
      <c r="TZ99" s="174"/>
      <c r="UA99" s="174"/>
      <c r="UB99" s="174"/>
      <c r="UC99" s="174"/>
      <c r="UD99" s="174"/>
      <c r="UE99" s="174"/>
      <c r="UF99" s="174"/>
      <c r="UG99" s="174"/>
      <c r="UH99" s="174"/>
      <c r="UI99" s="174"/>
      <c r="UJ99" s="174"/>
      <c r="UK99" s="174"/>
      <c r="UL99" s="174"/>
      <c r="UM99" s="174"/>
      <c r="UN99" s="174"/>
      <c r="UO99" s="174"/>
      <c r="UP99" s="174"/>
      <c r="UQ99" s="174"/>
      <c r="UR99" s="174"/>
      <c r="US99" s="174"/>
      <c r="UT99" s="174"/>
      <c r="UU99" s="174"/>
      <c r="UV99" s="174"/>
      <c r="UW99" s="174"/>
      <c r="UX99" s="174"/>
      <c r="UY99" s="174"/>
      <c r="UZ99" s="174"/>
      <c r="VA99" s="174"/>
      <c r="VB99" s="174"/>
      <c r="VC99" s="174"/>
      <c r="VD99" s="174"/>
      <c r="VE99" s="174"/>
      <c r="VF99" s="174"/>
      <c r="VG99" s="174"/>
      <c r="VH99" s="174"/>
      <c r="VI99" s="174"/>
      <c r="VJ99" s="174"/>
      <c r="VK99" s="174"/>
      <c r="VL99" s="174"/>
      <c r="VM99" s="174"/>
      <c r="VN99" s="174"/>
      <c r="VO99" s="174"/>
      <c r="VP99" s="174"/>
      <c r="VQ99" s="174"/>
      <c r="VR99" s="174"/>
      <c r="VS99" s="174"/>
      <c r="VT99" s="174"/>
      <c r="VU99" s="174"/>
      <c r="VV99" s="174"/>
      <c r="VW99" s="174"/>
      <c r="VX99" s="174"/>
      <c r="VY99" s="174"/>
      <c r="VZ99" s="174"/>
      <c r="WA99" s="174"/>
      <c r="WB99" s="174"/>
      <c r="WC99" s="174"/>
      <c r="WD99" s="174"/>
      <c r="WE99" s="174"/>
      <c r="WF99" s="174"/>
      <c r="WG99" s="174"/>
      <c r="WH99" s="174"/>
      <c r="WI99" s="174"/>
      <c r="WJ99" s="174"/>
      <c r="WK99" s="174"/>
      <c r="WL99" s="174"/>
      <c r="WM99" s="174"/>
      <c r="WN99" s="174"/>
      <c r="WO99" s="174"/>
      <c r="WP99" s="174"/>
      <c r="WQ99" s="174"/>
      <c r="WR99" s="174"/>
      <c r="WS99" s="174"/>
      <c r="WT99" s="174"/>
      <c r="WU99" s="174"/>
      <c r="WV99" s="174"/>
      <c r="WW99" s="174"/>
      <c r="WX99" s="174"/>
      <c r="WY99" s="174"/>
      <c r="WZ99" s="174"/>
      <c r="XA99" s="174"/>
      <c r="XB99" s="174"/>
      <c r="XC99" s="174"/>
      <c r="XD99" s="174"/>
      <c r="XE99" s="174"/>
      <c r="XF99" s="174"/>
      <c r="XG99" s="174"/>
      <c r="XH99" s="174"/>
      <c r="XI99" s="174"/>
      <c r="XJ99" s="174"/>
      <c r="XK99" s="174"/>
      <c r="XL99" s="174"/>
      <c r="XM99" s="174"/>
      <c r="XN99" s="174"/>
      <c r="XO99" s="174"/>
      <c r="XP99" s="174"/>
      <c r="XQ99" s="174"/>
      <c r="XR99" s="174"/>
      <c r="XS99" s="174"/>
      <c r="XT99" s="174"/>
      <c r="XU99" s="174"/>
      <c r="XV99" s="174"/>
      <c r="XW99" s="174"/>
      <c r="XX99" s="174"/>
      <c r="XY99" s="174"/>
      <c r="XZ99" s="174"/>
      <c r="YA99" s="174"/>
      <c r="YB99" s="174"/>
      <c r="YC99" s="174"/>
      <c r="YD99" s="174"/>
      <c r="YE99" s="174"/>
      <c r="YF99" s="174"/>
      <c r="YG99" s="174"/>
      <c r="YH99" s="174"/>
      <c r="YI99" s="174"/>
      <c r="YJ99" s="174"/>
      <c r="YK99" s="174"/>
      <c r="YL99" s="174"/>
      <c r="YM99" s="174"/>
      <c r="YN99" s="174"/>
      <c r="YO99" s="174"/>
      <c r="YP99" s="174"/>
      <c r="YQ99" s="174"/>
      <c r="YR99" s="174"/>
      <c r="YS99" s="174"/>
      <c r="YT99" s="174"/>
      <c r="YU99" s="174"/>
      <c r="YV99" s="174"/>
      <c r="YW99" s="174"/>
      <c r="YX99" s="174"/>
      <c r="YY99" s="174"/>
      <c r="YZ99" s="174"/>
      <c r="ZA99" s="174"/>
      <c r="ZB99" s="174"/>
      <c r="ZC99" s="174"/>
      <c r="ZD99" s="174"/>
      <c r="ZE99" s="174"/>
      <c r="ZF99" s="174"/>
      <c r="ZG99" s="174"/>
      <c r="ZH99" s="174"/>
      <c r="ZI99" s="174"/>
      <c r="ZJ99" s="174"/>
      <c r="ZK99" s="174"/>
      <c r="ZL99" s="174"/>
      <c r="ZM99" s="174"/>
      <c r="ZN99" s="174"/>
      <c r="ZO99" s="174"/>
      <c r="ZP99" s="174"/>
      <c r="ZQ99" s="174"/>
      <c r="ZR99" s="174"/>
      <c r="ZS99" s="174"/>
      <c r="ZT99" s="174"/>
      <c r="ZU99" s="174"/>
      <c r="ZV99" s="174"/>
      <c r="ZW99" s="174"/>
      <c r="ZX99" s="174"/>
      <c r="ZY99" s="174"/>
      <c r="ZZ99" s="174"/>
      <c r="AAA99" s="174"/>
      <c r="AAB99" s="174"/>
      <c r="AAC99" s="174"/>
      <c r="AAD99" s="174"/>
      <c r="AAE99" s="174"/>
      <c r="AAF99" s="174"/>
      <c r="AAG99" s="174"/>
      <c r="AAH99" s="174"/>
      <c r="AAI99" s="174"/>
      <c r="AAJ99" s="174"/>
      <c r="AAK99" s="174"/>
      <c r="AAL99" s="174"/>
      <c r="AAM99" s="174"/>
      <c r="AAN99" s="174"/>
      <c r="AAO99" s="174"/>
      <c r="AAP99" s="174"/>
      <c r="AAQ99" s="174"/>
      <c r="AAR99" s="174"/>
      <c r="AAS99" s="174"/>
      <c r="AAT99" s="174"/>
      <c r="AAU99" s="174"/>
      <c r="AAV99" s="174"/>
      <c r="AAW99" s="174"/>
      <c r="AAX99" s="174"/>
      <c r="AAY99" s="174"/>
      <c r="AAZ99" s="174"/>
      <c r="ABA99" s="174"/>
      <c r="ABB99" s="174"/>
      <c r="ABC99" s="174"/>
      <c r="ABD99" s="174"/>
      <c r="ABE99" s="174"/>
      <c r="ABF99" s="174"/>
      <c r="ABG99" s="174"/>
      <c r="ABH99" s="174"/>
      <c r="ABI99" s="174"/>
      <c r="ABJ99" s="174"/>
      <c r="ABK99" s="174"/>
      <c r="ABL99" s="174"/>
      <c r="ABM99" s="174"/>
      <c r="ABN99" s="174"/>
      <c r="ABO99" s="174"/>
      <c r="ABP99" s="174"/>
      <c r="ABQ99" s="174"/>
      <c r="ABR99" s="174"/>
      <c r="ABS99" s="174"/>
      <c r="ABT99" s="174"/>
      <c r="ABU99" s="174"/>
      <c r="ABV99" s="174"/>
      <c r="ABW99" s="174"/>
      <c r="ABX99" s="174"/>
      <c r="ABY99" s="174"/>
      <c r="ABZ99" s="174"/>
      <c r="ACA99" s="174"/>
      <c r="ACB99" s="174"/>
      <c r="ACC99" s="174"/>
      <c r="ACD99" s="174"/>
      <c r="ACE99" s="174"/>
      <c r="ACF99" s="174"/>
      <c r="ACG99" s="174"/>
      <c r="ACH99" s="174"/>
      <c r="ACI99" s="174"/>
      <c r="ACJ99" s="174"/>
      <c r="ACK99" s="174"/>
      <c r="ACL99" s="174"/>
      <c r="ACM99" s="174"/>
      <c r="ACN99" s="174"/>
      <c r="ACO99" s="174"/>
      <c r="ACP99" s="174"/>
      <c r="ACQ99" s="174"/>
      <c r="ACR99" s="174"/>
      <c r="ACS99" s="174"/>
      <c r="ACT99" s="174"/>
      <c r="ACU99" s="174"/>
      <c r="ACV99" s="174"/>
      <c r="ACW99" s="174"/>
      <c r="ACX99" s="174"/>
      <c r="ACY99" s="174"/>
      <c r="ACZ99" s="174"/>
      <c r="ADA99" s="174"/>
      <c r="ADB99" s="174"/>
      <c r="ADC99" s="174"/>
      <c r="ADD99" s="174"/>
      <c r="ADE99" s="174"/>
      <c r="ADF99" s="174"/>
      <c r="ADG99" s="174"/>
      <c r="ADH99" s="174"/>
      <c r="ADI99" s="174"/>
      <c r="ADJ99" s="174"/>
      <c r="ADK99" s="174"/>
      <c r="ADL99" s="174"/>
      <c r="ADM99" s="174"/>
      <c r="ADN99" s="174"/>
      <c r="ADO99" s="174"/>
      <c r="ADP99" s="174"/>
      <c r="ADQ99" s="174"/>
      <c r="ADR99" s="174"/>
      <c r="ADS99" s="174"/>
      <c r="ADT99" s="174"/>
      <c r="ADU99" s="174"/>
      <c r="ADV99" s="174"/>
      <c r="ADW99" s="174"/>
      <c r="ADX99" s="174"/>
      <c r="ADY99" s="174"/>
      <c r="ADZ99" s="174"/>
      <c r="AEA99" s="174"/>
      <c r="AEB99" s="174"/>
      <c r="AEC99" s="174"/>
      <c r="AED99" s="174"/>
      <c r="AEE99" s="174"/>
      <c r="AEF99" s="174"/>
      <c r="AEG99" s="174"/>
      <c r="AEH99" s="174"/>
      <c r="AEI99" s="174"/>
      <c r="AEJ99" s="174"/>
      <c r="AEK99" s="174"/>
      <c r="AEL99" s="174"/>
      <c r="AEM99" s="174"/>
      <c r="AEN99" s="174"/>
      <c r="AEO99" s="174"/>
      <c r="AEP99" s="174"/>
      <c r="AEQ99" s="174"/>
      <c r="AER99" s="174"/>
      <c r="AES99" s="174"/>
      <c r="AET99" s="174"/>
      <c r="AEU99" s="174"/>
      <c r="AEV99" s="174"/>
      <c r="AEW99" s="174"/>
      <c r="AEX99" s="174"/>
      <c r="AEY99" s="174"/>
      <c r="AEZ99" s="174"/>
      <c r="AFA99" s="174"/>
      <c r="AFB99" s="174"/>
      <c r="AFC99" s="174"/>
      <c r="AFD99" s="174"/>
      <c r="AFE99" s="174"/>
      <c r="AFF99" s="174"/>
      <c r="AFG99" s="174"/>
      <c r="AFH99" s="174"/>
      <c r="AFI99" s="174"/>
      <c r="AFJ99" s="174"/>
      <c r="AFK99" s="174"/>
      <c r="AFL99" s="174"/>
      <c r="AFM99" s="174"/>
      <c r="AFN99" s="174"/>
      <c r="AFO99" s="174"/>
      <c r="AFP99" s="174"/>
      <c r="AFQ99" s="174"/>
      <c r="AFR99" s="174"/>
      <c r="AFS99" s="174"/>
      <c r="AFT99" s="174"/>
      <c r="AFU99" s="174"/>
      <c r="AFV99" s="174"/>
      <c r="AFW99" s="174"/>
      <c r="AFX99" s="174"/>
      <c r="AFY99" s="174"/>
      <c r="AFZ99" s="174"/>
      <c r="AGA99" s="174"/>
      <c r="AGB99" s="174"/>
      <c r="AGC99" s="174"/>
      <c r="AGD99" s="174"/>
      <c r="AGE99" s="174"/>
      <c r="AGF99" s="174"/>
      <c r="AGG99" s="174"/>
      <c r="AGH99" s="174"/>
      <c r="AGI99" s="174"/>
      <c r="AGJ99" s="174"/>
      <c r="AGK99" s="174"/>
      <c r="AGL99" s="174"/>
      <c r="AGM99" s="174"/>
      <c r="AGN99" s="174"/>
      <c r="AGO99" s="174"/>
      <c r="AGP99" s="174"/>
      <c r="AGQ99" s="174"/>
      <c r="AGR99" s="174"/>
      <c r="AGS99" s="174"/>
      <c r="AGT99" s="174"/>
      <c r="AGU99" s="174"/>
      <c r="AGV99" s="174"/>
      <c r="AGW99" s="174"/>
      <c r="AGX99" s="174"/>
      <c r="AGY99" s="174"/>
      <c r="AGZ99" s="174"/>
      <c r="AHA99" s="174"/>
      <c r="AHB99" s="174"/>
      <c r="AHC99" s="174"/>
      <c r="AHD99" s="174"/>
      <c r="AHE99" s="174"/>
      <c r="AHF99" s="174"/>
      <c r="AHG99" s="174"/>
      <c r="AHH99" s="174"/>
      <c r="AHI99" s="174"/>
      <c r="AHJ99" s="174"/>
      <c r="AHK99" s="174"/>
      <c r="AHL99" s="174"/>
      <c r="AHM99" s="174"/>
      <c r="AHN99" s="174"/>
      <c r="AHO99" s="174"/>
      <c r="AHP99" s="174"/>
      <c r="AHQ99" s="174"/>
      <c r="AHR99" s="174"/>
      <c r="AHS99" s="174"/>
      <c r="AHT99" s="174"/>
      <c r="AHU99" s="174"/>
      <c r="AHV99" s="174"/>
      <c r="AHW99" s="174"/>
      <c r="AHX99" s="174"/>
      <c r="AHY99" s="174"/>
      <c r="AHZ99" s="174"/>
      <c r="AIA99" s="174"/>
      <c r="AIB99" s="174"/>
      <c r="AIC99" s="174"/>
      <c r="AID99" s="174"/>
      <c r="AIE99" s="174"/>
      <c r="AIF99" s="174"/>
      <c r="AIG99" s="174"/>
      <c r="AIH99" s="174"/>
      <c r="AII99" s="174"/>
      <c r="AIJ99" s="174"/>
      <c r="AIK99" s="174"/>
      <c r="AIL99" s="174"/>
      <c r="AIM99" s="174"/>
      <c r="AIN99" s="174"/>
      <c r="AIO99" s="174"/>
      <c r="AIP99" s="174"/>
      <c r="AIQ99" s="174"/>
      <c r="AIR99" s="174"/>
      <c r="AIS99" s="174"/>
      <c r="AIT99" s="174"/>
      <c r="AIU99" s="174"/>
      <c r="AIV99" s="174"/>
      <c r="AIW99" s="174"/>
      <c r="AIX99" s="174"/>
      <c r="AIY99" s="174"/>
      <c r="AIZ99" s="174"/>
      <c r="AJA99" s="174"/>
      <c r="AJB99" s="174"/>
      <c r="AJC99" s="174"/>
      <c r="AJD99" s="174"/>
      <c r="AJE99" s="174"/>
      <c r="AJF99" s="174"/>
      <c r="AJG99" s="174"/>
      <c r="AJH99" s="174"/>
      <c r="AJI99" s="174"/>
      <c r="AJJ99" s="174"/>
      <c r="AJK99" s="174"/>
      <c r="AJL99" s="174"/>
      <c r="AJM99" s="174"/>
      <c r="AJN99" s="174"/>
      <c r="AJO99" s="174"/>
      <c r="AJP99" s="174"/>
      <c r="AJQ99" s="174"/>
      <c r="AJR99" s="174"/>
      <c r="AJS99" s="174"/>
      <c r="AJT99" s="174"/>
      <c r="AJU99" s="174"/>
      <c r="AJV99" s="174"/>
      <c r="AJW99" s="174"/>
      <c r="AJX99" s="174"/>
      <c r="AJY99" s="174"/>
      <c r="AJZ99" s="174"/>
      <c r="AKA99" s="174"/>
      <c r="AKB99" s="174"/>
      <c r="AKC99" s="174"/>
      <c r="AKD99" s="174"/>
      <c r="AKE99" s="174"/>
      <c r="AKF99" s="174"/>
      <c r="AKG99" s="174"/>
      <c r="AKH99" s="174"/>
      <c r="AKI99" s="174"/>
      <c r="AKJ99" s="174"/>
      <c r="AKK99" s="174"/>
      <c r="AKL99" s="174"/>
      <c r="AKM99" s="174"/>
      <c r="AKN99" s="174"/>
      <c r="AKO99" s="174"/>
      <c r="AKP99" s="174"/>
      <c r="AKQ99" s="174"/>
      <c r="AKR99" s="174"/>
      <c r="AKS99" s="174"/>
      <c r="AKT99" s="174"/>
      <c r="AKU99" s="174"/>
      <c r="AKV99" s="174"/>
      <c r="AKW99" s="174"/>
      <c r="AKX99" s="174"/>
      <c r="AKY99" s="174"/>
      <c r="AKZ99" s="174"/>
      <c r="ALA99" s="174"/>
      <c r="ALB99" s="174"/>
      <c r="ALC99" s="174"/>
      <c r="ALD99" s="174"/>
      <c r="ALE99" s="174"/>
      <c r="ALF99" s="174"/>
      <c r="ALG99" s="174"/>
      <c r="ALH99" s="174"/>
      <c r="ALI99" s="174"/>
      <c r="ALJ99" s="174"/>
      <c r="ALK99" s="174"/>
      <c r="ALL99" s="174"/>
      <c r="ALM99" s="174"/>
      <c r="ALN99" s="174"/>
      <c r="ALO99" s="174"/>
      <c r="ALP99" s="174"/>
      <c r="ALQ99" s="174"/>
      <c r="ALR99" s="174"/>
      <c r="ALS99" s="174"/>
      <c r="ALT99" s="174"/>
      <c r="ALU99" s="174"/>
      <c r="ALV99" s="174"/>
      <c r="ALW99" s="174"/>
      <c r="ALX99" s="174"/>
      <c r="ALY99" s="174"/>
      <c r="ALZ99" s="174"/>
      <c r="AMA99" s="174"/>
      <c r="AMB99" s="174"/>
      <c r="AMC99" s="174"/>
      <c r="AMD99" s="174"/>
      <c r="AME99" s="158"/>
    </row>
    <row r="100" spans="1:1019" s="172" customFormat="1">
      <c r="A100" s="168">
        <f>A97+1</f>
        <v>87</v>
      </c>
      <c r="B100" s="175">
        <v>1357</v>
      </c>
      <c r="C100" s="175" t="s">
        <v>69</v>
      </c>
      <c r="D100" s="169">
        <f>'הנדסה '!D26</f>
        <v>25000000</v>
      </c>
      <c r="E100" s="169">
        <f>'הנדסה '!E26</f>
        <v>25000000</v>
      </c>
      <c r="F100" s="169">
        <f>'הנדסה '!F26</f>
        <v>0</v>
      </c>
      <c r="G100" s="169">
        <f>'הנדסה '!G26</f>
        <v>12612000</v>
      </c>
      <c r="H100" s="169">
        <f>'הנדסה '!H26</f>
        <v>12420746.140000001</v>
      </c>
      <c r="I100" s="169">
        <f>'הנדסה '!I26</f>
        <v>118498.13</v>
      </c>
      <c r="J100" s="169">
        <f>'הנדסה '!J26</f>
        <v>0</v>
      </c>
      <c r="K100" s="169">
        <f>'הנדסה '!K26</f>
        <v>118498.13</v>
      </c>
      <c r="L100" s="169">
        <f>'הנדסה '!L26</f>
        <v>12539244.270000001</v>
      </c>
      <c r="M100" s="169">
        <f>'הנדסה '!M26</f>
        <v>22755.729999998584</v>
      </c>
      <c r="N100" s="169">
        <f>'הנדסה '!N26</f>
        <v>140000</v>
      </c>
      <c r="O100" s="169">
        <f>'הנדסה '!O26</f>
        <v>12298000</v>
      </c>
      <c r="P100" s="169">
        <f>'הנדסה '!P26</f>
        <v>72755.729999998584</v>
      </c>
      <c r="Q100" s="169">
        <f>'הנדסה '!Q26</f>
        <v>0</v>
      </c>
      <c r="R100" s="169">
        <f>'הנדסה '!R26</f>
        <v>0</v>
      </c>
      <c r="S100" s="169">
        <f>'הנדסה '!S26</f>
        <v>0</v>
      </c>
      <c r="T100" s="169">
        <f>'הנדסה '!T26</f>
        <v>50000</v>
      </c>
      <c r="U100" s="169">
        <f>'הנדסה '!U26</f>
        <v>90000</v>
      </c>
      <c r="V100" s="169">
        <f>'הנדסה '!V26</f>
        <v>90000</v>
      </c>
      <c r="W100" s="169">
        <f>'הנדסה '!W26</f>
        <v>0</v>
      </c>
      <c r="X100" s="169">
        <f>'הנדסה '!X26</f>
        <v>0</v>
      </c>
      <c r="Y100" s="169">
        <f>'הנדסה '!Y26</f>
        <v>0</v>
      </c>
      <c r="Z100" s="169">
        <f>'הנדסה '!Z26</f>
        <v>0</v>
      </c>
      <c r="AA100" s="659">
        <f>'הנדסה '!AA26</f>
        <v>829000</v>
      </c>
      <c r="AB100" s="157"/>
      <c r="AC100" s="157"/>
      <c r="AD100" s="157"/>
      <c r="AE100" s="157"/>
      <c r="AG100" s="174"/>
      <c r="AH100" s="174"/>
      <c r="AI100" s="174"/>
      <c r="AJ100" s="174"/>
      <c r="AK100" s="174"/>
      <c r="AME100" s="158"/>
    </row>
    <row r="101" spans="1:1019" ht="30" customHeight="1">
      <c r="A101" s="168">
        <f>A100+1</f>
        <v>88</v>
      </c>
      <c r="B101" s="13">
        <v>1606</v>
      </c>
      <c r="C101" s="13" t="s">
        <v>909</v>
      </c>
      <c r="D101" s="169">
        <f>'הנדסה '!D38</f>
        <v>1229574</v>
      </c>
      <c r="E101" s="169">
        <f>'הנדסה '!E38</f>
        <v>1229574</v>
      </c>
      <c r="F101" s="169">
        <f>'הנדסה '!F38</f>
        <v>0</v>
      </c>
      <c r="G101" s="169">
        <f>'הנדסה '!G38</f>
        <v>1229574</v>
      </c>
      <c r="H101" s="169">
        <f>'הנדסה '!H38</f>
        <v>1228338</v>
      </c>
      <c r="I101" s="169">
        <f>'הנדסה '!I38</f>
        <v>0</v>
      </c>
      <c r="J101" s="169">
        <f>'הנדסה '!J38</f>
        <v>0</v>
      </c>
      <c r="K101" s="169">
        <f>'הנדסה '!K38</f>
        <v>0</v>
      </c>
      <c r="L101" s="169">
        <f>'הנדסה '!L38</f>
        <v>1228338</v>
      </c>
      <c r="M101" s="169">
        <f>'הנדסה '!M38</f>
        <v>1236</v>
      </c>
      <c r="N101" s="169">
        <f>'הנדסה '!N38</f>
        <v>0</v>
      </c>
      <c r="O101" s="169">
        <f>'הנדסה '!O38</f>
        <v>0</v>
      </c>
      <c r="P101" s="169">
        <f>'הנדסה '!P38</f>
        <v>1236</v>
      </c>
      <c r="Q101" s="169">
        <f>'הנדסה '!Q38</f>
        <v>0</v>
      </c>
      <c r="R101" s="169">
        <f>'הנדסה '!R38</f>
        <v>0</v>
      </c>
      <c r="S101" s="169">
        <f>'הנדסה '!S38</f>
        <v>0</v>
      </c>
      <c r="T101" s="169">
        <f>'הנדסה '!T38</f>
        <v>0</v>
      </c>
      <c r="U101" s="169">
        <f>'הנדסה '!U38</f>
        <v>0</v>
      </c>
      <c r="V101" s="169">
        <f>'הנדסה '!V38</f>
        <v>0</v>
      </c>
      <c r="W101" s="169">
        <f>'הנדסה '!W38</f>
        <v>0</v>
      </c>
      <c r="X101" s="169">
        <f>'הנדסה '!X38</f>
        <v>0</v>
      </c>
      <c r="Y101" s="169">
        <f>'הנדסה '!Y38</f>
        <v>0</v>
      </c>
      <c r="Z101" s="169">
        <f>'הנדסה '!Z38</f>
        <v>0</v>
      </c>
      <c r="AA101" s="659">
        <f>'הנדסה '!AA38</f>
        <v>829000</v>
      </c>
      <c r="AB101" s="157"/>
      <c r="AD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  <c r="AIW101" s="15"/>
      <c r="AIX101" s="15"/>
      <c r="AIY101" s="15"/>
      <c r="AIZ101" s="15"/>
      <c r="AJA101" s="15"/>
      <c r="AJB101" s="15"/>
      <c r="AJC101" s="15"/>
      <c r="AJD101" s="15"/>
      <c r="AJE101" s="15"/>
      <c r="AJF101" s="15"/>
      <c r="AJG101" s="15"/>
      <c r="AJH101" s="15"/>
      <c r="AJI101" s="15"/>
      <c r="AJJ101" s="15"/>
      <c r="AJK101" s="15"/>
      <c r="AJL101" s="15"/>
      <c r="AJM101" s="15"/>
      <c r="AJN101" s="15"/>
      <c r="AJO101" s="15"/>
      <c r="AJP101" s="15"/>
      <c r="AJQ101" s="15"/>
      <c r="AJR101" s="15"/>
      <c r="AJS101" s="15"/>
      <c r="AJT101" s="15"/>
      <c r="AJU101" s="15"/>
      <c r="AJV101" s="15"/>
      <c r="AJW101" s="15"/>
      <c r="AJX101" s="15"/>
      <c r="AJY101" s="15"/>
      <c r="AJZ101" s="15"/>
      <c r="AKA101" s="15"/>
      <c r="AKB101" s="15"/>
      <c r="AKC101" s="15"/>
      <c r="AKD101" s="15"/>
      <c r="AKE101" s="15"/>
      <c r="AKF101" s="15"/>
      <c r="AKG101" s="15"/>
      <c r="AKH101" s="15"/>
      <c r="AKI101" s="15"/>
      <c r="AKJ101" s="15"/>
      <c r="AKK101" s="15"/>
      <c r="AKL101" s="15"/>
      <c r="AKM101" s="15"/>
      <c r="AKN101" s="15"/>
      <c r="AKO101" s="15"/>
      <c r="AKP101" s="15"/>
      <c r="AKQ101" s="15"/>
      <c r="AKR101" s="15"/>
      <c r="AKS101" s="15"/>
      <c r="AKT101" s="15"/>
      <c r="AKU101" s="15"/>
      <c r="AKV101" s="15"/>
      <c r="AKW101" s="15"/>
      <c r="AKX101" s="15"/>
      <c r="AKY101" s="15"/>
      <c r="AKZ101" s="15"/>
      <c r="ALA101" s="15"/>
      <c r="ALB101" s="15"/>
      <c r="ALC101" s="15"/>
      <c r="ALD101" s="15"/>
      <c r="ALE101" s="15"/>
      <c r="ALF101" s="15"/>
      <c r="ALG101" s="15"/>
      <c r="ALH101" s="15"/>
      <c r="ALI101" s="15"/>
      <c r="ALJ101" s="15"/>
      <c r="ALK101" s="15"/>
      <c r="ALL101" s="15"/>
      <c r="ALM101" s="15"/>
      <c r="ALN101" s="15"/>
      <c r="ALO101" s="15"/>
      <c r="ALP101" s="15"/>
      <c r="ALQ101" s="15"/>
      <c r="ALR101" s="15"/>
      <c r="ALS101" s="15"/>
      <c r="ALT101" s="15"/>
      <c r="ALU101" s="15"/>
      <c r="ALV101" s="15"/>
      <c r="ALW101" s="15"/>
      <c r="ALX101" s="15"/>
      <c r="ALY101" s="15"/>
      <c r="ALZ101" s="15"/>
      <c r="AMA101" s="15"/>
      <c r="AMB101" s="15"/>
      <c r="AMC101" s="15"/>
      <c r="AMD101" s="15"/>
      <c r="AME101" s="15"/>
    </row>
    <row r="102" spans="1:1019" ht="15" customHeight="1">
      <c r="A102" s="168">
        <f>A101+1</f>
        <v>89</v>
      </c>
      <c r="B102" s="175">
        <v>1952</v>
      </c>
      <c r="C102" s="168" t="s">
        <v>402</v>
      </c>
      <c r="D102" s="169">
        <f>'הנדסה '!D80</f>
        <v>200000</v>
      </c>
      <c r="E102" s="169">
        <f>'הנדסה '!E80</f>
        <v>120000</v>
      </c>
      <c r="F102" s="169">
        <f>'הנדסה '!F80</f>
        <v>80000</v>
      </c>
      <c r="G102" s="169">
        <f>'הנדסה '!G80</f>
        <v>0</v>
      </c>
      <c r="H102" s="169">
        <f>'הנדסה '!H80</f>
        <v>0</v>
      </c>
      <c r="I102" s="169">
        <f>'הנדסה '!I80</f>
        <v>0</v>
      </c>
      <c r="J102" s="169">
        <f>'הנדסה '!J80</f>
        <v>0</v>
      </c>
      <c r="K102" s="169">
        <f>'הנדסה '!K80</f>
        <v>0</v>
      </c>
      <c r="L102" s="169">
        <f>'הנדסה '!L80</f>
        <v>0</v>
      </c>
      <c r="M102" s="169">
        <f>'הנדסה '!M80</f>
        <v>0</v>
      </c>
      <c r="N102" s="169">
        <f>'הנדסה '!N80</f>
        <v>200000</v>
      </c>
      <c r="O102" s="169">
        <f>'הנדסה '!O80</f>
        <v>0</v>
      </c>
      <c r="P102" s="169">
        <f>'הנדסה '!P80</f>
        <v>0</v>
      </c>
      <c r="Q102" s="169">
        <f>'הנדסה '!Q80</f>
        <v>0</v>
      </c>
      <c r="R102" s="169">
        <f>'הנדסה '!R80</f>
        <v>0</v>
      </c>
      <c r="S102" s="169">
        <f>'הנדסה '!S80</f>
        <v>0</v>
      </c>
      <c r="T102" s="169">
        <f>'הנדסה '!T80</f>
        <v>0</v>
      </c>
      <c r="U102" s="169">
        <f>'הנדסה '!U80</f>
        <v>200000</v>
      </c>
      <c r="V102" s="169">
        <f>'הנדסה '!V80</f>
        <v>200000</v>
      </c>
      <c r="W102" s="169">
        <f>'הנדסה '!W80</f>
        <v>0</v>
      </c>
      <c r="X102" s="169">
        <f>'הנדסה '!X80</f>
        <v>0</v>
      </c>
      <c r="Y102" s="169">
        <f>'הנדסה '!Y80</f>
        <v>0</v>
      </c>
      <c r="Z102" s="169">
        <f>'הנדסה '!Z80</f>
        <v>0</v>
      </c>
      <c r="AA102" s="659">
        <f>'הנדסה '!AA80</f>
        <v>829000</v>
      </c>
      <c r="AB102" s="157"/>
      <c r="AF102" s="176"/>
      <c r="AG102" s="176"/>
      <c r="AH102" s="176"/>
      <c r="AI102" s="178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176"/>
      <c r="GF102" s="176"/>
      <c r="GG102" s="176"/>
      <c r="GH102" s="176"/>
      <c r="GI102" s="176"/>
      <c r="GJ102" s="176"/>
      <c r="GK102" s="176"/>
      <c r="GL102" s="176"/>
      <c r="GM102" s="176"/>
      <c r="GN102" s="176"/>
      <c r="GO102" s="176"/>
      <c r="GP102" s="176"/>
      <c r="GQ102" s="176"/>
      <c r="GR102" s="176"/>
      <c r="GS102" s="176"/>
      <c r="GT102" s="176"/>
      <c r="GU102" s="176"/>
      <c r="GV102" s="176"/>
      <c r="GW102" s="176"/>
      <c r="GX102" s="176"/>
      <c r="GY102" s="176"/>
      <c r="GZ102" s="176"/>
      <c r="HA102" s="176"/>
      <c r="HB102" s="176"/>
      <c r="HC102" s="176"/>
      <c r="HD102" s="176"/>
      <c r="HE102" s="176"/>
      <c r="HF102" s="176"/>
      <c r="HG102" s="176"/>
      <c r="HH102" s="176"/>
      <c r="HI102" s="176"/>
      <c r="HJ102" s="176"/>
      <c r="HK102" s="176"/>
      <c r="HL102" s="176"/>
      <c r="HM102" s="176"/>
      <c r="HN102" s="176"/>
      <c r="HO102" s="176"/>
      <c r="HP102" s="176"/>
      <c r="HQ102" s="176"/>
      <c r="HR102" s="176"/>
      <c r="HS102" s="176"/>
      <c r="HT102" s="176"/>
      <c r="HU102" s="176"/>
      <c r="HV102" s="176"/>
      <c r="HW102" s="176"/>
      <c r="HX102" s="176"/>
      <c r="HY102" s="176"/>
      <c r="HZ102" s="176"/>
      <c r="IA102" s="176"/>
      <c r="IB102" s="176"/>
      <c r="IC102" s="176"/>
      <c r="ID102" s="176"/>
      <c r="IE102" s="176"/>
      <c r="IF102" s="176"/>
      <c r="IG102" s="176"/>
      <c r="IH102" s="176"/>
      <c r="II102" s="176"/>
      <c r="IJ102" s="176"/>
      <c r="IK102" s="176"/>
      <c r="IL102" s="176"/>
      <c r="IM102" s="176"/>
      <c r="IN102" s="176"/>
      <c r="IO102" s="176"/>
      <c r="IP102" s="176"/>
      <c r="IQ102" s="176"/>
      <c r="IR102" s="176"/>
      <c r="IS102" s="176"/>
      <c r="IT102" s="176"/>
      <c r="IU102" s="176"/>
      <c r="IV102" s="176"/>
      <c r="IW102" s="176"/>
      <c r="IX102" s="176"/>
      <c r="IY102" s="176"/>
      <c r="IZ102" s="176"/>
      <c r="JA102" s="176"/>
      <c r="JB102" s="176"/>
      <c r="JC102" s="176"/>
      <c r="JD102" s="176"/>
      <c r="JE102" s="176"/>
      <c r="JF102" s="176"/>
      <c r="JG102" s="176"/>
      <c r="JH102" s="176"/>
      <c r="JI102" s="176"/>
      <c r="JJ102" s="176"/>
      <c r="JK102" s="176"/>
      <c r="JL102" s="176"/>
      <c r="JM102" s="176"/>
      <c r="JN102" s="176"/>
      <c r="JO102" s="176"/>
      <c r="JP102" s="176"/>
      <c r="JQ102" s="176"/>
      <c r="JR102" s="176"/>
      <c r="JS102" s="176"/>
      <c r="JT102" s="176"/>
      <c r="JU102" s="176"/>
      <c r="JV102" s="176"/>
      <c r="JW102" s="176"/>
      <c r="JX102" s="176"/>
      <c r="JY102" s="176"/>
      <c r="JZ102" s="176"/>
      <c r="KA102" s="176"/>
      <c r="KB102" s="176"/>
      <c r="KC102" s="176"/>
      <c r="KD102" s="176"/>
      <c r="KE102" s="176"/>
      <c r="KF102" s="176"/>
      <c r="KG102" s="176"/>
      <c r="KH102" s="176"/>
      <c r="KI102" s="176"/>
      <c r="KJ102" s="176"/>
      <c r="KK102" s="176"/>
      <c r="KL102" s="176"/>
      <c r="KM102" s="176"/>
      <c r="KN102" s="176"/>
      <c r="KO102" s="176"/>
      <c r="KP102" s="176"/>
      <c r="KQ102" s="176"/>
      <c r="KR102" s="176"/>
      <c r="KS102" s="176"/>
      <c r="KT102" s="176"/>
      <c r="KU102" s="176"/>
      <c r="KV102" s="176"/>
      <c r="KW102" s="176"/>
      <c r="KX102" s="176"/>
      <c r="KY102" s="176"/>
      <c r="KZ102" s="176"/>
      <c r="LA102" s="176"/>
      <c r="LB102" s="176"/>
      <c r="LC102" s="176"/>
      <c r="LD102" s="176"/>
      <c r="LE102" s="176"/>
      <c r="LF102" s="176"/>
      <c r="LG102" s="176"/>
      <c r="LH102" s="176"/>
      <c r="LI102" s="176"/>
      <c r="LJ102" s="176"/>
      <c r="LK102" s="176"/>
      <c r="LL102" s="176"/>
      <c r="LM102" s="176"/>
      <c r="LN102" s="176"/>
      <c r="LO102" s="176"/>
      <c r="LP102" s="176"/>
      <c r="LQ102" s="176"/>
      <c r="LR102" s="176"/>
      <c r="LS102" s="176"/>
      <c r="LT102" s="176"/>
      <c r="LU102" s="176"/>
      <c r="LV102" s="176"/>
      <c r="LW102" s="176"/>
      <c r="LX102" s="176"/>
      <c r="LY102" s="176"/>
      <c r="LZ102" s="176"/>
      <c r="MA102" s="176"/>
      <c r="MB102" s="176"/>
      <c r="MC102" s="176"/>
      <c r="MD102" s="176"/>
      <c r="ME102" s="176"/>
      <c r="MF102" s="176"/>
      <c r="MG102" s="176"/>
      <c r="MH102" s="176"/>
      <c r="MI102" s="176"/>
      <c r="MJ102" s="176"/>
      <c r="MK102" s="176"/>
      <c r="ML102" s="176"/>
      <c r="MM102" s="176"/>
      <c r="MN102" s="176"/>
      <c r="MO102" s="176"/>
      <c r="MP102" s="176"/>
      <c r="MQ102" s="176"/>
      <c r="MR102" s="176"/>
      <c r="MS102" s="176"/>
      <c r="MT102" s="176"/>
      <c r="MU102" s="176"/>
      <c r="MV102" s="176"/>
      <c r="MW102" s="176"/>
      <c r="MX102" s="176"/>
      <c r="MY102" s="176"/>
      <c r="MZ102" s="176"/>
      <c r="NA102" s="176"/>
      <c r="NB102" s="176"/>
      <c r="NC102" s="176"/>
      <c r="ND102" s="176"/>
      <c r="NE102" s="176"/>
      <c r="NF102" s="176"/>
      <c r="NG102" s="176"/>
      <c r="NH102" s="176"/>
      <c r="NI102" s="176"/>
      <c r="NJ102" s="176"/>
      <c r="NK102" s="176"/>
      <c r="NL102" s="176"/>
      <c r="NM102" s="176"/>
      <c r="NN102" s="176"/>
      <c r="NO102" s="176"/>
      <c r="NP102" s="176"/>
      <c r="NQ102" s="176"/>
      <c r="NR102" s="176"/>
      <c r="NS102" s="176"/>
      <c r="NT102" s="176"/>
      <c r="NU102" s="176"/>
      <c r="NV102" s="176"/>
      <c r="NW102" s="176"/>
      <c r="NX102" s="176"/>
      <c r="NY102" s="176"/>
      <c r="NZ102" s="176"/>
      <c r="OA102" s="176"/>
      <c r="OB102" s="176"/>
      <c r="OC102" s="176"/>
      <c r="OD102" s="176"/>
      <c r="OE102" s="176"/>
      <c r="OF102" s="176"/>
      <c r="OG102" s="176"/>
      <c r="OH102" s="176"/>
      <c r="OI102" s="176"/>
      <c r="OJ102" s="176"/>
      <c r="OK102" s="176"/>
      <c r="OL102" s="176"/>
      <c r="OM102" s="176"/>
      <c r="ON102" s="176"/>
      <c r="OO102" s="176"/>
      <c r="OP102" s="176"/>
      <c r="OQ102" s="176"/>
      <c r="OR102" s="176"/>
      <c r="OS102" s="176"/>
      <c r="OT102" s="176"/>
      <c r="OU102" s="176"/>
      <c r="OV102" s="176"/>
      <c r="OW102" s="176"/>
      <c r="OX102" s="176"/>
      <c r="OY102" s="176"/>
      <c r="OZ102" s="176"/>
      <c r="PA102" s="176"/>
      <c r="PB102" s="176"/>
      <c r="PC102" s="176"/>
      <c r="PD102" s="176"/>
      <c r="PE102" s="176"/>
      <c r="PF102" s="176"/>
      <c r="PG102" s="176"/>
      <c r="PH102" s="176"/>
      <c r="PI102" s="176"/>
      <c r="PJ102" s="176"/>
      <c r="PK102" s="176"/>
      <c r="PL102" s="176"/>
      <c r="PM102" s="176"/>
      <c r="PN102" s="176"/>
      <c r="PO102" s="176"/>
      <c r="PP102" s="176"/>
      <c r="PQ102" s="176"/>
      <c r="PR102" s="176"/>
      <c r="PS102" s="176"/>
      <c r="PT102" s="176"/>
      <c r="PU102" s="176"/>
      <c r="PV102" s="176"/>
      <c r="PW102" s="176"/>
      <c r="PX102" s="176"/>
      <c r="PY102" s="176"/>
      <c r="PZ102" s="176"/>
      <c r="QA102" s="176"/>
      <c r="QB102" s="176"/>
      <c r="QC102" s="176"/>
      <c r="QD102" s="176"/>
      <c r="QE102" s="176"/>
      <c r="QF102" s="176"/>
      <c r="QG102" s="176"/>
      <c r="QH102" s="176"/>
      <c r="QI102" s="176"/>
      <c r="QJ102" s="176"/>
      <c r="QK102" s="176"/>
      <c r="QL102" s="176"/>
      <c r="QM102" s="176"/>
      <c r="QN102" s="176"/>
      <c r="QO102" s="176"/>
      <c r="QP102" s="176"/>
      <c r="QQ102" s="176"/>
      <c r="QR102" s="176"/>
      <c r="QS102" s="176"/>
      <c r="QT102" s="176"/>
      <c r="QU102" s="176"/>
      <c r="QV102" s="176"/>
      <c r="QW102" s="176"/>
      <c r="QX102" s="176"/>
      <c r="QY102" s="176"/>
      <c r="QZ102" s="176"/>
      <c r="RA102" s="176"/>
      <c r="RB102" s="176"/>
      <c r="RC102" s="176"/>
      <c r="RD102" s="176"/>
      <c r="RE102" s="176"/>
      <c r="RF102" s="176"/>
      <c r="RG102" s="176"/>
      <c r="RH102" s="176"/>
      <c r="RI102" s="176"/>
      <c r="RJ102" s="176"/>
      <c r="RK102" s="176"/>
      <c r="RL102" s="176"/>
      <c r="RM102" s="176"/>
      <c r="RN102" s="176"/>
      <c r="RO102" s="176"/>
      <c r="RP102" s="176"/>
      <c r="RQ102" s="176"/>
      <c r="RR102" s="176"/>
      <c r="RS102" s="176"/>
      <c r="RT102" s="176"/>
      <c r="RU102" s="176"/>
      <c r="RV102" s="176"/>
      <c r="RW102" s="176"/>
      <c r="RX102" s="176"/>
      <c r="RY102" s="176"/>
      <c r="RZ102" s="176"/>
      <c r="SA102" s="176"/>
      <c r="SB102" s="176"/>
      <c r="SC102" s="176"/>
      <c r="SD102" s="176"/>
      <c r="SE102" s="176"/>
      <c r="SF102" s="176"/>
      <c r="SG102" s="176"/>
      <c r="SH102" s="176"/>
      <c r="SI102" s="176"/>
      <c r="SJ102" s="176"/>
      <c r="SK102" s="176"/>
      <c r="SL102" s="176"/>
      <c r="SM102" s="176"/>
      <c r="SN102" s="176"/>
      <c r="SO102" s="176"/>
      <c r="SP102" s="176"/>
      <c r="SQ102" s="176"/>
      <c r="SR102" s="176"/>
      <c r="SS102" s="176"/>
      <c r="ST102" s="176"/>
      <c r="SU102" s="176"/>
      <c r="SV102" s="176"/>
      <c r="SW102" s="176"/>
      <c r="SX102" s="176"/>
      <c r="SY102" s="176"/>
      <c r="SZ102" s="176"/>
      <c r="TA102" s="176"/>
      <c r="TB102" s="176"/>
      <c r="TC102" s="176"/>
      <c r="TD102" s="176"/>
      <c r="TE102" s="176"/>
      <c r="TF102" s="176"/>
      <c r="TG102" s="176"/>
      <c r="TH102" s="176"/>
      <c r="TI102" s="176"/>
      <c r="TJ102" s="176"/>
      <c r="TK102" s="176"/>
      <c r="TL102" s="176"/>
      <c r="TM102" s="176"/>
      <c r="TN102" s="176"/>
      <c r="TO102" s="176"/>
      <c r="TP102" s="176"/>
      <c r="TQ102" s="176"/>
      <c r="TR102" s="176"/>
      <c r="TS102" s="176"/>
      <c r="TT102" s="176"/>
      <c r="TU102" s="176"/>
      <c r="TV102" s="176"/>
      <c r="TW102" s="176"/>
      <c r="TX102" s="176"/>
      <c r="TY102" s="176"/>
      <c r="TZ102" s="176"/>
      <c r="UA102" s="176"/>
      <c r="UB102" s="176"/>
      <c r="UC102" s="176"/>
      <c r="UD102" s="176"/>
      <c r="UE102" s="176"/>
      <c r="UF102" s="176"/>
      <c r="UG102" s="176"/>
      <c r="UH102" s="176"/>
      <c r="UI102" s="176"/>
      <c r="UJ102" s="176"/>
      <c r="UK102" s="176"/>
      <c r="UL102" s="176"/>
      <c r="UM102" s="176"/>
      <c r="UN102" s="176"/>
      <c r="UO102" s="176"/>
      <c r="UP102" s="176"/>
      <c r="UQ102" s="176"/>
      <c r="UR102" s="176"/>
      <c r="US102" s="176"/>
      <c r="UT102" s="176"/>
      <c r="UU102" s="176"/>
      <c r="UV102" s="176"/>
      <c r="UW102" s="176"/>
      <c r="UX102" s="176"/>
      <c r="UY102" s="176"/>
      <c r="UZ102" s="176"/>
      <c r="VA102" s="176"/>
      <c r="VB102" s="176"/>
      <c r="VC102" s="176"/>
      <c r="VD102" s="176"/>
      <c r="VE102" s="176"/>
      <c r="VF102" s="176"/>
      <c r="VG102" s="176"/>
      <c r="VH102" s="176"/>
      <c r="VI102" s="176"/>
      <c r="VJ102" s="176"/>
      <c r="VK102" s="176"/>
      <c r="VL102" s="176"/>
      <c r="VM102" s="176"/>
      <c r="VN102" s="176"/>
      <c r="VO102" s="176"/>
      <c r="VP102" s="176"/>
      <c r="VQ102" s="176"/>
      <c r="VR102" s="176"/>
      <c r="VS102" s="176"/>
      <c r="VT102" s="176"/>
      <c r="VU102" s="176"/>
      <c r="VV102" s="176"/>
      <c r="VW102" s="176"/>
      <c r="VX102" s="176"/>
      <c r="VY102" s="176"/>
      <c r="VZ102" s="176"/>
      <c r="WA102" s="176"/>
      <c r="WB102" s="176"/>
      <c r="WC102" s="176"/>
      <c r="WD102" s="176"/>
      <c r="WE102" s="176"/>
      <c r="WF102" s="176"/>
      <c r="WG102" s="176"/>
      <c r="WH102" s="176"/>
      <c r="WI102" s="176"/>
      <c r="WJ102" s="176"/>
      <c r="WK102" s="176"/>
      <c r="WL102" s="176"/>
      <c r="WM102" s="176"/>
      <c r="WN102" s="176"/>
      <c r="WO102" s="176"/>
      <c r="WP102" s="176"/>
      <c r="WQ102" s="176"/>
      <c r="WR102" s="176"/>
      <c r="WS102" s="176"/>
      <c r="WT102" s="176"/>
      <c r="WU102" s="176"/>
      <c r="WV102" s="176"/>
      <c r="WW102" s="176"/>
      <c r="WX102" s="176"/>
      <c r="WY102" s="176"/>
      <c r="WZ102" s="176"/>
      <c r="XA102" s="176"/>
      <c r="XB102" s="176"/>
      <c r="XC102" s="176"/>
      <c r="XD102" s="176"/>
      <c r="XE102" s="176"/>
      <c r="XF102" s="176"/>
      <c r="XG102" s="176"/>
      <c r="XH102" s="176"/>
      <c r="XI102" s="176"/>
      <c r="XJ102" s="176"/>
      <c r="XK102" s="176"/>
      <c r="XL102" s="176"/>
      <c r="XM102" s="176"/>
      <c r="XN102" s="176"/>
      <c r="XO102" s="176"/>
      <c r="XP102" s="176"/>
      <c r="XQ102" s="176"/>
      <c r="XR102" s="176"/>
      <c r="XS102" s="176"/>
      <c r="XT102" s="176"/>
      <c r="XU102" s="176"/>
      <c r="XV102" s="176"/>
      <c r="XW102" s="176"/>
      <c r="XX102" s="176"/>
      <c r="XY102" s="176"/>
      <c r="XZ102" s="176"/>
      <c r="YA102" s="176"/>
      <c r="YB102" s="176"/>
      <c r="YC102" s="176"/>
      <c r="YD102" s="176"/>
      <c r="YE102" s="176"/>
      <c r="YF102" s="176"/>
      <c r="YG102" s="176"/>
      <c r="YH102" s="176"/>
      <c r="YI102" s="176"/>
      <c r="YJ102" s="176"/>
      <c r="YK102" s="176"/>
      <c r="YL102" s="176"/>
      <c r="YM102" s="176"/>
      <c r="YN102" s="176"/>
      <c r="YO102" s="176"/>
      <c r="YP102" s="176"/>
      <c r="YQ102" s="176"/>
      <c r="YR102" s="176"/>
      <c r="YS102" s="176"/>
      <c r="YT102" s="176"/>
      <c r="YU102" s="176"/>
      <c r="YV102" s="176"/>
      <c r="YW102" s="176"/>
      <c r="YX102" s="176"/>
      <c r="YY102" s="176"/>
      <c r="YZ102" s="176"/>
      <c r="ZA102" s="176"/>
      <c r="ZB102" s="176"/>
      <c r="ZC102" s="176"/>
      <c r="ZD102" s="176"/>
      <c r="ZE102" s="176"/>
      <c r="ZF102" s="176"/>
      <c r="ZG102" s="176"/>
      <c r="ZH102" s="176"/>
      <c r="ZI102" s="176"/>
      <c r="ZJ102" s="176"/>
      <c r="ZK102" s="176"/>
      <c r="ZL102" s="176"/>
      <c r="ZM102" s="176"/>
      <c r="ZN102" s="176"/>
      <c r="ZO102" s="176"/>
      <c r="ZP102" s="176"/>
      <c r="ZQ102" s="176"/>
      <c r="ZR102" s="176"/>
      <c r="ZS102" s="176"/>
      <c r="ZT102" s="176"/>
      <c r="ZU102" s="176"/>
      <c r="ZV102" s="176"/>
      <c r="ZW102" s="176"/>
      <c r="ZX102" s="176"/>
      <c r="ZY102" s="176"/>
      <c r="ZZ102" s="176"/>
      <c r="AAA102" s="176"/>
      <c r="AAB102" s="176"/>
      <c r="AAC102" s="176"/>
      <c r="AAD102" s="176"/>
      <c r="AAE102" s="176"/>
      <c r="AAF102" s="176"/>
      <c r="AAG102" s="176"/>
      <c r="AAH102" s="176"/>
      <c r="AAI102" s="176"/>
      <c r="AAJ102" s="176"/>
      <c r="AAK102" s="176"/>
      <c r="AAL102" s="176"/>
      <c r="AAM102" s="176"/>
      <c r="AAN102" s="176"/>
      <c r="AAO102" s="176"/>
      <c r="AAP102" s="176"/>
      <c r="AAQ102" s="176"/>
      <c r="AAR102" s="176"/>
      <c r="AAS102" s="176"/>
      <c r="AAT102" s="176"/>
      <c r="AAU102" s="176"/>
      <c r="AAV102" s="176"/>
      <c r="AAW102" s="176"/>
      <c r="AAX102" s="176"/>
      <c r="AAY102" s="176"/>
      <c r="AAZ102" s="176"/>
      <c r="ABA102" s="176"/>
      <c r="ABB102" s="176"/>
      <c r="ABC102" s="176"/>
      <c r="ABD102" s="176"/>
      <c r="ABE102" s="176"/>
      <c r="ABF102" s="176"/>
      <c r="ABG102" s="176"/>
      <c r="ABH102" s="176"/>
      <c r="ABI102" s="176"/>
      <c r="ABJ102" s="176"/>
      <c r="ABK102" s="176"/>
      <c r="ABL102" s="176"/>
      <c r="ABM102" s="176"/>
      <c r="ABN102" s="176"/>
      <c r="ABO102" s="176"/>
      <c r="ABP102" s="176"/>
      <c r="ABQ102" s="176"/>
      <c r="ABR102" s="176"/>
      <c r="ABS102" s="176"/>
      <c r="ABT102" s="176"/>
      <c r="ABU102" s="176"/>
      <c r="ABV102" s="176"/>
      <c r="ABW102" s="176"/>
      <c r="ABX102" s="176"/>
      <c r="ABY102" s="176"/>
      <c r="ABZ102" s="176"/>
      <c r="ACA102" s="176"/>
      <c r="ACB102" s="176"/>
      <c r="ACC102" s="176"/>
      <c r="ACD102" s="176"/>
      <c r="ACE102" s="176"/>
      <c r="ACF102" s="176"/>
      <c r="ACG102" s="176"/>
      <c r="ACH102" s="176"/>
      <c r="ACI102" s="176"/>
      <c r="ACJ102" s="176"/>
      <c r="ACK102" s="176"/>
      <c r="ACL102" s="176"/>
      <c r="ACM102" s="176"/>
      <c r="ACN102" s="176"/>
      <c r="ACO102" s="176"/>
      <c r="ACP102" s="176"/>
      <c r="ACQ102" s="176"/>
      <c r="ACR102" s="176"/>
      <c r="ACS102" s="176"/>
      <c r="ACT102" s="176"/>
      <c r="ACU102" s="176"/>
      <c r="ACV102" s="176"/>
      <c r="ACW102" s="176"/>
      <c r="ACX102" s="176"/>
      <c r="ACY102" s="176"/>
      <c r="ACZ102" s="176"/>
      <c r="ADA102" s="176"/>
      <c r="ADB102" s="176"/>
      <c r="ADC102" s="176"/>
      <c r="ADD102" s="176"/>
      <c r="ADE102" s="176"/>
      <c r="ADF102" s="176"/>
      <c r="ADG102" s="176"/>
      <c r="ADH102" s="176"/>
      <c r="ADI102" s="176"/>
      <c r="ADJ102" s="176"/>
      <c r="ADK102" s="176"/>
      <c r="ADL102" s="176"/>
      <c r="ADM102" s="176"/>
      <c r="ADN102" s="176"/>
      <c r="ADO102" s="176"/>
      <c r="ADP102" s="176"/>
      <c r="ADQ102" s="176"/>
      <c r="ADR102" s="176"/>
      <c r="ADS102" s="176"/>
      <c r="ADT102" s="176"/>
      <c r="ADU102" s="176"/>
      <c r="ADV102" s="176"/>
      <c r="ADW102" s="176"/>
      <c r="ADX102" s="176"/>
      <c r="ADY102" s="176"/>
      <c r="ADZ102" s="176"/>
      <c r="AEA102" s="176"/>
      <c r="AEB102" s="176"/>
      <c r="AEC102" s="176"/>
      <c r="AED102" s="176"/>
      <c r="AEE102" s="176"/>
      <c r="AEF102" s="176"/>
      <c r="AEG102" s="176"/>
      <c r="AEH102" s="176"/>
      <c r="AEI102" s="176"/>
      <c r="AEJ102" s="176"/>
      <c r="AEK102" s="176"/>
      <c r="AEL102" s="176"/>
      <c r="AEM102" s="176"/>
      <c r="AEN102" s="176"/>
      <c r="AEO102" s="176"/>
      <c r="AEP102" s="176"/>
      <c r="AEQ102" s="176"/>
      <c r="AER102" s="176"/>
      <c r="AES102" s="176"/>
      <c r="AET102" s="176"/>
      <c r="AEU102" s="176"/>
      <c r="AEV102" s="176"/>
      <c r="AEW102" s="176"/>
      <c r="AEX102" s="176"/>
      <c r="AEY102" s="176"/>
      <c r="AEZ102" s="176"/>
      <c r="AFA102" s="176"/>
      <c r="AFB102" s="176"/>
      <c r="AFC102" s="176"/>
      <c r="AFD102" s="176"/>
      <c r="AFE102" s="176"/>
      <c r="AFF102" s="176"/>
      <c r="AFG102" s="176"/>
      <c r="AFH102" s="176"/>
      <c r="AFI102" s="176"/>
      <c r="AFJ102" s="176"/>
      <c r="AFK102" s="176"/>
      <c r="AFL102" s="176"/>
      <c r="AFM102" s="176"/>
      <c r="AFN102" s="176"/>
      <c r="AFO102" s="176"/>
      <c r="AFP102" s="176"/>
      <c r="AFQ102" s="176"/>
      <c r="AFR102" s="176"/>
      <c r="AFS102" s="176"/>
      <c r="AFT102" s="176"/>
      <c r="AFU102" s="176"/>
      <c r="AFV102" s="176"/>
      <c r="AFW102" s="176"/>
      <c r="AFX102" s="176"/>
      <c r="AFY102" s="176"/>
      <c r="AFZ102" s="176"/>
      <c r="AGA102" s="176"/>
      <c r="AGB102" s="176"/>
      <c r="AGC102" s="176"/>
      <c r="AGD102" s="176"/>
      <c r="AGE102" s="176"/>
      <c r="AGF102" s="176"/>
      <c r="AGG102" s="176"/>
      <c r="AGH102" s="176"/>
      <c r="AGI102" s="176"/>
      <c r="AGJ102" s="176"/>
      <c r="AGK102" s="176"/>
      <c r="AGL102" s="176"/>
      <c r="AGM102" s="176"/>
      <c r="AGN102" s="176"/>
      <c r="AGO102" s="176"/>
      <c r="AGP102" s="176"/>
      <c r="AGQ102" s="176"/>
      <c r="AGR102" s="176"/>
      <c r="AGS102" s="176"/>
      <c r="AGT102" s="176"/>
      <c r="AGU102" s="176"/>
      <c r="AGV102" s="176"/>
      <c r="AGW102" s="176"/>
      <c r="AGX102" s="176"/>
      <c r="AGY102" s="176"/>
      <c r="AGZ102" s="176"/>
      <c r="AHA102" s="176"/>
      <c r="AHB102" s="176"/>
      <c r="AHC102" s="176"/>
      <c r="AHD102" s="176"/>
      <c r="AHE102" s="176"/>
      <c r="AHF102" s="176"/>
      <c r="AHG102" s="176"/>
      <c r="AHH102" s="176"/>
      <c r="AHI102" s="176"/>
      <c r="AHJ102" s="176"/>
      <c r="AHK102" s="176"/>
      <c r="AHL102" s="176"/>
      <c r="AHM102" s="176"/>
      <c r="AHN102" s="176"/>
      <c r="AHO102" s="176"/>
      <c r="AHP102" s="176"/>
      <c r="AHQ102" s="176"/>
      <c r="AHR102" s="176"/>
      <c r="AHS102" s="176"/>
      <c r="AHT102" s="176"/>
      <c r="AHU102" s="176"/>
      <c r="AHV102" s="176"/>
      <c r="AHW102" s="176"/>
      <c r="AHX102" s="176"/>
      <c r="AHY102" s="176"/>
      <c r="AHZ102" s="176"/>
      <c r="AIA102" s="176"/>
      <c r="AIB102" s="176"/>
      <c r="AIC102" s="176"/>
      <c r="AID102" s="176"/>
      <c r="AIE102" s="176"/>
      <c r="AIF102" s="176"/>
      <c r="AIG102" s="176"/>
      <c r="AIH102" s="176"/>
      <c r="AII102" s="176"/>
      <c r="AIJ102" s="176"/>
      <c r="AIK102" s="176"/>
      <c r="AIL102" s="176"/>
      <c r="AIM102" s="176"/>
      <c r="AIN102" s="176"/>
      <c r="AIO102" s="176"/>
      <c r="AIP102" s="176"/>
      <c r="AIQ102" s="176"/>
      <c r="AIR102" s="176"/>
      <c r="AIS102" s="176"/>
      <c r="AIT102" s="176"/>
      <c r="AIU102" s="176"/>
      <c r="AIV102" s="176"/>
      <c r="AIW102" s="176"/>
      <c r="AIX102" s="176"/>
      <c r="AIY102" s="176"/>
      <c r="AIZ102" s="176"/>
      <c r="AJA102" s="176"/>
      <c r="AJB102" s="176"/>
      <c r="AJC102" s="176"/>
      <c r="AJD102" s="176"/>
      <c r="AJE102" s="176"/>
      <c r="AJF102" s="176"/>
      <c r="AJG102" s="176"/>
      <c r="AJH102" s="176"/>
      <c r="AJI102" s="176"/>
      <c r="AJJ102" s="176"/>
      <c r="AJK102" s="176"/>
      <c r="AJL102" s="176"/>
      <c r="AJM102" s="176"/>
      <c r="AJN102" s="176"/>
      <c r="AJO102" s="176"/>
      <c r="AJP102" s="176"/>
      <c r="AJQ102" s="176"/>
      <c r="AJR102" s="176"/>
      <c r="AJS102" s="176"/>
      <c r="AJT102" s="176"/>
      <c r="AJU102" s="176"/>
      <c r="AJV102" s="176"/>
      <c r="AJW102" s="176"/>
      <c r="AJX102" s="176"/>
      <c r="AJY102" s="176"/>
      <c r="AJZ102" s="176"/>
      <c r="AKA102" s="176"/>
      <c r="AKB102" s="176"/>
      <c r="AKC102" s="176"/>
      <c r="AKD102" s="176"/>
      <c r="AKE102" s="176"/>
      <c r="AKF102" s="176"/>
      <c r="AKG102" s="176"/>
      <c r="AKH102" s="176"/>
      <c r="AKI102" s="176"/>
      <c r="AKJ102" s="176"/>
      <c r="AKK102" s="176"/>
      <c r="AKL102" s="176"/>
      <c r="AKM102" s="176"/>
      <c r="AKN102" s="176"/>
      <c r="AKO102" s="176"/>
      <c r="AKP102" s="176"/>
      <c r="AKQ102" s="176"/>
      <c r="AKR102" s="176"/>
      <c r="AKS102" s="176"/>
      <c r="AKT102" s="176"/>
      <c r="AKU102" s="176"/>
      <c r="AKV102" s="176"/>
      <c r="AKW102" s="176"/>
      <c r="AKX102" s="176"/>
      <c r="AKY102" s="176"/>
      <c r="AKZ102" s="176"/>
      <c r="ALA102" s="176"/>
      <c r="ALB102" s="176"/>
      <c r="ALC102" s="176"/>
      <c r="ALD102" s="176"/>
      <c r="ALE102" s="176"/>
      <c r="ALF102" s="176"/>
      <c r="ALG102" s="176"/>
      <c r="ALH102" s="176"/>
      <c r="ALI102" s="176"/>
      <c r="ALJ102" s="176"/>
      <c r="ALK102" s="176"/>
      <c r="ALL102" s="176"/>
      <c r="ALM102" s="176"/>
      <c r="ALN102" s="176"/>
      <c r="ALO102" s="176"/>
      <c r="ALP102" s="176"/>
      <c r="ALQ102" s="176"/>
      <c r="ALR102" s="176"/>
      <c r="ALS102" s="176"/>
      <c r="ALT102" s="176"/>
      <c r="ALU102" s="176"/>
      <c r="ALV102" s="176"/>
      <c r="ALW102" s="176"/>
      <c r="ALX102" s="176"/>
      <c r="ALY102" s="176"/>
      <c r="ALZ102" s="176"/>
      <c r="AMA102" s="176"/>
      <c r="AMB102" s="176"/>
      <c r="AMC102" s="176"/>
      <c r="AMD102" s="176"/>
    </row>
    <row r="103" spans="1:1019" s="174" customFormat="1">
      <c r="A103" s="173"/>
      <c r="B103" s="183">
        <v>6</v>
      </c>
      <c r="C103" s="173" t="s">
        <v>1041</v>
      </c>
      <c r="D103" s="179">
        <f>SUM(D100:D102)</f>
        <v>26429574</v>
      </c>
      <c r="E103" s="179">
        <f t="shared" ref="E103:Z103" si="6">SUM(E100:E102)</f>
        <v>26349574</v>
      </c>
      <c r="F103" s="179">
        <f t="shared" si="6"/>
        <v>80000</v>
      </c>
      <c r="G103" s="179">
        <f t="shared" si="6"/>
        <v>13841574</v>
      </c>
      <c r="H103" s="179">
        <f t="shared" si="6"/>
        <v>13649084.140000001</v>
      </c>
      <c r="I103" s="179">
        <f t="shared" si="6"/>
        <v>118498.13</v>
      </c>
      <c r="J103" s="179">
        <f t="shared" si="6"/>
        <v>0</v>
      </c>
      <c r="K103" s="179">
        <f t="shared" si="6"/>
        <v>118498.13</v>
      </c>
      <c r="L103" s="179">
        <f t="shared" si="6"/>
        <v>13767582.270000001</v>
      </c>
      <c r="M103" s="179">
        <f t="shared" si="6"/>
        <v>23991.729999998584</v>
      </c>
      <c r="N103" s="179">
        <f t="shared" si="6"/>
        <v>340000</v>
      </c>
      <c r="O103" s="179">
        <f t="shared" si="6"/>
        <v>12298000</v>
      </c>
      <c r="P103" s="179">
        <f t="shared" si="6"/>
        <v>73991.729999998584</v>
      </c>
      <c r="Q103" s="179">
        <f t="shared" si="6"/>
        <v>0</v>
      </c>
      <c r="R103" s="179">
        <f t="shared" si="6"/>
        <v>0</v>
      </c>
      <c r="S103" s="179">
        <f t="shared" si="6"/>
        <v>0</v>
      </c>
      <c r="T103" s="179">
        <f t="shared" si="6"/>
        <v>50000</v>
      </c>
      <c r="U103" s="179">
        <f t="shared" si="6"/>
        <v>290000</v>
      </c>
      <c r="V103" s="179">
        <f t="shared" si="6"/>
        <v>290000</v>
      </c>
      <c r="W103" s="179">
        <f t="shared" si="6"/>
        <v>0</v>
      </c>
      <c r="X103" s="179">
        <f t="shared" si="6"/>
        <v>0</v>
      </c>
      <c r="Y103" s="179">
        <f t="shared" si="6"/>
        <v>0</v>
      </c>
      <c r="Z103" s="179">
        <f t="shared" si="6"/>
        <v>0</v>
      </c>
      <c r="AA103" s="180"/>
      <c r="AB103" s="157"/>
      <c r="AC103" s="157"/>
      <c r="AD103" s="157"/>
      <c r="AE103" s="157"/>
      <c r="AME103" s="158"/>
    </row>
    <row r="104" spans="1:1019" ht="15" customHeight="1">
      <c r="A104" s="168"/>
      <c r="B104" s="175"/>
      <c r="C104" s="168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659"/>
      <c r="AB104" s="157"/>
      <c r="AF104" s="176"/>
      <c r="AG104" s="176"/>
      <c r="AH104" s="176"/>
      <c r="AI104" s="178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7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  <c r="HP104" s="176"/>
      <c r="HQ104" s="176"/>
      <c r="HR104" s="176"/>
      <c r="HS104" s="176"/>
      <c r="HT104" s="176"/>
      <c r="HU104" s="176"/>
      <c r="HV104" s="176"/>
      <c r="HW104" s="176"/>
      <c r="HX104" s="176"/>
      <c r="HY104" s="176"/>
      <c r="HZ104" s="176"/>
      <c r="IA104" s="176"/>
      <c r="IB104" s="176"/>
      <c r="IC104" s="176"/>
      <c r="ID104" s="176"/>
      <c r="IE104" s="176"/>
      <c r="IF104" s="176"/>
      <c r="IG104" s="176"/>
      <c r="IH104" s="176"/>
      <c r="II104" s="176"/>
      <c r="IJ104" s="176"/>
      <c r="IK104" s="176"/>
      <c r="IL104" s="176"/>
      <c r="IM104" s="176"/>
      <c r="IN104" s="176"/>
      <c r="IO104" s="176"/>
      <c r="IP104" s="176"/>
      <c r="IQ104" s="176"/>
      <c r="IR104" s="176"/>
      <c r="IS104" s="176"/>
      <c r="IT104" s="176"/>
      <c r="IU104" s="176"/>
      <c r="IV104" s="176"/>
      <c r="IW104" s="176"/>
      <c r="IX104" s="176"/>
      <c r="IY104" s="176"/>
      <c r="IZ104" s="176"/>
      <c r="JA104" s="176"/>
      <c r="JB104" s="176"/>
      <c r="JC104" s="176"/>
      <c r="JD104" s="176"/>
      <c r="JE104" s="176"/>
      <c r="JF104" s="176"/>
      <c r="JG104" s="176"/>
      <c r="JH104" s="176"/>
      <c r="JI104" s="176"/>
      <c r="JJ104" s="176"/>
      <c r="JK104" s="176"/>
      <c r="JL104" s="176"/>
      <c r="JM104" s="176"/>
      <c r="JN104" s="176"/>
      <c r="JO104" s="176"/>
      <c r="JP104" s="176"/>
      <c r="JQ104" s="176"/>
      <c r="JR104" s="176"/>
      <c r="JS104" s="176"/>
      <c r="JT104" s="176"/>
      <c r="JU104" s="176"/>
      <c r="JV104" s="176"/>
      <c r="JW104" s="176"/>
      <c r="JX104" s="176"/>
      <c r="JY104" s="176"/>
      <c r="JZ104" s="176"/>
      <c r="KA104" s="176"/>
      <c r="KB104" s="176"/>
      <c r="KC104" s="176"/>
      <c r="KD104" s="176"/>
      <c r="KE104" s="176"/>
      <c r="KF104" s="176"/>
      <c r="KG104" s="176"/>
      <c r="KH104" s="176"/>
      <c r="KI104" s="176"/>
      <c r="KJ104" s="176"/>
      <c r="KK104" s="176"/>
      <c r="KL104" s="176"/>
      <c r="KM104" s="176"/>
      <c r="KN104" s="176"/>
      <c r="KO104" s="176"/>
      <c r="KP104" s="176"/>
      <c r="KQ104" s="176"/>
      <c r="KR104" s="176"/>
      <c r="KS104" s="176"/>
      <c r="KT104" s="176"/>
      <c r="KU104" s="176"/>
      <c r="KV104" s="176"/>
      <c r="KW104" s="176"/>
      <c r="KX104" s="176"/>
      <c r="KY104" s="176"/>
      <c r="KZ104" s="176"/>
      <c r="LA104" s="176"/>
      <c r="LB104" s="176"/>
      <c r="LC104" s="176"/>
      <c r="LD104" s="176"/>
      <c r="LE104" s="176"/>
      <c r="LF104" s="176"/>
      <c r="LG104" s="176"/>
      <c r="LH104" s="176"/>
      <c r="LI104" s="176"/>
      <c r="LJ104" s="176"/>
      <c r="LK104" s="176"/>
      <c r="LL104" s="176"/>
      <c r="LM104" s="176"/>
      <c r="LN104" s="176"/>
      <c r="LO104" s="176"/>
      <c r="LP104" s="176"/>
      <c r="LQ104" s="176"/>
      <c r="LR104" s="176"/>
      <c r="LS104" s="176"/>
      <c r="LT104" s="176"/>
      <c r="LU104" s="176"/>
      <c r="LV104" s="176"/>
      <c r="LW104" s="176"/>
      <c r="LX104" s="176"/>
      <c r="LY104" s="176"/>
      <c r="LZ104" s="176"/>
      <c r="MA104" s="176"/>
      <c r="MB104" s="176"/>
      <c r="MC104" s="176"/>
      <c r="MD104" s="176"/>
      <c r="ME104" s="176"/>
      <c r="MF104" s="176"/>
      <c r="MG104" s="176"/>
      <c r="MH104" s="176"/>
      <c r="MI104" s="176"/>
      <c r="MJ104" s="176"/>
      <c r="MK104" s="176"/>
      <c r="ML104" s="176"/>
      <c r="MM104" s="176"/>
      <c r="MN104" s="176"/>
      <c r="MO104" s="176"/>
      <c r="MP104" s="176"/>
      <c r="MQ104" s="176"/>
      <c r="MR104" s="176"/>
      <c r="MS104" s="176"/>
      <c r="MT104" s="176"/>
      <c r="MU104" s="176"/>
      <c r="MV104" s="176"/>
      <c r="MW104" s="176"/>
      <c r="MX104" s="176"/>
      <c r="MY104" s="176"/>
      <c r="MZ104" s="176"/>
      <c r="NA104" s="176"/>
      <c r="NB104" s="176"/>
      <c r="NC104" s="176"/>
      <c r="ND104" s="176"/>
      <c r="NE104" s="176"/>
      <c r="NF104" s="176"/>
      <c r="NG104" s="176"/>
      <c r="NH104" s="176"/>
      <c r="NI104" s="176"/>
      <c r="NJ104" s="176"/>
      <c r="NK104" s="176"/>
      <c r="NL104" s="176"/>
      <c r="NM104" s="176"/>
      <c r="NN104" s="176"/>
      <c r="NO104" s="176"/>
      <c r="NP104" s="176"/>
      <c r="NQ104" s="176"/>
      <c r="NR104" s="176"/>
      <c r="NS104" s="176"/>
      <c r="NT104" s="176"/>
      <c r="NU104" s="176"/>
      <c r="NV104" s="176"/>
      <c r="NW104" s="176"/>
      <c r="NX104" s="176"/>
      <c r="NY104" s="176"/>
      <c r="NZ104" s="176"/>
      <c r="OA104" s="176"/>
      <c r="OB104" s="176"/>
      <c r="OC104" s="176"/>
      <c r="OD104" s="176"/>
      <c r="OE104" s="176"/>
      <c r="OF104" s="176"/>
      <c r="OG104" s="176"/>
      <c r="OH104" s="176"/>
      <c r="OI104" s="176"/>
      <c r="OJ104" s="176"/>
      <c r="OK104" s="176"/>
      <c r="OL104" s="176"/>
      <c r="OM104" s="176"/>
      <c r="ON104" s="176"/>
      <c r="OO104" s="176"/>
      <c r="OP104" s="176"/>
      <c r="OQ104" s="176"/>
      <c r="OR104" s="176"/>
      <c r="OS104" s="176"/>
      <c r="OT104" s="176"/>
      <c r="OU104" s="176"/>
      <c r="OV104" s="176"/>
      <c r="OW104" s="176"/>
      <c r="OX104" s="176"/>
      <c r="OY104" s="176"/>
      <c r="OZ104" s="176"/>
      <c r="PA104" s="176"/>
      <c r="PB104" s="176"/>
      <c r="PC104" s="176"/>
      <c r="PD104" s="176"/>
      <c r="PE104" s="176"/>
      <c r="PF104" s="176"/>
      <c r="PG104" s="176"/>
      <c r="PH104" s="176"/>
      <c r="PI104" s="176"/>
      <c r="PJ104" s="176"/>
      <c r="PK104" s="176"/>
      <c r="PL104" s="176"/>
      <c r="PM104" s="176"/>
      <c r="PN104" s="176"/>
      <c r="PO104" s="176"/>
      <c r="PP104" s="176"/>
      <c r="PQ104" s="176"/>
      <c r="PR104" s="176"/>
      <c r="PS104" s="176"/>
      <c r="PT104" s="176"/>
      <c r="PU104" s="176"/>
      <c r="PV104" s="176"/>
      <c r="PW104" s="176"/>
      <c r="PX104" s="176"/>
      <c r="PY104" s="176"/>
      <c r="PZ104" s="176"/>
      <c r="QA104" s="176"/>
      <c r="QB104" s="176"/>
      <c r="QC104" s="176"/>
      <c r="QD104" s="176"/>
      <c r="QE104" s="176"/>
      <c r="QF104" s="176"/>
      <c r="QG104" s="176"/>
      <c r="QH104" s="176"/>
      <c r="QI104" s="176"/>
      <c r="QJ104" s="176"/>
      <c r="QK104" s="176"/>
      <c r="QL104" s="176"/>
      <c r="QM104" s="176"/>
      <c r="QN104" s="176"/>
      <c r="QO104" s="176"/>
      <c r="QP104" s="176"/>
      <c r="QQ104" s="176"/>
      <c r="QR104" s="176"/>
      <c r="QS104" s="176"/>
      <c r="QT104" s="176"/>
      <c r="QU104" s="176"/>
      <c r="QV104" s="176"/>
      <c r="QW104" s="176"/>
      <c r="QX104" s="176"/>
      <c r="QY104" s="176"/>
      <c r="QZ104" s="176"/>
      <c r="RA104" s="176"/>
      <c r="RB104" s="176"/>
      <c r="RC104" s="176"/>
      <c r="RD104" s="176"/>
      <c r="RE104" s="176"/>
      <c r="RF104" s="176"/>
      <c r="RG104" s="176"/>
      <c r="RH104" s="176"/>
      <c r="RI104" s="176"/>
      <c r="RJ104" s="176"/>
      <c r="RK104" s="176"/>
      <c r="RL104" s="176"/>
      <c r="RM104" s="176"/>
      <c r="RN104" s="176"/>
      <c r="RO104" s="176"/>
      <c r="RP104" s="176"/>
      <c r="RQ104" s="176"/>
      <c r="RR104" s="176"/>
      <c r="RS104" s="176"/>
      <c r="RT104" s="176"/>
      <c r="RU104" s="176"/>
      <c r="RV104" s="176"/>
      <c r="RW104" s="176"/>
      <c r="RX104" s="176"/>
      <c r="RY104" s="176"/>
      <c r="RZ104" s="176"/>
      <c r="SA104" s="176"/>
      <c r="SB104" s="176"/>
      <c r="SC104" s="176"/>
      <c r="SD104" s="176"/>
      <c r="SE104" s="176"/>
      <c r="SF104" s="176"/>
      <c r="SG104" s="176"/>
      <c r="SH104" s="176"/>
      <c r="SI104" s="176"/>
      <c r="SJ104" s="176"/>
      <c r="SK104" s="176"/>
      <c r="SL104" s="176"/>
      <c r="SM104" s="176"/>
      <c r="SN104" s="176"/>
      <c r="SO104" s="176"/>
      <c r="SP104" s="176"/>
      <c r="SQ104" s="176"/>
      <c r="SR104" s="176"/>
      <c r="SS104" s="176"/>
      <c r="ST104" s="176"/>
      <c r="SU104" s="176"/>
      <c r="SV104" s="176"/>
      <c r="SW104" s="176"/>
      <c r="SX104" s="176"/>
      <c r="SY104" s="176"/>
      <c r="SZ104" s="176"/>
      <c r="TA104" s="176"/>
      <c r="TB104" s="176"/>
      <c r="TC104" s="176"/>
      <c r="TD104" s="176"/>
      <c r="TE104" s="176"/>
      <c r="TF104" s="176"/>
      <c r="TG104" s="176"/>
      <c r="TH104" s="176"/>
      <c r="TI104" s="176"/>
      <c r="TJ104" s="176"/>
      <c r="TK104" s="176"/>
      <c r="TL104" s="176"/>
      <c r="TM104" s="176"/>
      <c r="TN104" s="176"/>
      <c r="TO104" s="176"/>
      <c r="TP104" s="176"/>
      <c r="TQ104" s="176"/>
      <c r="TR104" s="176"/>
      <c r="TS104" s="176"/>
      <c r="TT104" s="176"/>
      <c r="TU104" s="176"/>
      <c r="TV104" s="176"/>
      <c r="TW104" s="176"/>
      <c r="TX104" s="176"/>
      <c r="TY104" s="176"/>
      <c r="TZ104" s="176"/>
      <c r="UA104" s="176"/>
      <c r="UB104" s="176"/>
      <c r="UC104" s="176"/>
      <c r="UD104" s="176"/>
      <c r="UE104" s="176"/>
      <c r="UF104" s="176"/>
      <c r="UG104" s="176"/>
      <c r="UH104" s="176"/>
      <c r="UI104" s="176"/>
      <c r="UJ104" s="176"/>
      <c r="UK104" s="176"/>
      <c r="UL104" s="176"/>
      <c r="UM104" s="176"/>
      <c r="UN104" s="176"/>
      <c r="UO104" s="176"/>
      <c r="UP104" s="176"/>
      <c r="UQ104" s="176"/>
      <c r="UR104" s="176"/>
      <c r="US104" s="176"/>
      <c r="UT104" s="176"/>
      <c r="UU104" s="176"/>
      <c r="UV104" s="176"/>
      <c r="UW104" s="176"/>
      <c r="UX104" s="176"/>
      <c r="UY104" s="176"/>
      <c r="UZ104" s="176"/>
      <c r="VA104" s="176"/>
      <c r="VB104" s="176"/>
      <c r="VC104" s="176"/>
      <c r="VD104" s="176"/>
      <c r="VE104" s="176"/>
      <c r="VF104" s="176"/>
      <c r="VG104" s="176"/>
      <c r="VH104" s="176"/>
      <c r="VI104" s="176"/>
      <c r="VJ104" s="176"/>
      <c r="VK104" s="176"/>
      <c r="VL104" s="176"/>
      <c r="VM104" s="176"/>
      <c r="VN104" s="176"/>
      <c r="VO104" s="176"/>
      <c r="VP104" s="176"/>
      <c r="VQ104" s="176"/>
      <c r="VR104" s="176"/>
      <c r="VS104" s="176"/>
      <c r="VT104" s="176"/>
      <c r="VU104" s="176"/>
      <c r="VV104" s="176"/>
      <c r="VW104" s="176"/>
      <c r="VX104" s="176"/>
      <c r="VY104" s="176"/>
      <c r="VZ104" s="176"/>
      <c r="WA104" s="176"/>
      <c r="WB104" s="176"/>
      <c r="WC104" s="176"/>
      <c r="WD104" s="176"/>
      <c r="WE104" s="176"/>
      <c r="WF104" s="176"/>
      <c r="WG104" s="176"/>
      <c r="WH104" s="176"/>
      <c r="WI104" s="176"/>
      <c r="WJ104" s="176"/>
      <c r="WK104" s="176"/>
      <c r="WL104" s="176"/>
      <c r="WM104" s="176"/>
      <c r="WN104" s="176"/>
      <c r="WO104" s="176"/>
      <c r="WP104" s="176"/>
      <c r="WQ104" s="176"/>
      <c r="WR104" s="176"/>
      <c r="WS104" s="176"/>
      <c r="WT104" s="176"/>
      <c r="WU104" s="176"/>
      <c r="WV104" s="176"/>
      <c r="WW104" s="176"/>
      <c r="WX104" s="176"/>
      <c r="WY104" s="176"/>
      <c r="WZ104" s="176"/>
      <c r="XA104" s="176"/>
      <c r="XB104" s="176"/>
      <c r="XC104" s="176"/>
      <c r="XD104" s="176"/>
      <c r="XE104" s="176"/>
      <c r="XF104" s="176"/>
      <c r="XG104" s="176"/>
      <c r="XH104" s="176"/>
      <c r="XI104" s="176"/>
      <c r="XJ104" s="176"/>
      <c r="XK104" s="176"/>
      <c r="XL104" s="176"/>
      <c r="XM104" s="176"/>
      <c r="XN104" s="176"/>
      <c r="XO104" s="176"/>
      <c r="XP104" s="176"/>
      <c r="XQ104" s="176"/>
      <c r="XR104" s="176"/>
      <c r="XS104" s="176"/>
      <c r="XT104" s="176"/>
      <c r="XU104" s="176"/>
      <c r="XV104" s="176"/>
      <c r="XW104" s="176"/>
      <c r="XX104" s="176"/>
      <c r="XY104" s="176"/>
      <c r="XZ104" s="176"/>
      <c r="YA104" s="176"/>
      <c r="YB104" s="176"/>
      <c r="YC104" s="176"/>
      <c r="YD104" s="176"/>
      <c r="YE104" s="176"/>
      <c r="YF104" s="176"/>
      <c r="YG104" s="176"/>
      <c r="YH104" s="176"/>
      <c r="YI104" s="176"/>
      <c r="YJ104" s="176"/>
      <c r="YK104" s="176"/>
      <c r="YL104" s="176"/>
      <c r="YM104" s="176"/>
      <c r="YN104" s="176"/>
      <c r="YO104" s="176"/>
      <c r="YP104" s="176"/>
      <c r="YQ104" s="176"/>
      <c r="YR104" s="176"/>
      <c r="YS104" s="176"/>
      <c r="YT104" s="176"/>
      <c r="YU104" s="176"/>
      <c r="YV104" s="176"/>
      <c r="YW104" s="176"/>
      <c r="YX104" s="176"/>
      <c r="YY104" s="176"/>
      <c r="YZ104" s="176"/>
      <c r="ZA104" s="176"/>
      <c r="ZB104" s="176"/>
      <c r="ZC104" s="176"/>
      <c r="ZD104" s="176"/>
      <c r="ZE104" s="176"/>
      <c r="ZF104" s="176"/>
      <c r="ZG104" s="176"/>
      <c r="ZH104" s="176"/>
      <c r="ZI104" s="176"/>
      <c r="ZJ104" s="176"/>
      <c r="ZK104" s="176"/>
      <c r="ZL104" s="176"/>
      <c r="ZM104" s="176"/>
      <c r="ZN104" s="176"/>
      <c r="ZO104" s="176"/>
      <c r="ZP104" s="176"/>
      <c r="ZQ104" s="176"/>
      <c r="ZR104" s="176"/>
      <c r="ZS104" s="176"/>
      <c r="ZT104" s="176"/>
      <c r="ZU104" s="176"/>
      <c r="ZV104" s="176"/>
      <c r="ZW104" s="176"/>
      <c r="ZX104" s="176"/>
      <c r="ZY104" s="176"/>
      <c r="ZZ104" s="176"/>
      <c r="AAA104" s="176"/>
      <c r="AAB104" s="176"/>
      <c r="AAC104" s="176"/>
      <c r="AAD104" s="176"/>
      <c r="AAE104" s="176"/>
      <c r="AAF104" s="176"/>
      <c r="AAG104" s="176"/>
      <c r="AAH104" s="176"/>
      <c r="AAI104" s="176"/>
      <c r="AAJ104" s="176"/>
      <c r="AAK104" s="176"/>
      <c r="AAL104" s="176"/>
      <c r="AAM104" s="176"/>
      <c r="AAN104" s="176"/>
      <c r="AAO104" s="176"/>
      <c r="AAP104" s="176"/>
      <c r="AAQ104" s="176"/>
      <c r="AAR104" s="176"/>
      <c r="AAS104" s="176"/>
      <c r="AAT104" s="176"/>
      <c r="AAU104" s="176"/>
      <c r="AAV104" s="176"/>
      <c r="AAW104" s="176"/>
      <c r="AAX104" s="176"/>
      <c r="AAY104" s="176"/>
      <c r="AAZ104" s="176"/>
      <c r="ABA104" s="176"/>
      <c r="ABB104" s="176"/>
      <c r="ABC104" s="176"/>
      <c r="ABD104" s="176"/>
      <c r="ABE104" s="176"/>
      <c r="ABF104" s="176"/>
      <c r="ABG104" s="176"/>
      <c r="ABH104" s="176"/>
      <c r="ABI104" s="176"/>
      <c r="ABJ104" s="176"/>
      <c r="ABK104" s="176"/>
      <c r="ABL104" s="176"/>
      <c r="ABM104" s="176"/>
      <c r="ABN104" s="176"/>
      <c r="ABO104" s="176"/>
      <c r="ABP104" s="176"/>
      <c r="ABQ104" s="176"/>
      <c r="ABR104" s="176"/>
      <c r="ABS104" s="176"/>
      <c r="ABT104" s="176"/>
      <c r="ABU104" s="176"/>
      <c r="ABV104" s="176"/>
      <c r="ABW104" s="176"/>
      <c r="ABX104" s="176"/>
      <c r="ABY104" s="176"/>
      <c r="ABZ104" s="176"/>
      <c r="ACA104" s="176"/>
      <c r="ACB104" s="176"/>
      <c r="ACC104" s="176"/>
      <c r="ACD104" s="176"/>
      <c r="ACE104" s="176"/>
      <c r="ACF104" s="176"/>
      <c r="ACG104" s="176"/>
      <c r="ACH104" s="176"/>
      <c r="ACI104" s="176"/>
      <c r="ACJ104" s="176"/>
      <c r="ACK104" s="176"/>
      <c r="ACL104" s="176"/>
      <c r="ACM104" s="176"/>
      <c r="ACN104" s="176"/>
      <c r="ACO104" s="176"/>
      <c r="ACP104" s="176"/>
      <c r="ACQ104" s="176"/>
      <c r="ACR104" s="176"/>
      <c r="ACS104" s="176"/>
      <c r="ACT104" s="176"/>
      <c r="ACU104" s="176"/>
      <c r="ACV104" s="176"/>
      <c r="ACW104" s="176"/>
      <c r="ACX104" s="176"/>
      <c r="ACY104" s="176"/>
      <c r="ACZ104" s="176"/>
      <c r="ADA104" s="176"/>
      <c r="ADB104" s="176"/>
      <c r="ADC104" s="176"/>
      <c r="ADD104" s="176"/>
      <c r="ADE104" s="176"/>
      <c r="ADF104" s="176"/>
      <c r="ADG104" s="176"/>
      <c r="ADH104" s="176"/>
      <c r="ADI104" s="176"/>
      <c r="ADJ104" s="176"/>
      <c r="ADK104" s="176"/>
      <c r="ADL104" s="176"/>
      <c r="ADM104" s="176"/>
      <c r="ADN104" s="176"/>
      <c r="ADO104" s="176"/>
      <c r="ADP104" s="176"/>
      <c r="ADQ104" s="176"/>
      <c r="ADR104" s="176"/>
      <c r="ADS104" s="176"/>
      <c r="ADT104" s="176"/>
      <c r="ADU104" s="176"/>
      <c r="ADV104" s="176"/>
      <c r="ADW104" s="176"/>
      <c r="ADX104" s="176"/>
      <c r="ADY104" s="176"/>
      <c r="ADZ104" s="176"/>
      <c r="AEA104" s="176"/>
      <c r="AEB104" s="176"/>
      <c r="AEC104" s="176"/>
      <c r="AED104" s="176"/>
      <c r="AEE104" s="176"/>
      <c r="AEF104" s="176"/>
      <c r="AEG104" s="176"/>
      <c r="AEH104" s="176"/>
      <c r="AEI104" s="176"/>
      <c r="AEJ104" s="176"/>
      <c r="AEK104" s="176"/>
      <c r="AEL104" s="176"/>
      <c r="AEM104" s="176"/>
      <c r="AEN104" s="176"/>
      <c r="AEO104" s="176"/>
      <c r="AEP104" s="176"/>
      <c r="AEQ104" s="176"/>
      <c r="AER104" s="176"/>
      <c r="AES104" s="176"/>
      <c r="AET104" s="176"/>
      <c r="AEU104" s="176"/>
      <c r="AEV104" s="176"/>
      <c r="AEW104" s="176"/>
      <c r="AEX104" s="176"/>
      <c r="AEY104" s="176"/>
      <c r="AEZ104" s="176"/>
      <c r="AFA104" s="176"/>
      <c r="AFB104" s="176"/>
      <c r="AFC104" s="176"/>
      <c r="AFD104" s="176"/>
      <c r="AFE104" s="176"/>
      <c r="AFF104" s="176"/>
      <c r="AFG104" s="176"/>
      <c r="AFH104" s="176"/>
      <c r="AFI104" s="176"/>
      <c r="AFJ104" s="176"/>
      <c r="AFK104" s="176"/>
      <c r="AFL104" s="176"/>
      <c r="AFM104" s="176"/>
      <c r="AFN104" s="176"/>
      <c r="AFO104" s="176"/>
      <c r="AFP104" s="176"/>
      <c r="AFQ104" s="176"/>
      <c r="AFR104" s="176"/>
      <c r="AFS104" s="176"/>
      <c r="AFT104" s="176"/>
      <c r="AFU104" s="176"/>
      <c r="AFV104" s="176"/>
      <c r="AFW104" s="176"/>
      <c r="AFX104" s="176"/>
      <c r="AFY104" s="176"/>
      <c r="AFZ104" s="176"/>
      <c r="AGA104" s="176"/>
      <c r="AGB104" s="176"/>
      <c r="AGC104" s="176"/>
      <c r="AGD104" s="176"/>
      <c r="AGE104" s="176"/>
      <c r="AGF104" s="176"/>
      <c r="AGG104" s="176"/>
      <c r="AGH104" s="176"/>
      <c r="AGI104" s="176"/>
      <c r="AGJ104" s="176"/>
      <c r="AGK104" s="176"/>
      <c r="AGL104" s="176"/>
      <c r="AGM104" s="176"/>
      <c r="AGN104" s="176"/>
      <c r="AGO104" s="176"/>
      <c r="AGP104" s="176"/>
      <c r="AGQ104" s="176"/>
      <c r="AGR104" s="176"/>
      <c r="AGS104" s="176"/>
      <c r="AGT104" s="176"/>
      <c r="AGU104" s="176"/>
      <c r="AGV104" s="176"/>
      <c r="AGW104" s="176"/>
      <c r="AGX104" s="176"/>
      <c r="AGY104" s="176"/>
      <c r="AGZ104" s="176"/>
      <c r="AHA104" s="176"/>
      <c r="AHB104" s="176"/>
      <c r="AHC104" s="176"/>
      <c r="AHD104" s="176"/>
      <c r="AHE104" s="176"/>
      <c r="AHF104" s="176"/>
      <c r="AHG104" s="176"/>
      <c r="AHH104" s="176"/>
      <c r="AHI104" s="176"/>
      <c r="AHJ104" s="176"/>
      <c r="AHK104" s="176"/>
      <c r="AHL104" s="176"/>
      <c r="AHM104" s="176"/>
      <c r="AHN104" s="176"/>
      <c r="AHO104" s="176"/>
      <c r="AHP104" s="176"/>
      <c r="AHQ104" s="176"/>
      <c r="AHR104" s="176"/>
      <c r="AHS104" s="176"/>
      <c r="AHT104" s="176"/>
      <c r="AHU104" s="176"/>
      <c r="AHV104" s="176"/>
      <c r="AHW104" s="176"/>
      <c r="AHX104" s="176"/>
      <c r="AHY104" s="176"/>
      <c r="AHZ104" s="176"/>
      <c r="AIA104" s="176"/>
      <c r="AIB104" s="176"/>
      <c r="AIC104" s="176"/>
      <c r="AID104" s="176"/>
      <c r="AIE104" s="176"/>
      <c r="AIF104" s="176"/>
      <c r="AIG104" s="176"/>
      <c r="AIH104" s="176"/>
      <c r="AII104" s="176"/>
      <c r="AIJ104" s="176"/>
      <c r="AIK104" s="176"/>
      <c r="AIL104" s="176"/>
      <c r="AIM104" s="176"/>
      <c r="AIN104" s="176"/>
      <c r="AIO104" s="176"/>
      <c r="AIP104" s="176"/>
      <c r="AIQ104" s="176"/>
      <c r="AIR104" s="176"/>
      <c r="AIS104" s="176"/>
      <c r="AIT104" s="176"/>
      <c r="AIU104" s="176"/>
      <c r="AIV104" s="176"/>
      <c r="AIW104" s="176"/>
      <c r="AIX104" s="176"/>
      <c r="AIY104" s="176"/>
      <c r="AIZ104" s="176"/>
      <c r="AJA104" s="176"/>
      <c r="AJB104" s="176"/>
      <c r="AJC104" s="176"/>
      <c r="AJD104" s="176"/>
      <c r="AJE104" s="176"/>
      <c r="AJF104" s="176"/>
      <c r="AJG104" s="176"/>
      <c r="AJH104" s="176"/>
      <c r="AJI104" s="176"/>
      <c r="AJJ104" s="176"/>
      <c r="AJK104" s="176"/>
      <c r="AJL104" s="176"/>
      <c r="AJM104" s="176"/>
      <c r="AJN104" s="176"/>
      <c r="AJO104" s="176"/>
      <c r="AJP104" s="176"/>
      <c r="AJQ104" s="176"/>
      <c r="AJR104" s="176"/>
      <c r="AJS104" s="176"/>
      <c r="AJT104" s="176"/>
      <c r="AJU104" s="176"/>
      <c r="AJV104" s="176"/>
      <c r="AJW104" s="176"/>
      <c r="AJX104" s="176"/>
      <c r="AJY104" s="176"/>
      <c r="AJZ104" s="176"/>
      <c r="AKA104" s="176"/>
      <c r="AKB104" s="176"/>
      <c r="AKC104" s="176"/>
      <c r="AKD104" s="176"/>
      <c r="AKE104" s="176"/>
      <c r="AKF104" s="176"/>
      <c r="AKG104" s="176"/>
      <c r="AKH104" s="176"/>
      <c r="AKI104" s="176"/>
      <c r="AKJ104" s="176"/>
      <c r="AKK104" s="176"/>
      <c r="AKL104" s="176"/>
      <c r="AKM104" s="176"/>
      <c r="AKN104" s="176"/>
      <c r="AKO104" s="176"/>
      <c r="AKP104" s="176"/>
      <c r="AKQ104" s="176"/>
      <c r="AKR104" s="176"/>
      <c r="AKS104" s="176"/>
      <c r="AKT104" s="176"/>
      <c r="AKU104" s="176"/>
      <c r="AKV104" s="176"/>
      <c r="AKW104" s="176"/>
      <c r="AKX104" s="176"/>
      <c r="AKY104" s="176"/>
      <c r="AKZ104" s="176"/>
      <c r="ALA104" s="176"/>
      <c r="ALB104" s="176"/>
      <c r="ALC104" s="176"/>
      <c r="ALD104" s="176"/>
      <c r="ALE104" s="176"/>
      <c r="ALF104" s="176"/>
      <c r="ALG104" s="176"/>
      <c r="ALH104" s="176"/>
      <c r="ALI104" s="176"/>
      <c r="ALJ104" s="176"/>
      <c r="ALK104" s="176"/>
      <c r="ALL104" s="176"/>
      <c r="ALM104" s="176"/>
      <c r="ALN104" s="176"/>
      <c r="ALO104" s="176"/>
      <c r="ALP104" s="176"/>
      <c r="ALQ104" s="176"/>
      <c r="ALR104" s="176"/>
      <c r="ALS104" s="176"/>
      <c r="ALT104" s="176"/>
      <c r="ALU104" s="176"/>
      <c r="ALV104" s="176"/>
      <c r="ALW104" s="176"/>
      <c r="ALX104" s="176"/>
      <c r="ALY104" s="176"/>
      <c r="ALZ104" s="176"/>
      <c r="AMA104" s="176"/>
      <c r="AMB104" s="176"/>
      <c r="AMC104" s="176"/>
      <c r="AMD104" s="176"/>
    </row>
    <row r="105" spans="1:1019" ht="15" customHeight="1">
      <c r="A105" s="173">
        <f>A102</f>
        <v>89</v>
      </c>
      <c r="B105" s="183"/>
      <c r="C105" s="190" t="s">
        <v>83</v>
      </c>
      <c r="D105" s="179">
        <f>D103+D98+D95+D91+D48</f>
        <v>726771115</v>
      </c>
      <c r="E105" s="179">
        <f t="shared" ref="E105:Z105" si="7">E103+E98+E95+E91+E48</f>
        <v>597414769</v>
      </c>
      <c r="F105" s="179">
        <f t="shared" si="7"/>
        <v>129356346</v>
      </c>
      <c r="G105" s="179">
        <f t="shared" si="7"/>
        <v>347647694</v>
      </c>
      <c r="H105" s="179">
        <f t="shared" si="7"/>
        <v>257406622.65000001</v>
      </c>
      <c r="I105" s="179">
        <f t="shared" si="7"/>
        <v>36404399.939999998</v>
      </c>
      <c r="J105" s="179">
        <f t="shared" si="7"/>
        <v>16005031.030000001</v>
      </c>
      <c r="K105" s="179">
        <f t="shared" si="7"/>
        <v>52409430.969999999</v>
      </c>
      <c r="L105" s="179">
        <f t="shared" si="7"/>
        <v>309816053.62</v>
      </c>
      <c r="M105" s="179">
        <f t="shared" si="7"/>
        <v>22043640.379999999</v>
      </c>
      <c r="N105" s="179">
        <f t="shared" si="7"/>
        <v>32930000</v>
      </c>
      <c r="O105" s="179">
        <f t="shared" si="7"/>
        <v>361981421</v>
      </c>
      <c r="P105" s="179">
        <f t="shared" si="7"/>
        <v>37831640.380000003</v>
      </c>
      <c r="Q105" s="179">
        <f t="shared" si="7"/>
        <v>0</v>
      </c>
      <c r="R105" s="179">
        <f t="shared" si="7"/>
        <v>0</v>
      </c>
      <c r="S105" s="179">
        <f t="shared" si="7"/>
        <v>0</v>
      </c>
      <c r="T105" s="179">
        <f t="shared" si="7"/>
        <v>15788000</v>
      </c>
      <c r="U105" s="179">
        <f t="shared" si="7"/>
        <v>17142000</v>
      </c>
      <c r="V105" s="179">
        <f t="shared" si="7"/>
        <v>16653173</v>
      </c>
      <c r="W105" s="179">
        <f t="shared" si="7"/>
        <v>0</v>
      </c>
      <c r="X105" s="179">
        <f t="shared" si="7"/>
        <v>0</v>
      </c>
      <c r="Y105" s="179">
        <f t="shared" si="7"/>
        <v>0</v>
      </c>
      <c r="Z105" s="179">
        <f t="shared" si="7"/>
        <v>488827</v>
      </c>
      <c r="AA105" s="180"/>
      <c r="AB105" s="157">
        <f>SUM(AB43:AB102)</f>
        <v>0</v>
      </c>
      <c r="AF105" s="174"/>
      <c r="AG105" s="181"/>
      <c r="AH105" s="174"/>
      <c r="AI105" s="157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4"/>
      <c r="DP105" s="174"/>
      <c r="DQ105" s="174"/>
      <c r="DR105" s="174"/>
      <c r="DS105" s="174"/>
      <c r="DT105" s="174"/>
      <c r="DU105" s="174"/>
      <c r="DV105" s="174"/>
      <c r="DW105" s="174"/>
      <c r="DX105" s="174"/>
      <c r="DY105" s="174"/>
      <c r="DZ105" s="174"/>
      <c r="EA105" s="174"/>
      <c r="EB105" s="174"/>
      <c r="EC105" s="174"/>
      <c r="ED105" s="174"/>
      <c r="EE105" s="174"/>
      <c r="EF105" s="174"/>
      <c r="EG105" s="174"/>
      <c r="EH105" s="174"/>
      <c r="EI105" s="174"/>
      <c r="EJ105" s="174"/>
      <c r="EK105" s="174"/>
      <c r="EL105" s="174"/>
      <c r="EM105" s="174"/>
      <c r="EN105" s="174"/>
      <c r="EO105" s="174"/>
      <c r="EP105" s="174"/>
      <c r="EQ105" s="174"/>
      <c r="ER105" s="174"/>
      <c r="ES105" s="174"/>
      <c r="ET105" s="174"/>
      <c r="EU105" s="174"/>
      <c r="EV105" s="174"/>
      <c r="EW105" s="174"/>
      <c r="EX105" s="174"/>
      <c r="EY105" s="174"/>
      <c r="EZ105" s="174"/>
      <c r="FA105" s="174"/>
      <c r="FB105" s="174"/>
      <c r="FC105" s="174"/>
      <c r="FD105" s="174"/>
      <c r="FE105" s="174"/>
      <c r="FF105" s="174"/>
      <c r="FG105" s="174"/>
      <c r="FH105" s="174"/>
      <c r="FI105" s="174"/>
      <c r="FJ105" s="174"/>
      <c r="FK105" s="174"/>
      <c r="FL105" s="174"/>
      <c r="FM105" s="174"/>
      <c r="FN105" s="174"/>
      <c r="FO105" s="174"/>
      <c r="FP105" s="174"/>
      <c r="FQ105" s="174"/>
      <c r="FR105" s="174"/>
      <c r="FS105" s="174"/>
      <c r="FT105" s="174"/>
      <c r="FU105" s="174"/>
      <c r="FV105" s="174"/>
      <c r="FW105" s="174"/>
      <c r="FX105" s="174"/>
      <c r="FY105" s="174"/>
      <c r="FZ105" s="174"/>
      <c r="GA105" s="174"/>
      <c r="GB105" s="174"/>
      <c r="GC105" s="174"/>
      <c r="GD105" s="174"/>
      <c r="GE105" s="174"/>
      <c r="GF105" s="174"/>
      <c r="GG105" s="174"/>
      <c r="GH105" s="174"/>
      <c r="GI105" s="174"/>
      <c r="GJ105" s="174"/>
      <c r="GK105" s="174"/>
      <c r="GL105" s="174"/>
      <c r="GM105" s="174"/>
      <c r="GN105" s="174"/>
      <c r="GO105" s="174"/>
      <c r="GP105" s="174"/>
      <c r="GQ105" s="174"/>
      <c r="GR105" s="174"/>
      <c r="GS105" s="174"/>
      <c r="GT105" s="174"/>
      <c r="GU105" s="174"/>
      <c r="GV105" s="174"/>
      <c r="GW105" s="174"/>
      <c r="GX105" s="174"/>
      <c r="GY105" s="174"/>
      <c r="GZ105" s="174"/>
      <c r="HA105" s="174"/>
      <c r="HB105" s="174"/>
      <c r="HC105" s="174"/>
      <c r="HD105" s="174"/>
      <c r="HE105" s="174"/>
      <c r="HF105" s="174"/>
      <c r="HG105" s="174"/>
      <c r="HH105" s="174"/>
      <c r="HI105" s="174"/>
      <c r="HJ105" s="174"/>
      <c r="HK105" s="174"/>
      <c r="HL105" s="174"/>
      <c r="HM105" s="174"/>
      <c r="HN105" s="174"/>
      <c r="HO105" s="174"/>
      <c r="HP105" s="174"/>
      <c r="HQ105" s="174"/>
      <c r="HR105" s="174"/>
      <c r="HS105" s="174"/>
      <c r="HT105" s="174"/>
      <c r="HU105" s="174"/>
      <c r="HV105" s="174"/>
      <c r="HW105" s="174"/>
      <c r="HX105" s="174"/>
      <c r="HY105" s="174"/>
      <c r="HZ105" s="174"/>
      <c r="IA105" s="174"/>
      <c r="IB105" s="174"/>
      <c r="IC105" s="174"/>
      <c r="ID105" s="174"/>
      <c r="IE105" s="174"/>
      <c r="IF105" s="174"/>
      <c r="IG105" s="174"/>
      <c r="IH105" s="174"/>
      <c r="II105" s="174"/>
      <c r="IJ105" s="174"/>
      <c r="IK105" s="174"/>
      <c r="IL105" s="174"/>
      <c r="IM105" s="174"/>
      <c r="IN105" s="174"/>
      <c r="IO105" s="174"/>
      <c r="IP105" s="174"/>
      <c r="IQ105" s="174"/>
      <c r="IR105" s="174"/>
      <c r="IS105" s="174"/>
      <c r="IT105" s="174"/>
      <c r="IU105" s="174"/>
      <c r="IV105" s="174"/>
      <c r="IW105" s="174"/>
      <c r="IX105" s="174"/>
      <c r="IY105" s="174"/>
      <c r="IZ105" s="174"/>
      <c r="JA105" s="174"/>
      <c r="JB105" s="174"/>
      <c r="JC105" s="174"/>
      <c r="JD105" s="174"/>
      <c r="JE105" s="174"/>
      <c r="JF105" s="174"/>
      <c r="JG105" s="174"/>
      <c r="JH105" s="174"/>
      <c r="JI105" s="174"/>
      <c r="JJ105" s="174"/>
      <c r="JK105" s="174"/>
      <c r="JL105" s="174"/>
      <c r="JM105" s="174"/>
      <c r="JN105" s="174"/>
      <c r="JO105" s="174"/>
      <c r="JP105" s="174"/>
      <c r="JQ105" s="174"/>
      <c r="JR105" s="174"/>
      <c r="JS105" s="174"/>
      <c r="JT105" s="174"/>
      <c r="JU105" s="174"/>
      <c r="JV105" s="174"/>
      <c r="JW105" s="174"/>
      <c r="JX105" s="174"/>
      <c r="JY105" s="174"/>
      <c r="JZ105" s="174"/>
      <c r="KA105" s="174"/>
      <c r="KB105" s="174"/>
      <c r="KC105" s="174"/>
      <c r="KD105" s="174"/>
      <c r="KE105" s="174"/>
      <c r="KF105" s="174"/>
      <c r="KG105" s="174"/>
      <c r="KH105" s="174"/>
      <c r="KI105" s="174"/>
      <c r="KJ105" s="174"/>
      <c r="KK105" s="174"/>
      <c r="KL105" s="174"/>
      <c r="KM105" s="174"/>
      <c r="KN105" s="174"/>
      <c r="KO105" s="174"/>
      <c r="KP105" s="174"/>
      <c r="KQ105" s="174"/>
      <c r="KR105" s="174"/>
      <c r="KS105" s="174"/>
      <c r="KT105" s="174"/>
      <c r="KU105" s="174"/>
      <c r="KV105" s="174"/>
      <c r="KW105" s="174"/>
      <c r="KX105" s="174"/>
      <c r="KY105" s="174"/>
      <c r="KZ105" s="174"/>
      <c r="LA105" s="174"/>
      <c r="LB105" s="174"/>
      <c r="LC105" s="174"/>
      <c r="LD105" s="174"/>
      <c r="LE105" s="174"/>
      <c r="LF105" s="174"/>
      <c r="LG105" s="174"/>
      <c r="LH105" s="174"/>
      <c r="LI105" s="174"/>
      <c r="LJ105" s="174"/>
      <c r="LK105" s="174"/>
      <c r="LL105" s="174"/>
      <c r="LM105" s="174"/>
      <c r="LN105" s="174"/>
      <c r="LO105" s="174"/>
      <c r="LP105" s="174"/>
      <c r="LQ105" s="174"/>
      <c r="LR105" s="174"/>
      <c r="LS105" s="174"/>
      <c r="LT105" s="174"/>
      <c r="LU105" s="174"/>
      <c r="LV105" s="174"/>
      <c r="LW105" s="174"/>
      <c r="LX105" s="174"/>
      <c r="LY105" s="174"/>
      <c r="LZ105" s="174"/>
      <c r="MA105" s="174"/>
      <c r="MB105" s="174"/>
      <c r="MC105" s="174"/>
      <c r="MD105" s="174"/>
      <c r="ME105" s="174"/>
      <c r="MF105" s="174"/>
      <c r="MG105" s="174"/>
      <c r="MH105" s="174"/>
      <c r="MI105" s="174"/>
      <c r="MJ105" s="174"/>
      <c r="MK105" s="174"/>
      <c r="ML105" s="174"/>
      <c r="MM105" s="174"/>
      <c r="MN105" s="174"/>
      <c r="MO105" s="174"/>
      <c r="MP105" s="174"/>
      <c r="MQ105" s="174"/>
      <c r="MR105" s="174"/>
      <c r="MS105" s="174"/>
      <c r="MT105" s="174"/>
      <c r="MU105" s="174"/>
      <c r="MV105" s="174"/>
      <c r="MW105" s="174"/>
      <c r="MX105" s="174"/>
      <c r="MY105" s="174"/>
      <c r="MZ105" s="174"/>
      <c r="NA105" s="174"/>
      <c r="NB105" s="174"/>
      <c r="NC105" s="174"/>
      <c r="ND105" s="174"/>
      <c r="NE105" s="174"/>
      <c r="NF105" s="174"/>
      <c r="NG105" s="174"/>
      <c r="NH105" s="174"/>
      <c r="NI105" s="174"/>
      <c r="NJ105" s="174"/>
      <c r="NK105" s="174"/>
      <c r="NL105" s="174"/>
      <c r="NM105" s="174"/>
      <c r="NN105" s="174"/>
      <c r="NO105" s="174"/>
      <c r="NP105" s="174"/>
      <c r="NQ105" s="174"/>
      <c r="NR105" s="174"/>
      <c r="NS105" s="174"/>
      <c r="NT105" s="174"/>
      <c r="NU105" s="174"/>
      <c r="NV105" s="174"/>
      <c r="NW105" s="174"/>
      <c r="NX105" s="174"/>
      <c r="NY105" s="174"/>
      <c r="NZ105" s="174"/>
      <c r="OA105" s="174"/>
      <c r="OB105" s="174"/>
      <c r="OC105" s="174"/>
      <c r="OD105" s="174"/>
      <c r="OE105" s="174"/>
      <c r="OF105" s="174"/>
      <c r="OG105" s="174"/>
      <c r="OH105" s="174"/>
      <c r="OI105" s="174"/>
      <c r="OJ105" s="174"/>
      <c r="OK105" s="174"/>
      <c r="OL105" s="174"/>
      <c r="OM105" s="174"/>
      <c r="ON105" s="174"/>
      <c r="OO105" s="174"/>
      <c r="OP105" s="174"/>
      <c r="OQ105" s="174"/>
      <c r="OR105" s="174"/>
      <c r="OS105" s="174"/>
      <c r="OT105" s="174"/>
      <c r="OU105" s="174"/>
      <c r="OV105" s="174"/>
      <c r="OW105" s="174"/>
      <c r="OX105" s="174"/>
      <c r="OY105" s="174"/>
      <c r="OZ105" s="174"/>
      <c r="PA105" s="174"/>
      <c r="PB105" s="174"/>
      <c r="PC105" s="174"/>
      <c r="PD105" s="174"/>
      <c r="PE105" s="174"/>
      <c r="PF105" s="174"/>
      <c r="PG105" s="174"/>
      <c r="PH105" s="174"/>
      <c r="PI105" s="174"/>
      <c r="PJ105" s="174"/>
      <c r="PK105" s="174"/>
      <c r="PL105" s="174"/>
      <c r="PM105" s="174"/>
      <c r="PN105" s="174"/>
      <c r="PO105" s="174"/>
      <c r="PP105" s="174"/>
      <c r="PQ105" s="174"/>
      <c r="PR105" s="174"/>
      <c r="PS105" s="174"/>
      <c r="PT105" s="174"/>
      <c r="PU105" s="174"/>
      <c r="PV105" s="174"/>
      <c r="PW105" s="174"/>
      <c r="PX105" s="174"/>
      <c r="PY105" s="174"/>
      <c r="PZ105" s="174"/>
      <c r="QA105" s="174"/>
      <c r="QB105" s="174"/>
      <c r="QC105" s="174"/>
      <c r="QD105" s="174"/>
      <c r="QE105" s="174"/>
      <c r="QF105" s="174"/>
      <c r="QG105" s="174"/>
      <c r="QH105" s="174"/>
      <c r="QI105" s="174"/>
      <c r="QJ105" s="174"/>
      <c r="QK105" s="174"/>
      <c r="QL105" s="174"/>
      <c r="QM105" s="174"/>
      <c r="QN105" s="174"/>
      <c r="QO105" s="174"/>
      <c r="QP105" s="174"/>
      <c r="QQ105" s="174"/>
      <c r="QR105" s="174"/>
      <c r="QS105" s="174"/>
      <c r="QT105" s="174"/>
      <c r="QU105" s="174"/>
      <c r="QV105" s="174"/>
      <c r="QW105" s="174"/>
      <c r="QX105" s="174"/>
      <c r="QY105" s="174"/>
      <c r="QZ105" s="174"/>
      <c r="RA105" s="174"/>
      <c r="RB105" s="174"/>
      <c r="RC105" s="174"/>
      <c r="RD105" s="174"/>
      <c r="RE105" s="174"/>
      <c r="RF105" s="174"/>
      <c r="RG105" s="174"/>
      <c r="RH105" s="174"/>
      <c r="RI105" s="174"/>
      <c r="RJ105" s="174"/>
      <c r="RK105" s="174"/>
      <c r="RL105" s="174"/>
      <c r="RM105" s="174"/>
      <c r="RN105" s="174"/>
      <c r="RO105" s="174"/>
      <c r="RP105" s="174"/>
      <c r="RQ105" s="174"/>
      <c r="RR105" s="174"/>
      <c r="RS105" s="174"/>
      <c r="RT105" s="174"/>
      <c r="RU105" s="174"/>
      <c r="RV105" s="174"/>
      <c r="RW105" s="174"/>
      <c r="RX105" s="174"/>
      <c r="RY105" s="174"/>
      <c r="RZ105" s="174"/>
      <c r="SA105" s="174"/>
      <c r="SB105" s="174"/>
      <c r="SC105" s="174"/>
      <c r="SD105" s="174"/>
      <c r="SE105" s="174"/>
      <c r="SF105" s="174"/>
      <c r="SG105" s="174"/>
      <c r="SH105" s="174"/>
      <c r="SI105" s="174"/>
      <c r="SJ105" s="174"/>
      <c r="SK105" s="174"/>
      <c r="SL105" s="174"/>
      <c r="SM105" s="174"/>
      <c r="SN105" s="174"/>
      <c r="SO105" s="174"/>
      <c r="SP105" s="174"/>
      <c r="SQ105" s="174"/>
      <c r="SR105" s="174"/>
      <c r="SS105" s="174"/>
      <c r="ST105" s="174"/>
      <c r="SU105" s="174"/>
      <c r="SV105" s="174"/>
      <c r="SW105" s="174"/>
      <c r="SX105" s="174"/>
      <c r="SY105" s="174"/>
      <c r="SZ105" s="174"/>
      <c r="TA105" s="174"/>
      <c r="TB105" s="174"/>
      <c r="TC105" s="174"/>
      <c r="TD105" s="174"/>
      <c r="TE105" s="174"/>
      <c r="TF105" s="174"/>
      <c r="TG105" s="174"/>
      <c r="TH105" s="174"/>
      <c r="TI105" s="174"/>
      <c r="TJ105" s="174"/>
      <c r="TK105" s="174"/>
      <c r="TL105" s="174"/>
      <c r="TM105" s="174"/>
      <c r="TN105" s="174"/>
      <c r="TO105" s="174"/>
      <c r="TP105" s="174"/>
      <c r="TQ105" s="174"/>
      <c r="TR105" s="174"/>
      <c r="TS105" s="174"/>
      <c r="TT105" s="174"/>
      <c r="TU105" s="174"/>
      <c r="TV105" s="174"/>
      <c r="TW105" s="174"/>
      <c r="TX105" s="174"/>
      <c r="TY105" s="174"/>
      <c r="TZ105" s="174"/>
      <c r="UA105" s="174"/>
      <c r="UB105" s="174"/>
      <c r="UC105" s="174"/>
      <c r="UD105" s="174"/>
      <c r="UE105" s="174"/>
      <c r="UF105" s="174"/>
      <c r="UG105" s="174"/>
      <c r="UH105" s="174"/>
      <c r="UI105" s="174"/>
      <c r="UJ105" s="174"/>
      <c r="UK105" s="174"/>
      <c r="UL105" s="174"/>
      <c r="UM105" s="174"/>
      <c r="UN105" s="174"/>
      <c r="UO105" s="174"/>
      <c r="UP105" s="174"/>
      <c r="UQ105" s="174"/>
      <c r="UR105" s="174"/>
      <c r="US105" s="174"/>
      <c r="UT105" s="174"/>
      <c r="UU105" s="174"/>
      <c r="UV105" s="174"/>
      <c r="UW105" s="174"/>
      <c r="UX105" s="174"/>
      <c r="UY105" s="174"/>
      <c r="UZ105" s="174"/>
      <c r="VA105" s="174"/>
      <c r="VB105" s="174"/>
      <c r="VC105" s="174"/>
      <c r="VD105" s="174"/>
      <c r="VE105" s="174"/>
      <c r="VF105" s="174"/>
      <c r="VG105" s="174"/>
      <c r="VH105" s="174"/>
      <c r="VI105" s="174"/>
      <c r="VJ105" s="174"/>
      <c r="VK105" s="174"/>
      <c r="VL105" s="174"/>
      <c r="VM105" s="174"/>
      <c r="VN105" s="174"/>
      <c r="VO105" s="174"/>
      <c r="VP105" s="174"/>
      <c r="VQ105" s="174"/>
      <c r="VR105" s="174"/>
      <c r="VS105" s="174"/>
      <c r="VT105" s="174"/>
      <c r="VU105" s="174"/>
      <c r="VV105" s="174"/>
      <c r="VW105" s="174"/>
      <c r="VX105" s="174"/>
      <c r="VY105" s="174"/>
      <c r="VZ105" s="174"/>
      <c r="WA105" s="174"/>
      <c r="WB105" s="174"/>
      <c r="WC105" s="174"/>
      <c r="WD105" s="174"/>
      <c r="WE105" s="174"/>
      <c r="WF105" s="174"/>
      <c r="WG105" s="174"/>
      <c r="WH105" s="174"/>
      <c r="WI105" s="174"/>
      <c r="WJ105" s="174"/>
      <c r="WK105" s="174"/>
      <c r="WL105" s="174"/>
      <c r="WM105" s="174"/>
      <c r="WN105" s="174"/>
      <c r="WO105" s="174"/>
      <c r="WP105" s="174"/>
      <c r="WQ105" s="174"/>
      <c r="WR105" s="174"/>
      <c r="WS105" s="174"/>
      <c r="WT105" s="174"/>
      <c r="WU105" s="174"/>
      <c r="WV105" s="174"/>
      <c r="WW105" s="174"/>
      <c r="WX105" s="174"/>
      <c r="WY105" s="174"/>
      <c r="WZ105" s="174"/>
      <c r="XA105" s="174"/>
      <c r="XB105" s="174"/>
      <c r="XC105" s="174"/>
      <c r="XD105" s="174"/>
      <c r="XE105" s="174"/>
      <c r="XF105" s="174"/>
      <c r="XG105" s="174"/>
      <c r="XH105" s="174"/>
      <c r="XI105" s="174"/>
      <c r="XJ105" s="174"/>
      <c r="XK105" s="174"/>
      <c r="XL105" s="174"/>
      <c r="XM105" s="174"/>
      <c r="XN105" s="174"/>
      <c r="XO105" s="174"/>
      <c r="XP105" s="174"/>
      <c r="XQ105" s="174"/>
      <c r="XR105" s="174"/>
      <c r="XS105" s="174"/>
      <c r="XT105" s="174"/>
      <c r="XU105" s="174"/>
      <c r="XV105" s="174"/>
      <c r="XW105" s="174"/>
      <c r="XX105" s="174"/>
      <c r="XY105" s="174"/>
      <c r="XZ105" s="174"/>
      <c r="YA105" s="174"/>
      <c r="YB105" s="174"/>
      <c r="YC105" s="174"/>
      <c r="YD105" s="174"/>
      <c r="YE105" s="174"/>
      <c r="YF105" s="174"/>
      <c r="YG105" s="174"/>
      <c r="YH105" s="174"/>
      <c r="YI105" s="174"/>
      <c r="YJ105" s="174"/>
      <c r="YK105" s="174"/>
      <c r="YL105" s="174"/>
      <c r="YM105" s="174"/>
      <c r="YN105" s="174"/>
      <c r="YO105" s="174"/>
      <c r="YP105" s="174"/>
      <c r="YQ105" s="174"/>
      <c r="YR105" s="174"/>
      <c r="YS105" s="174"/>
      <c r="YT105" s="174"/>
      <c r="YU105" s="174"/>
      <c r="YV105" s="174"/>
      <c r="YW105" s="174"/>
      <c r="YX105" s="174"/>
      <c r="YY105" s="174"/>
      <c r="YZ105" s="174"/>
      <c r="ZA105" s="174"/>
      <c r="ZB105" s="174"/>
      <c r="ZC105" s="174"/>
      <c r="ZD105" s="174"/>
      <c r="ZE105" s="174"/>
      <c r="ZF105" s="174"/>
      <c r="ZG105" s="174"/>
      <c r="ZH105" s="174"/>
      <c r="ZI105" s="174"/>
      <c r="ZJ105" s="174"/>
      <c r="ZK105" s="174"/>
      <c r="ZL105" s="174"/>
      <c r="ZM105" s="174"/>
      <c r="ZN105" s="174"/>
      <c r="ZO105" s="174"/>
      <c r="ZP105" s="174"/>
      <c r="ZQ105" s="174"/>
      <c r="ZR105" s="174"/>
      <c r="ZS105" s="174"/>
      <c r="ZT105" s="174"/>
      <c r="ZU105" s="174"/>
      <c r="ZV105" s="174"/>
      <c r="ZW105" s="174"/>
      <c r="ZX105" s="174"/>
      <c r="ZY105" s="174"/>
      <c r="ZZ105" s="174"/>
      <c r="AAA105" s="174"/>
      <c r="AAB105" s="174"/>
      <c r="AAC105" s="174"/>
      <c r="AAD105" s="174"/>
      <c r="AAE105" s="174"/>
      <c r="AAF105" s="174"/>
      <c r="AAG105" s="174"/>
      <c r="AAH105" s="174"/>
      <c r="AAI105" s="174"/>
      <c r="AAJ105" s="174"/>
      <c r="AAK105" s="174"/>
      <c r="AAL105" s="174"/>
      <c r="AAM105" s="174"/>
      <c r="AAN105" s="174"/>
      <c r="AAO105" s="174"/>
      <c r="AAP105" s="174"/>
      <c r="AAQ105" s="174"/>
      <c r="AAR105" s="174"/>
      <c r="AAS105" s="174"/>
      <c r="AAT105" s="174"/>
      <c r="AAU105" s="174"/>
      <c r="AAV105" s="174"/>
      <c r="AAW105" s="174"/>
      <c r="AAX105" s="174"/>
      <c r="AAY105" s="174"/>
      <c r="AAZ105" s="174"/>
      <c r="ABA105" s="174"/>
      <c r="ABB105" s="174"/>
      <c r="ABC105" s="174"/>
      <c r="ABD105" s="174"/>
      <c r="ABE105" s="174"/>
      <c r="ABF105" s="174"/>
      <c r="ABG105" s="174"/>
      <c r="ABH105" s="174"/>
      <c r="ABI105" s="174"/>
      <c r="ABJ105" s="174"/>
      <c r="ABK105" s="174"/>
      <c r="ABL105" s="174"/>
      <c r="ABM105" s="174"/>
      <c r="ABN105" s="174"/>
      <c r="ABO105" s="174"/>
      <c r="ABP105" s="174"/>
      <c r="ABQ105" s="174"/>
      <c r="ABR105" s="174"/>
      <c r="ABS105" s="174"/>
      <c r="ABT105" s="174"/>
      <c r="ABU105" s="174"/>
      <c r="ABV105" s="174"/>
      <c r="ABW105" s="174"/>
      <c r="ABX105" s="174"/>
      <c r="ABY105" s="174"/>
      <c r="ABZ105" s="174"/>
      <c r="ACA105" s="174"/>
      <c r="ACB105" s="174"/>
      <c r="ACC105" s="174"/>
      <c r="ACD105" s="174"/>
      <c r="ACE105" s="174"/>
      <c r="ACF105" s="174"/>
      <c r="ACG105" s="174"/>
      <c r="ACH105" s="174"/>
      <c r="ACI105" s="174"/>
      <c r="ACJ105" s="174"/>
      <c r="ACK105" s="174"/>
      <c r="ACL105" s="174"/>
      <c r="ACM105" s="174"/>
      <c r="ACN105" s="174"/>
      <c r="ACO105" s="174"/>
      <c r="ACP105" s="174"/>
      <c r="ACQ105" s="174"/>
      <c r="ACR105" s="174"/>
      <c r="ACS105" s="174"/>
      <c r="ACT105" s="174"/>
      <c r="ACU105" s="174"/>
      <c r="ACV105" s="174"/>
      <c r="ACW105" s="174"/>
      <c r="ACX105" s="174"/>
      <c r="ACY105" s="174"/>
      <c r="ACZ105" s="174"/>
      <c r="ADA105" s="174"/>
      <c r="ADB105" s="174"/>
      <c r="ADC105" s="174"/>
      <c r="ADD105" s="174"/>
      <c r="ADE105" s="174"/>
      <c r="ADF105" s="174"/>
      <c r="ADG105" s="174"/>
      <c r="ADH105" s="174"/>
      <c r="ADI105" s="174"/>
      <c r="ADJ105" s="174"/>
      <c r="ADK105" s="174"/>
      <c r="ADL105" s="174"/>
      <c r="ADM105" s="174"/>
      <c r="ADN105" s="174"/>
      <c r="ADO105" s="174"/>
      <c r="ADP105" s="174"/>
      <c r="ADQ105" s="174"/>
      <c r="ADR105" s="174"/>
      <c r="ADS105" s="174"/>
      <c r="ADT105" s="174"/>
      <c r="ADU105" s="174"/>
      <c r="ADV105" s="174"/>
      <c r="ADW105" s="174"/>
      <c r="ADX105" s="174"/>
      <c r="ADY105" s="174"/>
      <c r="ADZ105" s="174"/>
      <c r="AEA105" s="174"/>
      <c r="AEB105" s="174"/>
      <c r="AEC105" s="174"/>
      <c r="AED105" s="174"/>
      <c r="AEE105" s="174"/>
      <c r="AEF105" s="174"/>
      <c r="AEG105" s="174"/>
      <c r="AEH105" s="174"/>
      <c r="AEI105" s="174"/>
      <c r="AEJ105" s="174"/>
      <c r="AEK105" s="174"/>
      <c r="AEL105" s="174"/>
      <c r="AEM105" s="174"/>
      <c r="AEN105" s="174"/>
      <c r="AEO105" s="174"/>
      <c r="AEP105" s="174"/>
      <c r="AEQ105" s="174"/>
      <c r="AER105" s="174"/>
      <c r="AES105" s="174"/>
      <c r="AET105" s="174"/>
      <c r="AEU105" s="174"/>
      <c r="AEV105" s="174"/>
      <c r="AEW105" s="174"/>
      <c r="AEX105" s="174"/>
      <c r="AEY105" s="174"/>
      <c r="AEZ105" s="174"/>
      <c r="AFA105" s="174"/>
      <c r="AFB105" s="174"/>
      <c r="AFC105" s="174"/>
      <c r="AFD105" s="174"/>
      <c r="AFE105" s="174"/>
      <c r="AFF105" s="174"/>
      <c r="AFG105" s="174"/>
      <c r="AFH105" s="174"/>
      <c r="AFI105" s="174"/>
      <c r="AFJ105" s="174"/>
      <c r="AFK105" s="174"/>
      <c r="AFL105" s="174"/>
      <c r="AFM105" s="174"/>
      <c r="AFN105" s="174"/>
      <c r="AFO105" s="174"/>
      <c r="AFP105" s="174"/>
      <c r="AFQ105" s="174"/>
      <c r="AFR105" s="174"/>
      <c r="AFS105" s="174"/>
      <c r="AFT105" s="174"/>
      <c r="AFU105" s="174"/>
      <c r="AFV105" s="174"/>
      <c r="AFW105" s="174"/>
      <c r="AFX105" s="174"/>
      <c r="AFY105" s="174"/>
      <c r="AFZ105" s="174"/>
      <c r="AGA105" s="174"/>
      <c r="AGB105" s="174"/>
      <c r="AGC105" s="174"/>
      <c r="AGD105" s="174"/>
      <c r="AGE105" s="174"/>
      <c r="AGF105" s="174"/>
      <c r="AGG105" s="174"/>
      <c r="AGH105" s="174"/>
      <c r="AGI105" s="174"/>
      <c r="AGJ105" s="174"/>
      <c r="AGK105" s="174"/>
      <c r="AGL105" s="174"/>
      <c r="AGM105" s="174"/>
      <c r="AGN105" s="174"/>
      <c r="AGO105" s="174"/>
      <c r="AGP105" s="174"/>
      <c r="AGQ105" s="174"/>
      <c r="AGR105" s="174"/>
      <c r="AGS105" s="174"/>
      <c r="AGT105" s="174"/>
      <c r="AGU105" s="174"/>
      <c r="AGV105" s="174"/>
      <c r="AGW105" s="174"/>
      <c r="AGX105" s="174"/>
      <c r="AGY105" s="174"/>
      <c r="AGZ105" s="174"/>
      <c r="AHA105" s="174"/>
      <c r="AHB105" s="174"/>
      <c r="AHC105" s="174"/>
      <c r="AHD105" s="174"/>
      <c r="AHE105" s="174"/>
      <c r="AHF105" s="174"/>
      <c r="AHG105" s="174"/>
      <c r="AHH105" s="174"/>
      <c r="AHI105" s="174"/>
      <c r="AHJ105" s="174"/>
      <c r="AHK105" s="174"/>
      <c r="AHL105" s="174"/>
      <c r="AHM105" s="174"/>
      <c r="AHN105" s="174"/>
      <c r="AHO105" s="174"/>
      <c r="AHP105" s="174"/>
      <c r="AHQ105" s="174"/>
      <c r="AHR105" s="174"/>
      <c r="AHS105" s="174"/>
      <c r="AHT105" s="174"/>
      <c r="AHU105" s="174"/>
      <c r="AHV105" s="174"/>
      <c r="AHW105" s="174"/>
      <c r="AHX105" s="174"/>
      <c r="AHY105" s="174"/>
      <c r="AHZ105" s="174"/>
      <c r="AIA105" s="174"/>
      <c r="AIB105" s="174"/>
      <c r="AIC105" s="174"/>
      <c r="AID105" s="174"/>
      <c r="AIE105" s="174"/>
      <c r="AIF105" s="174"/>
      <c r="AIG105" s="174"/>
      <c r="AIH105" s="174"/>
      <c r="AII105" s="174"/>
      <c r="AIJ105" s="174"/>
      <c r="AIK105" s="174"/>
      <c r="AIL105" s="174"/>
      <c r="AIM105" s="174"/>
      <c r="AIN105" s="174"/>
      <c r="AIO105" s="174"/>
      <c r="AIP105" s="174"/>
      <c r="AIQ105" s="174"/>
      <c r="AIR105" s="174"/>
      <c r="AIS105" s="174"/>
      <c r="AIT105" s="174"/>
      <c r="AIU105" s="174"/>
      <c r="AIV105" s="174"/>
      <c r="AIW105" s="174"/>
      <c r="AIX105" s="174"/>
      <c r="AIY105" s="174"/>
      <c r="AIZ105" s="174"/>
      <c r="AJA105" s="174"/>
      <c r="AJB105" s="174"/>
      <c r="AJC105" s="174"/>
      <c r="AJD105" s="174"/>
      <c r="AJE105" s="174"/>
      <c r="AJF105" s="174"/>
      <c r="AJG105" s="174"/>
      <c r="AJH105" s="174"/>
      <c r="AJI105" s="174"/>
      <c r="AJJ105" s="174"/>
      <c r="AJK105" s="174"/>
      <c r="AJL105" s="174"/>
      <c r="AJM105" s="174"/>
      <c r="AJN105" s="174"/>
      <c r="AJO105" s="174"/>
      <c r="AJP105" s="174"/>
      <c r="AJQ105" s="174"/>
      <c r="AJR105" s="174"/>
      <c r="AJS105" s="174"/>
      <c r="AJT105" s="174"/>
      <c r="AJU105" s="174"/>
      <c r="AJV105" s="174"/>
      <c r="AJW105" s="174"/>
      <c r="AJX105" s="174"/>
      <c r="AJY105" s="174"/>
      <c r="AJZ105" s="174"/>
      <c r="AKA105" s="174"/>
      <c r="AKB105" s="174"/>
      <c r="AKC105" s="174"/>
      <c r="AKD105" s="174"/>
      <c r="AKE105" s="174"/>
      <c r="AKF105" s="174"/>
      <c r="AKG105" s="174"/>
      <c r="AKH105" s="174"/>
      <c r="AKI105" s="174"/>
      <c r="AKJ105" s="174"/>
      <c r="AKK105" s="174"/>
      <c r="AKL105" s="174"/>
      <c r="AKM105" s="174"/>
      <c r="AKN105" s="174"/>
      <c r="AKO105" s="174"/>
      <c r="AKP105" s="174"/>
      <c r="AKQ105" s="174"/>
      <c r="AKR105" s="174"/>
      <c r="AKS105" s="174"/>
      <c r="AKT105" s="174"/>
      <c r="AKU105" s="174"/>
      <c r="AKV105" s="174"/>
      <c r="AKW105" s="174"/>
      <c r="AKX105" s="174"/>
      <c r="AKY105" s="174"/>
      <c r="AKZ105" s="174"/>
      <c r="ALA105" s="174"/>
      <c r="ALB105" s="174"/>
      <c r="ALC105" s="174"/>
      <c r="ALD105" s="174"/>
      <c r="ALE105" s="174"/>
      <c r="ALF105" s="174"/>
      <c r="ALG105" s="174"/>
      <c r="ALH105" s="174"/>
      <c r="ALI105" s="174"/>
      <c r="ALJ105" s="174"/>
      <c r="ALK105" s="174"/>
      <c r="ALL105" s="174"/>
      <c r="ALM105" s="174"/>
      <c r="ALN105" s="174"/>
      <c r="ALO105" s="174"/>
      <c r="ALP105" s="174"/>
      <c r="ALQ105" s="174"/>
      <c r="ALR105" s="174"/>
      <c r="ALS105" s="174"/>
      <c r="ALT105" s="174"/>
      <c r="ALU105" s="174"/>
      <c r="ALV105" s="174"/>
      <c r="ALW105" s="174"/>
      <c r="ALX105" s="174"/>
      <c r="ALY105" s="174"/>
      <c r="ALZ105" s="174"/>
      <c r="AMA105" s="174"/>
      <c r="AMB105" s="174"/>
      <c r="AMC105" s="174"/>
      <c r="AMD105" s="174"/>
    </row>
    <row r="106" spans="1:1019">
      <c r="A106" s="168"/>
      <c r="B106" s="175"/>
      <c r="C106" s="173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87"/>
      <c r="O106" s="169"/>
      <c r="P106" s="169"/>
      <c r="Q106" s="169"/>
      <c r="R106" s="169"/>
      <c r="S106" s="169"/>
      <c r="T106" s="169"/>
      <c r="U106" s="169"/>
      <c r="V106" s="169"/>
      <c r="W106" s="171"/>
      <c r="X106" s="169"/>
      <c r="Y106" s="169"/>
      <c r="Z106" s="168"/>
      <c r="AA106" s="659"/>
      <c r="AB106" s="157"/>
    </row>
    <row r="107" spans="1:1019">
      <c r="AB107" s="157"/>
    </row>
    <row r="108" spans="1:1019" s="161" customFormat="1">
      <c r="A108" s="160"/>
      <c r="B108" s="624"/>
      <c r="C108" s="160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629"/>
      <c r="O108" s="191"/>
      <c r="P108" s="191"/>
      <c r="Q108" s="191"/>
      <c r="R108" s="191"/>
      <c r="S108" s="191"/>
      <c r="T108" s="192"/>
      <c r="U108" s="160"/>
      <c r="V108" s="159"/>
      <c r="W108" s="193"/>
      <c r="X108" s="160"/>
      <c r="Y108" s="160"/>
      <c r="Z108" s="160"/>
      <c r="AA108" s="160"/>
      <c r="AB108" s="157"/>
      <c r="AC108" s="157"/>
      <c r="AD108" s="157"/>
      <c r="AE108" s="157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  <c r="IR108" s="160"/>
      <c r="IS108" s="160"/>
      <c r="IT108" s="160"/>
      <c r="IU108" s="160"/>
      <c r="IV108" s="160"/>
      <c r="IW108" s="160"/>
      <c r="IX108" s="160"/>
      <c r="IY108" s="160"/>
      <c r="IZ108" s="160"/>
      <c r="JA108" s="160"/>
      <c r="JB108" s="160"/>
      <c r="JC108" s="160"/>
      <c r="JD108" s="160"/>
      <c r="JE108" s="160"/>
      <c r="JF108" s="160"/>
      <c r="JG108" s="160"/>
      <c r="JH108" s="160"/>
      <c r="JI108" s="160"/>
      <c r="JJ108" s="160"/>
      <c r="JK108" s="160"/>
      <c r="JL108" s="160"/>
      <c r="JM108" s="160"/>
      <c r="JN108" s="160"/>
      <c r="JO108" s="160"/>
      <c r="JP108" s="160"/>
      <c r="JQ108" s="160"/>
      <c r="JR108" s="160"/>
      <c r="JS108" s="160"/>
      <c r="JT108" s="160"/>
      <c r="JU108" s="160"/>
      <c r="JV108" s="160"/>
      <c r="JW108" s="160"/>
      <c r="JX108" s="160"/>
      <c r="JY108" s="160"/>
      <c r="JZ108" s="160"/>
      <c r="KA108" s="160"/>
      <c r="KB108" s="160"/>
      <c r="KC108" s="160"/>
      <c r="KD108" s="160"/>
      <c r="KE108" s="160"/>
      <c r="KF108" s="160"/>
      <c r="KG108" s="160"/>
      <c r="KH108" s="160"/>
      <c r="KI108" s="160"/>
      <c r="KJ108" s="160"/>
      <c r="KK108" s="160"/>
      <c r="KL108" s="160"/>
      <c r="KM108" s="160"/>
      <c r="KN108" s="160"/>
      <c r="KO108" s="160"/>
      <c r="KP108" s="160"/>
      <c r="KQ108" s="160"/>
      <c r="KR108" s="160"/>
      <c r="KS108" s="160"/>
      <c r="KT108" s="160"/>
      <c r="KU108" s="160"/>
      <c r="KV108" s="160"/>
      <c r="KW108" s="160"/>
      <c r="KX108" s="160"/>
      <c r="KY108" s="160"/>
      <c r="KZ108" s="160"/>
      <c r="LA108" s="160"/>
      <c r="LB108" s="160"/>
      <c r="LC108" s="160"/>
      <c r="LD108" s="160"/>
      <c r="LE108" s="160"/>
      <c r="LF108" s="160"/>
      <c r="LG108" s="160"/>
      <c r="LH108" s="160"/>
      <c r="LI108" s="160"/>
      <c r="LJ108" s="160"/>
      <c r="LK108" s="160"/>
      <c r="LL108" s="160"/>
      <c r="LM108" s="160"/>
      <c r="LN108" s="160"/>
      <c r="LO108" s="160"/>
      <c r="LP108" s="160"/>
      <c r="LQ108" s="160"/>
      <c r="LR108" s="160"/>
      <c r="LS108" s="160"/>
      <c r="LT108" s="160"/>
      <c r="LU108" s="160"/>
      <c r="LV108" s="160"/>
      <c r="LW108" s="160"/>
      <c r="LX108" s="160"/>
      <c r="LY108" s="160"/>
      <c r="LZ108" s="160"/>
      <c r="MA108" s="160"/>
      <c r="MB108" s="160"/>
      <c r="MC108" s="160"/>
      <c r="MD108" s="160"/>
      <c r="ME108" s="160"/>
      <c r="MF108" s="160"/>
      <c r="MG108" s="160"/>
      <c r="MH108" s="160"/>
      <c r="MI108" s="160"/>
      <c r="MJ108" s="160"/>
      <c r="MK108" s="160"/>
      <c r="ML108" s="160"/>
      <c r="MM108" s="160"/>
      <c r="MN108" s="160"/>
      <c r="MO108" s="160"/>
      <c r="MP108" s="160"/>
      <c r="MQ108" s="160"/>
      <c r="MR108" s="160"/>
      <c r="MS108" s="160"/>
      <c r="MT108" s="160"/>
      <c r="MU108" s="160"/>
      <c r="MV108" s="160"/>
      <c r="MW108" s="160"/>
      <c r="MX108" s="160"/>
      <c r="MY108" s="160"/>
      <c r="MZ108" s="160"/>
      <c r="NA108" s="160"/>
      <c r="NB108" s="160"/>
      <c r="NC108" s="160"/>
      <c r="ND108" s="160"/>
      <c r="NE108" s="160"/>
      <c r="NF108" s="160"/>
      <c r="NG108" s="160"/>
      <c r="NH108" s="160"/>
      <c r="NI108" s="160"/>
      <c r="NJ108" s="160"/>
      <c r="NK108" s="160"/>
      <c r="NL108" s="160"/>
      <c r="NM108" s="160"/>
      <c r="NN108" s="160"/>
      <c r="NO108" s="160"/>
      <c r="NP108" s="160"/>
      <c r="NQ108" s="160"/>
      <c r="NR108" s="160"/>
      <c r="NS108" s="160"/>
      <c r="NT108" s="160"/>
      <c r="NU108" s="160"/>
      <c r="NV108" s="160"/>
      <c r="NW108" s="160"/>
      <c r="NX108" s="160"/>
      <c r="NY108" s="160"/>
      <c r="NZ108" s="160"/>
      <c r="OA108" s="160"/>
      <c r="OB108" s="160"/>
      <c r="OC108" s="160"/>
      <c r="OD108" s="160"/>
      <c r="OE108" s="160"/>
      <c r="OF108" s="160"/>
      <c r="OG108" s="160"/>
      <c r="OH108" s="160"/>
      <c r="OI108" s="160"/>
      <c r="OJ108" s="160"/>
      <c r="OK108" s="160"/>
      <c r="OL108" s="160"/>
      <c r="OM108" s="160"/>
      <c r="ON108" s="160"/>
      <c r="OO108" s="160"/>
      <c r="OP108" s="160"/>
      <c r="OQ108" s="160"/>
      <c r="OR108" s="160"/>
      <c r="OS108" s="160"/>
      <c r="OT108" s="160"/>
      <c r="OU108" s="160"/>
      <c r="OV108" s="160"/>
      <c r="OW108" s="160"/>
      <c r="OX108" s="160"/>
      <c r="OY108" s="160"/>
      <c r="OZ108" s="160"/>
      <c r="PA108" s="160"/>
      <c r="PB108" s="160"/>
      <c r="PC108" s="160"/>
      <c r="PD108" s="160"/>
      <c r="PE108" s="160"/>
      <c r="PF108" s="160"/>
      <c r="PG108" s="160"/>
      <c r="PH108" s="160"/>
      <c r="PI108" s="160"/>
      <c r="PJ108" s="160"/>
      <c r="PK108" s="160"/>
      <c r="PL108" s="160"/>
      <c r="PM108" s="160"/>
      <c r="PN108" s="160"/>
      <c r="PO108" s="160"/>
      <c r="PP108" s="160"/>
      <c r="PQ108" s="160"/>
      <c r="PR108" s="160"/>
      <c r="PS108" s="160"/>
      <c r="PT108" s="160"/>
      <c r="PU108" s="160"/>
      <c r="PV108" s="160"/>
      <c r="PW108" s="160"/>
      <c r="PX108" s="160"/>
      <c r="PY108" s="160"/>
      <c r="PZ108" s="160"/>
      <c r="QA108" s="160"/>
      <c r="QB108" s="160"/>
      <c r="QC108" s="160"/>
      <c r="QD108" s="160"/>
      <c r="QE108" s="160"/>
      <c r="QF108" s="160"/>
      <c r="QG108" s="160"/>
      <c r="QH108" s="160"/>
      <c r="QI108" s="160"/>
      <c r="QJ108" s="160"/>
      <c r="QK108" s="160"/>
      <c r="QL108" s="160"/>
      <c r="QM108" s="160"/>
      <c r="QN108" s="160"/>
      <c r="QO108" s="160"/>
      <c r="QP108" s="160"/>
      <c r="QQ108" s="160"/>
      <c r="QR108" s="160"/>
      <c r="QS108" s="160"/>
      <c r="QT108" s="160"/>
      <c r="QU108" s="160"/>
      <c r="QV108" s="160"/>
      <c r="QW108" s="160"/>
      <c r="QX108" s="160"/>
      <c r="QY108" s="160"/>
      <c r="QZ108" s="160"/>
      <c r="RA108" s="160"/>
      <c r="RB108" s="160"/>
      <c r="RC108" s="160"/>
      <c r="RD108" s="160"/>
      <c r="RE108" s="160"/>
      <c r="RF108" s="160"/>
      <c r="RG108" s="160"/>
      <c r="RH108" s="160"/>
      <c r="RI108" s="160"/>
      <c r="RJ108" s="160"/>
      <c r="RK108" s="160"/>
      <c r="RL108" s="160"/>
      <c r="RM108" s="160"/>
      <c r="RN108" s="160"/>
      <c r="RO108" s="160"/>
      <c r="RP108" s="160"/>
      <c r="RQ108" s="160"/>
      <c r="RR108" s="160"/>
      <c r="RS108" s="160"/>
      <c r="RT108" s="160"/>
      <c r="RU108" s="160"/>
      <c r="RV108" s="160"/>
      <c r="RW108" s="160"/>
      <c r="RX108" s="160"/>
      <c r="RY108" s="160"/>
      <c r="RZ108" s="160"/>
      <c r="SA108" s="160"/>
      <c r="SB108" s="160"/>
      <c r="SC108" s="160"/>
      <c r="SD108" s="160"/>
      <c r="SE108" s="160"/>
      <c r="SF108" s="160"/>
      <c r="SG108" s="160"/>
      <c r="SH108" s="160"/>
      <c r="SI108" s="160"/>
      <c r="SJ108" s="160"/>
      <c r="SK108" s="160"/>
      <c r="SL108" s="160"/>
      <c r="SM108" s="160"/>
      <c r="SN108" s="160"/>
      <c r="SO108" s="160"/>
      <c r="SP108" s="160"/>
      <c r="SQ108" s="160"/>
      <c r="SR108" s="160"/>
      <c r="SS108" s="160"/>
      <c r="ST108" s="160"/>
      <c r="SU108" s="160"/>
      <c r="SV108" s="160"/>
      <c r="SW108" s="160"/>
      <c r="SX108" s="160"/>
      <c r="SY108" s="160"/>
      <c r="SZ108" s="160"/>
      <c r="TA108" s="160"/>
      <c r="TB108" s="160"/>
      <c r="TC108" s="160"/>
      <c r="TD108" s="160"/>
      <c r="TE108" s="160"/>
      <c r="TF108" s="160"/>
      <c r="TG108" s="160"/>
      <c r="TH108" s="160"/>
      <c r="TI108" s="160"/>
      <c r="TJ108" s="160"/>
      <c r="TK108" s="160"/>
      <c r="TL108" s="160"/>
      <c r="TM108" s="160"/>
      <c r="TN108" s="160"/>
      <c r="TO108" s="160"/>
      <c r="TP108" s="160"/>
      <c r="TQ108" s="160"/>
      <c r="TR108" s="160"/>
      <c r="TS108" s="160"/>
      <c r="TT108" s="160"/>
      <c r="TU108" s="160"/>
      <c r="TV108" s="160"/>
      <c r="TW108" s="160"/>
      <c r="TX108" s="160"/>
      <c r="TY108" s="160"/>
      <c r="TZ108" s="160"/>
      <c r="UA108" s="160"/>
      <c r="UB108" s="160"/>
      <c r="UC108" s="160"/>
      <c r="UD108" s="160"/>
      <c r="UE108" s="160"/>
      <c r="UF108" s="160"/>
      <c r="UG108" s="160"/>
      <c r="UH108" s="160"/>
      <c r="UI108" s="160"/>
      <c r="UJ108" s="160"/>
      <c r="UK108" s="160"/>
      <c r="UL108" s="160"/>
      <c r="UM108" s="160"/>
      <c r="UN108" s="160"/>
      <c r="UO108" s="160"/>
      <c r="UP108" s="160"/>
      <c r="UQ108" s="160"/>
      <c r="UR108" s="160"/>
      <c r="US108" s="160"/>
      <c r="UT108" s="160"/>
      <c r="UU108" s="160"/>
      <c r="UV108" s="160"/>
      <c r="UW108" s="160"/>
      <c r="UX108" s="160"/>
      <c r="UY108" s="160"/>
      <c r="UZ108" s="160"/>
      <c r="VA108" s="160"/>
      <c r="VB108" s="160"/>
      <c r="VC108" s="160"/>
      <c r="VD108" s="160"/>
      <c r="VE108" s="160"/>
      <c r="VF108" s="160"/>
      <c r="VG108" s="160"/>
      <c r="VH108" s="160"/>
      <c r="VI108" s="160"/>
      <c r="VJ108" s="160"/>
      <c r="VK108" s="160"/>
      <c r="VL108" s="160"/>
      <c r="VM108" s="160"/>
      <c r="VN108" s="160"/>
      <c r="VO108" s="160"/>
      <c r="VP108" s="160"/>
      <c r="VQ108" s="160"/>
      <c r="VR108" s="160"/>
      <c r="VS108" s="160"/>
      <c r="VT108" s="160"/>
      <c r="VU108" s="160"/>
      <c r="VV108" s="160"/>
      <c r="VW108" s="160"/>
      <c r="VX108" s="160"/>
      <c r="VY108" s="160"/>
      <c r="VZ108" s="160"/>
      <c r="WA108" s="160"/>
      <c r="WB108" s="160"/>
      <c r="WC108" s="160"/>
      <c r="WD108" s="160"/>
      <c r="WE108" s="160"/>
      <c r="WF108" s="160"/>
      <c r="WG108" s="160"/>
      <c r="WH108" s="160"/>
      <c r="WI108" s="160"/>
      <c r="WJ108" s="160"/>
      <c r="WK108" s="160"/>
      <c r="WL108" s="160"/>
      <c r="WM108" s="160"/>
      <c r="WN108" s="160"/>
      <c r="WO108" s="160"/>
      <c r="WP108" s="160"/>
      <c r="WQ108" s="160"/>
      <c r="WR108" s="160"/>
      <c r="WS108" s="160"/>
      <c r="WT108" s="160"/>
      <c r="WU108" s="160"/>
      <c r="WV108" s="160"/>
      <c r="WW108" s="160"/>
      <c r="WX108" s="160"/>
      <c r="WY108" s="160"/>
      <c r="WZ108" s="160"/>
      <c r="XA108" s="160"/>
      <c r="XB108" s="160"/>
      <c r="XC108" s="160"/>
      <c r="XD108" s="160"/>
      <c r="XE108" s="160"/>
      <c r="XF108" s="160"/>
      <c r="XG108" s="160"/>
      <c r="XH108" s="160"/>
      <c r="XI108" s="160"/>
      <c r="XJ108" s="160"/>
      <c r="XK108" s="160"/>
      <c r="XL108" s="160"/>
      <c r="XM108" s="160"/>
      <c r="XN108" s="160"/>
      <c r="XO108" s="160"/>
      <c r="XP108" s="160"/>
      <c r="XQ108" s="160"/>
      <c r="XR108" s="160"/>
      <c r="XS108" s="160"/>
      <c r="XT108" s="160"/>
      <c r="XU108" s="160"/>
      <c r="XV108" s="160"/>
      <c r="XW108" s="160"/>
      <c r="XX108" s="160"/>
      <c r="XY108" s="160"/>
      <c r="XZ108" s="160"/>
      <c r="YA108" s="160"/>
      <c r="YB108" s="160"/>
      <c r="YC108" s="160"/>
      <c r="YD108" s="160"/>
      <c r="YE108" s="160"/>
      <c r="YF108" s="160"/>
      <c r="YG108" s="160"/>
      <c r="YH108" s="160"/>
      <c r="YI108" s="160"/>
      <c r="YJ108" s="160"/>
      <c r="YK108" s="160"/>
      <c r="YL108" s="160"/>
      <c r="YM108" s="160"/>
      <c r="YN108" s="160"/>
      <c r="YO108" s="160"/>
      <c r="YP108" s="160"/>
      <c r="YQ108" s="160"/>
      <c r="YR108" s="160"/>
      <c r="YS108" s="160"/>
      <c r="YT108" s="160"/>
      <c r="YU108" s="160"/>
      <c r="YV108" s="160"/>
      <c r="YW108" s="160"/>
      <c r="YX108" s="160"/>
      <c r="YY108" s="160"/>
      <c r="YZ108" s="160"/>
      <c r="ZA108" s="160"/>
      <c r="ZB108" s="160"/>
      <c r="ZC108" s="160"/>
      <c r="ZD108" s="160"/>
      <c r="ZE108" s="160"/>
      <c r="ZF108" s="160"/>
      <c r="ZG108" s="160"/>
      <c r="ZH108" s="160"/>
      <c r="ZI108" s="160"/>
      <c r="ZJ108" s="160"/>
      <c r="ZK108" s="160"/>
      <c r="ZL108" s="160"/>
      <c r="ZM108" s="160"/>
      <c r="ZN108" s="160"/>
      <c r="ZO108" s="160"/>
      <c r="ZP108" s="160"/>
      <c r="ZQ108" s="160"/>
      <c r="ZR108" s="160"/>
      <c r="ZS108" s="160"/>
      <c r="ZT108" s="160"/>
      <c r="ZU108" s="160"/>
      <c r="ZV108" s="160"/>
      <c r="ZW108" s="160"/>
      <c r="ZX108" s="160"/>
      <c r="ZY108" s="160"/>
      <c r="ZZ108" s="160"/>
      <c r="AAA108" s="160"/>
      <c r="AAB108" s="160"/>
      <c r="AAC108" s="160"/>
      <c r="AAD108" s="160"/>
      <c r="AAE108" s="160"/>
      <c r="AAF108" s="160"/>
      <c r="AAG108" s="160"/>
      <c r="AAH108" s="160"/>
      <c r="AAI108" s="160"/>
      <c r="AAJ108" s="160"/>
      <c r="AAK108" s="160"/>
      <c r="AAL108" s="160"/>
      <c r="AAM108" s="160"/>
      <c r="AAN108" s="160"/>
      <c r="AAO108" s="160"/>
      <c r="AAP108" s="160"/>
      <c r="AAQ108" s="160"/>
      <c r="AAR108" s="160"/>
      <c r="AAS108" s="160"/>
      <c r="AAT108" s="160"/>
      <c r="AAU108" s="160"/>
      <c r="AAV108" s="160"/>
      <c r="AAW108" s="160"/>
      <c r="AAX108" s="160"/>
      <c r="AAY108" s="160"/>
      <c r="AAZ108" s="160"/>
      <c r="ABA108" s="160"/>
      <c r="ABB108" s="160"/>
      <c r="ABC108" s="160"/>
      <c r="ABD108" s="160"/>
      <c r="ABE108" s="160"/>
      <c r="ABF108" s="160"/>
      <c r="ABG108" s="160"/>
      <c r="ABH108" s="160"/>
      <c r="ABI108" s="160"/>
      <c r="ABJ108" s="160"/>
      <c r="ABK108" s="160"/>
      <c r="ABL108" s="160"/>
      <c r="ABM108" s="160"/>
      <c r="ABN108" s="160"/>
      <c r="ABO108" s="160"/>
      <c r="ABP108" s="160"/>
      <c r="ABQ108" s="160"/>
      <c r="ABR108" s="160"/>
      <c r="ABS108" s="160"/>
      <c r="ABT108" s="160"/>
      <c r="ABU108" s="160"/>
      <c r="ABV108" s="160"/>
      <c r="ABW108" s="160"/>
      <c r="ABX108" s="160"/>
      <c r="ABY108" s="160"/>
      <c r="ABZ108" s="160"/>
      <c r="ACA108" s="160"/>
      <c r="ACB108" s="160"/>
      <c r="ACC108" s="160"/>
      <c r="ACD108" s="160"/>
      <c r="ACE108" s="160"/>
      <c r="ACF108" s="160"/>
      <c r="ACG108" s="160"/>
      <c r="ACH108" s="160"/>
      <c r="ACI108" s="160"/>
      <c r="ACJ108" s="160"/>
      <c r="ACK108" s="160"/>
      <c r="ACL108" s="160"/>
      <c r="ACM108" s="160"/>
      <c r="ACN108" s="160"/>
      <c r="ACO108" s="160"/>
      <c r="ACP108" s="160"/>
      <c r="ACQ108" s="160"/>
      <c r="ACR108" s="160"/>
      <c r="ACS108" s="160"/>
      <c r="ACT108" s="160"/>
      <c r="ACU108" s="160"/>
      <c r="ACV108" s="160"/>
      <c r="ACW108" s="160"/>
      <c r="ACX108" s="160"/>
      <c r="ACY108" s="160"/>
      <c r="ACZ108" s="160"/>
      <c r="ADA108" s="160"/>
      <c r="ADB108" s="160"/>
      <c r="ADC108" s="160"/>
      <c r="ADD108" s="160"/>
      <c r="ADE108" s="160"/>
      <c r="ADF108" s="160"/>
      <c r="ADG108" s="160"/>
      <c r="ADH108" s="160"/>
      <c r="ADI108" s="160"/>
      <c r="ADJ108" s="160"/>
      <c r="ADK108" s="160"/>
      <c r="ADL108" s="160"/>
      <c r="ADM108" s="160"/>
      <c r="ADN108" s="160"/>
      <c r="ADO108" s="160"/>
      <c r="ADP108" s="160"/>
      <c r="ADQ108" s="160"/>
      <c r="ADR108" s="160"/>
      <c r="ADS108" s="160"/>
      <c r="ADT108" s="160"/>
      <c r="ADU108" s="160"/>
      <c r="ADV108" s="160"/>
      <c r="ADW108" s="160"/>
      <c r="ADX108" s="160"/>
      <c r="ADY108" s="160"/>
      <c r="ADZ108" s="160"/>
      <c r="AEA108" s="160"/>
      <c r="AEB108" s="160"/>
      <c r="AEC108" s="160"/>
      <c r="AED108" s="160"/>
      <c r="AEE108" s="160"/>
      <c r="AEF108" s="160"/>
      <c r="AEG108" s="160"/>
      <c r="AEH108" s="160"/>
      <c r="AEI108" s="160"/>
      <c r="AEJ108" s="160"/>
      <c r="AEK108" s="160"/>
      <c r="AEL108" s="160"/>
      <c r="AEM108" s="160"/>
      <c r="AEN108" s="160"/>
      <c r="AEO108" s="160"/>
      <c r="AEP108" s="160"/>
      <c r="AEQ108" s="160"/>
      <c r="AER108" s="160"/>
      <c r="AES108" s="160"/>
      <c r="AET108" s="160"/>
      <c r="AEU108" s="160"/>
      <c r="AEV108" s="160"/>
      <c r="AEW108" s="160"/>
      <c r="AEX108" s="160"/>
      <c r="AEY108" s="160"/>
      <c r="AEZ108" s="160"/>
      <c r="AFA108" s="160"/>
      <c r="AFB108" s="160"/>
      <c r="AFC108" s="160"/>
      <c r="AFD108" s="160"/>
      <c r="AFE108" s="160"/>
      <c r="AFF108" s="160"/>
      <c r="AFG108" s="160"/>
      <c r="AFH108" s="160"/>
      <c r="AFI108" s="160"/>
      <c r="AFJ108" s="160"/>
      <c r="AFK108" s="160"/>
      <c r="AFL108" s="160"/>
      <c r="AFM108" s="160"/>
      <c r="AFN108" s="160"/>
      <c r="AFO108" s="160"/>
      <c r="AFP108" s="160"/>
      <c r="AFQ108" s="160"/>
      <c r="AFR108" s="160"/>
      <c r="AFS108" s="160"/>
      <c r="AFT108" s="160"/>
      <c r="AFU108" s="160"/>
      <c r="AFV108" s="160"/>
      <c r="AFW108" s="160"/>
      <c r="AFX108" s="160"/>
      <c r="AFY108" s="160"/>
      <c r="AFZ108" s="160"/>
      <c r="AGA108" s="160"/>
      <c r="AGB108" s="160"/>
      <c r="AGC108" s="160"/>
      <c r="AGD108" s="160"/>
      <c r="AGE108" s="160"/>
      <c r="AGF108" s="160"/>
      <c r="AGG108" s="160"/>
      <c r="AGH108" s="160"/>
      <c r="AGI108" s="160"/>
      <c r="AGJ108" s="160"/>
      <c r="AGK108" s="160"/>
      <c r="AGL108" s="160"/>
      <c r="AGM108" s="160"/>
      <c r="AGN108" s="160"/>
      <c r="AGO108" s="160"/>
      <c r="AGP108" s="160"/>
      <c r="AGQ108" s="160"/>
      <c r="AGR108" s="160"/>
      <c r="AGS108" s="160"/>
      <c r="AGT108" s="160"/>
      <c r="AGU108" s="160"/>
      <c r="AGV108" s="160"/>
      <c r="AGW108" s="160"/>
      <c r="AGX108" s="160"/>
      <c r="AGY108" s="160"/>
      <c r="AGZ108" s="160"/>
      <c r="AHA108" s="160"/>
      <c r="AHB108" s="160"/>
      <c r="AHC108" s="160"/>
      <c r="AHD108" s="160"/>
      <c r="AHE108" s="160"/>
      <c r="AHF108" s="160"/>
      <c r="AHG108" s="160"/>
      <c r="AHH108" s="160"/>
      <c r="AHI108" s="160"/>
      <c r="AHJ108" s="160"/>
      <c r="AHK108" s="160"/>
      <c r="AHL108" s="160"/>
      <c r="AHM108" s="160"/>
      <c r="AHN108" s="160"/>
      <c r="AHO108" s="160"/>
      <c r="AHP108" s="160"/>
      <c r="AHQ108" s="160"/>
      <c r="AHR108" s="160"/>
      <c r="AHS108" s="160"/>
      <c r="AHT108" s="160"/>
      <c r="AHU108" s="160"/>
      <c r="AHV108" s="160"/>
      <c r="AHW108" s="160"/>
      <c r="AHX108" s="160"/>
      <c r="AHY108" s="160"/>
      <c r="AHZ108" s="160"/>
      <c r="AIA108" s="160"/>
      <c r="AIB108" s="160"/>
      <c r="AIC108" s="160"/>
      <c r="AID108" s="160"/>
      <c r="AIE108" s="160"/>
      <c r="AIF108" s="160"/>
      <c r="AIG108" s="160"/>
      <c r="AIH108" s="160"/>
      <c r="AII108" s="160"/>
      <c r="AIJ108" s="160"/>
      <c r="AIK108" s="160"/>
      <c r="AIL108" s="160"/>
      <c r="AIM108" s="160"/>
      <c r="AIN108" s="160"/>
      <c r="AIO108" s="160"/>
      <c r="AIP108" s="160"/>
      <c r="AIQ108" s="160"/>
      <c r="AIR108" s="160"/>
      <c r="AIS108" s="160"/>
      <c r="AIT108" s="160"/>
      <c r="AIU108" s="160"/>
      <c r="AIV108" s="160"/>
      <c r="AIW108" s="160"/>
      <c r="AIX108" s="160"/>
      <c r="AIY108" s="160"/>
      <c r="AIZ108" s="160"/>
      <c r="AJA108" s="160"/>
      <c r="AJB108" s="160"/>
      <c r="AJC108" s="160"/>
      <c r="AJD108" s="160"/>
      <c r="AJE108" s="160"/>
      <c r="AJF108" s="160"/>
      <c r="AJG108" s="160"/>
      <c r="AJH108" s="160"/>
      <c r="AJI108" s="160"/>
      <c r="AJJ108" s="160"/>
      <c r="AJK108" s="160"/>
      <c r="AJL108" s="160"/>
      <c r="AJM108" s="160"/>
      <c r="AJN108" s="160"/>
      <c r="AJO108" s="160"/>
      <c r="AJP108" s="160"/>
      <c r="AJQ108" s="160"/>
      <c r="AJR108" s="160"/>
      <c r="AJS108" s="160"/>
      <c r="AJT108" s="160"/>
      <c r="AJU108" s="160"/>
      <c r="AJV108" s="160"/>
      <c r="AJW108" s="160"/>
      <c r="AJX108" s="160"/>
      <c r="AJY108" s="160"/>
      <c r="AJZ108" s="160"/>
      <c r="AKA108" s="160"/>
      <c r="AKB108" s="160"/>
      <c r="AKC108" s="160"/>
      <c r="AKD108" s="160"/>
      <c r="AKE108" s="160"/>
      <c r="AKF108" s="160"/>
      <c r="AKG108" s="160"/>
      <c r="AKH108" s="160"/>
      <c r="AKI108" s="160"/>
      <c r="AKJ108" s="160"/>
      <c r="AKK108" s="160"/>
      <c r="AKL108" s="160"/>
      <c r="AKM108" s="160"/>
      <c r="AKN108" s="160"/>
      <c r="AKO108" s="160"/>
      <c r="AKP108" s="160"/>
      <c r="AKQ108" s="160"/>
      <c r="AKR108" s="160"/>
      <c r="AKS108" s="160"/>
      <c r="AKT108" s="160"/>
      <c r="AKU108" s="160"/>
      <c r="AKV108" s="160"/>
      <c r="AKW108" s="160"/>
      <c r="AKX108" s="160"/>
      <c r="AKY108" s="160"/>
      <c r="AKZ108" s="160"/>
      <c r="ALA108" s="160"/>
      <c r="ALB108" s="160"/>
      <c r="ALC108" s="160"/>
      <c r="ALD108" s="160"/>
      <c r="ALE108" s="160"/>
      <c r="ALF108" s="160"/>
      <c r="ALG108" s="160"/>
      <c r="ALH108" s="160"/>
      <c r="ALI108" s="160"/>
      <c r="ALJ108" s="160"/>
      <c r="ALK108" s="160"/>
      <c r="ALL108" s="160"/>
      <c r="ALM108" s="160"/>
      <c r="ALN108" s="160"/>
      <c r="ALO108" s="160"/>
      <c r="ALP108" s="160"/>
      <c r="ALQ108" s="160"/>
      <c r="ALR108" s="160"/>
      <c r="ALS108" s="160"/>
      <c r="ALT108" s="160"/>
      <c r="ALU108" s="160"/>
      <c r="ALV108" s="160"/>
      <c r="ALW108" s="160"/>
      <c r="ALX108" s="160"/>
      <c r="ALY108" s="160"/>
      <c r="ALZ108" s="160"/>
      <c r="AMA108" s="160"/>
      <c r="AMB108" s="160"/>
      <c r="AMC108" s="160"/>
      <c r="AMD108" s="160"/>
      <c r="AME108" s="158"/>
    </row>
    <row r="109" spans="1:1019">
      <c r="AB109" s="157"/>
    </row>
    <row r="110" spans="1:1019">
      <c r="P110" s="620"/>
    </row>
    <row r="111" spans="1:1019" s="161" customFormat="1">
      <c r="A111" s="160"/>
      <c r="B111" s="624"/>
      <c r="C111" s="160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629"/>
      <c r="P111" s="191"/>
      <c r="R111" s="191"/>
      <c r="S111" s="191"/>
      <c r="T111" s="191"/>
      <c r="U111" s="191"/>
      <c r="V111" s="159"/>
      <c r="W111" s="193"/>
      <c r="X111" s="160"/>
      <c r="Y111" s="160"/>
      <c r="Z111" s="160"/>
      <c r="AA111" s="160"/>
      <c r="AB111" s="160"/>
      <c r="AC111" s="157"/>
      <c r="AD111" s="157"/>
      <c r="AE111" s="157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  <c r="CJ111" s="160"/>
      <c r="CK111" s="160"/>
      <c r="CL111" s="160"/>
      <c r="CM111" s="160"/>
      <c r="CN111" s="160"/>
      <c r="CO111" s="160"/>
      <c r="CP111" s="160"/>
      <c r="CQ111" s="160"/>
      <c r="CR111" s="160"/>
      <c r="CS111" s="160"/>
      <c r="CT111" s="160"/>
      <c r="CU111" s="160"/>
      <c r="CV111" s="160"/>
      <c r="CW111" s="160"/>
      <c r="CX111" s="160"/>
      <c r="CY111" s="160"/>
      <c r="CZ111" s="160"/>
      <c r="DA111" s="160"/>
      <c r="DB111" s="160"/>
      <c r="DC111" s="160"/>
      <c r="DD111" s="160"/>
      <c r="DE111" s="160"/>
      <c r="DF111" s="160"/>
      <c r="DG111" s="160"/>
      <c r="DH111" s="160"/>
      <c r="DI111" s="160"/>
      <c r="DJ111" s="160"/>
      <c r="DK111" s="160"/>
      <c r="DL111" s="160"/>
      <c r="DM111" s="160"/>
      <c r="DN111" s="160"/>
      <c r="DO111" s="160"/>
      <c r="DP111" s="160"/>
      <c r="DQ111" s="160"/>
      <c r="DR111" s="160"/>
      <c r="DS111" s="160"/>
      <c r="DT111" s="160"/>
      <c r="DU111" s="160"/>
      <c r="DV111" s="160"/>
      <c r="DW111" s="160"/>
      <c r="DX111" s="160"/>
      <c r="DY111" s="160"/>
      <c r="DZ111" s="160"/>
      <c r="EA111" s="160"/>
      <c r="EB111" s="160"/>
      <c r="EC111" s="160"/>
      <c r="ED111" s="160"/>
      <c r="EE111" s="160"/>
      <c r="EF111" s="160"/>
      <c r="EG111" s="160"/>
      <c r="EH111" s="160"/>
      <c r="EI111" s="160"/>
      <c r="EJ111" s="160"/>
      <c r="EK111" s="160"/>
      <c r="EL111" s="160"/>
      <c r="EM111" s="160"/>
      <c r="EN111" s="160"/>
      <c r="EO111" s="160"/>
      <c r="EP111" s="160"/>
      <c r="EQ111" s="160"/>
      <c r="ER111" s="160"/>
      <c r="ES111" s="160"/>
      <c r="ET111" s="160"/>
      <c r="EU111" s="160"/>
      <c r="EV111" s="160"/>
      <c r="EW111" s="160"/>
      <c r="EX111" s="160"/>
      <c r="EY111" s="160"/>
      <c r="EZ111" s="160"/>
      <c r="FA111" s="160"/>
      <c r="FB111" s="160"/>
      <c r="FC111" s="160"/>
      <c r="FD111" s="160"/>
      <c r="FE111" s="160"/>
      <c r="FF111" s="160"/>
      <c r="FG111" s="160"/>
      <c r="FH111" s="160"/>
      <c r="FI111" s="160"/>
      <c r="FJ111" s="160"/>
      <c r="FK111" s="160"/>
      <c r="FL111" s="160"/>
      <c r="FM111" s="160"/>
      <c r="FN111" s="160"/>
      <c r="FO111" s="160"/>
      <c r="FP111" s="160"/>
      <c r="FQ111" s="160"/>
      <c r="FR111" s="160"/>
      <c r="FS111" s="160"/>
      <c r="FT111" s="160"/>
      <c r="FU111" s="160"/>
      <c r="FV111" s="160"/>
      <c r="FW111" s="160"/>
      <c r="FX111" s="160"/>
      <c r="FY111" s="160"/>
      <c r="FZ111" s="160"/>
      <c r="GA111" s="160"/>
      <c r="GB111" s="160"/>
      <c r="GC111" s="160"/>
      <c r="GD111" s="160"/>
      <c r="GE111" s="160"/>
      <c r="GF111" s="160"/>
      <c r="GG111" s="160"/>
      <c r="GH111" s="160"/>
      <c r="GI111" s="160"/>
      <c r="GJ111" s="160"/>
      <c r="GK111" s="160"/>
      <c r="GL111" s="160"/>
      <c r="GM111" s="160"/>
      <c r="GN111" s="160"/>
      <c r="GO111" s="160"/>
      <c r="GP111" s="160"/>
      <c r="GQ111" s="160"/>
      <c r="GR111" s="160"/>
      <c r="GS111" s="160"/>
      <c r="GT111" s="160"/>
      <c r="GU111" s="160"/>
      <c r="GV111" s="160"/>
      <c r="GW111" s="160"/>
      <c r="GX111" s="160"/>
      <c r="GY111" s="160"/>
      <c r="GZ111" s="160"/>
      <c r="HA111" s="160"/>
      <c r="HB111" s="160"/>
      <c r="HC111" s="160"/>
      <c r="HD111" s="160"/>
      <c r="HE111" s="160"/>
      <c r="HF111" s="160"/>
      <c r="HG111" s="160"/>
      <c r="HH111" s="160"/>
      <c r="HI111" s="160"/>
      <c r="HJ111" s="160"/>
      <c r="HK111" s="160"/>
      <c r="HL111" s="160"/>
      <c r="HM111" s="160"/>
      <c r="HN111" s="160"/>
      <c r="HO111" s="160"/>
      <c r="HP111" s="160"/>
      <c r="HQ111" s="160"/>
      <c r="HR111" s="160"/>
      <c r="HS111" s="160"/>
      <c r="HT111" s="160"/>
      <c r="HU111" s="160"/>
      <c r="HV111" s="160"/>
      <c r="HW111" s="160"/>
      <c r="HX111" s="160"/>
      <c r="HY111" s="160"/>
      <c r="HZ111" s="160"/>
      <c r="IA111" s="160"/>
      <c r="IB111" s="160"/>
      <c r="IC111" s="160"/>
      <c r="ID111" s="160"/>
      <c r="IE111" s="160"/>
      <c r="IF111" s="160"/>
      <c r="IG111" s="160"/>
      <c r="IH111" s="160"/>
      <c r="II111" s="160"/>
      <c r="IJ111" s="160"/>
      <c r="IK111" s="160"/>
      <c r="IL111" s="160"/>
      <c r="IM111" s="160"/>
      <c r="IN111" s="160"/>
      <c r="IO111" s="160"/>
      <c r="IP111" s="160"/>
      <c r="IQ111" s="160"/>
      <c r="IR111" s="160"/>
      <c r="IS111" s="160"/>
      <c r="IT111" s="160"/>
      <c r="IU111" s="160"/>
      <c r="IV111" s="160"/>
      <c r="IW111" s="160"/>
      <c r="IX111" s="160"/>
      <c r="IY111" s="160"/>
      <c r="IZ111" s="160"/>
      <c r="JA111" s="160"/>
      <c r="JB111" s="160"/>
      <c r="JC111" s="160"/>
      <c r="JD111" s="160"/>
      <c r="JE111" s="160"/>
      <c r="JF111" s="160"/>
      <c r="JG111" s="160"/>
      <c r="JH111" s="160"/>
      <c r="JI111" s="160"/>
      <c r="JJ111" s="160"/>
      <c r="JK111" s="160"/>
      <c r="JL111" s="160"/>
      <c r="JM111" s="160"/>
      <c r="JN111" s="160"/>
      <c r="JO111" s="160"/>
      <c r="JP111" s="160"/>
      <c r="JQ111" s="160"/>
      <c r="JR111" s="160"/>
      <c r="JS111" s="160"/>
      <c r="JT111" s="160"/>
      <c r="JU111" s="160"/>
      <c r="JV111" s="160"/>
      <c r="JW111" s="160"/>
      <c r="JX111" s="160"/>
      <c r="JY111" s="160"/>
      <c r="JZ111" s="160"/>
      <c r="KA111" s="160"/>
      <c r="KB111" s="160"/>
      <c r="KC111" s="160"/>
      <c r="KD111" s="160"/>
      <c r="KE111" s="160"/>
      <c r="KF111" s="160"/>
      <c r="KG111" s="160"/>
      <c r="KH111" s="160"/>
      <c r="KI111" s="160"/>
      <c r="KJ111" s="160"/>
      <c r="KK111" s="160"/>
      <c r="KL111" s="160"/>
      <c r="KM111" s="160"/>
      <c r="KN111" s="160"/>
      <c r="KO111" s="160"/>
      <c r="KP111" s="160"/>
      <c r="KQ111" s="160"/>
      <c r="KR111" s="160"/>
      <c r="KS111" s="160"/>
      <c r="KT111" s="160"/>
      <c r="KU111" s="160"/>
      <c r="KV111" s="160"/>
      <c r="KW111" s="160"/>
      <c r="KX111" s="160"/>
      <c r="KY111" s="160"/>
      <c r="KZ111" s="160"/>
      <c r="LA111" s="160"/>
      <c r="LB111" s="160"/>
      <c r="LC111" s="160"/>
      <c r="LD111" s="160"/>
      <c r="LE111" s="160"/>
      <c r="LF111" s="160"/>
      <c r="LG111" s="160"/>
      <c r="LH111" s="160"/>
      <c r="LI111" s="160"/>
      <c r="LJ111" s="160"/>
      <c r="LK111" s="160"/>
      <c r="LL111" s="160"/>
      <c r="LM111" s="160"/>
      <c r="LN111" s="160"/>
      <c r="LO111" s="160"/>
      <c r="LP111" s="160"/>
      <c r="LQ111" s="160"/>
      <c r="LR111" s="160"/>
      <c r="LS111" s="160"/>
      <c r="LT111" s="160"/>
      <c r="LU111" s="160"/>
      <c r="LV111" s="160"/>
      <c r="LW111" s="160"/>
      <c r="LX111" s="160"/>
      <c r="LY111" s="160"/>
      <c r="LZ111" s="160"/>
      <c r="MA111" s="160"/>
      <c r="MB111" s="160"/>
      <c r="MC111" s="160"/>
      <c r="MD111" s="160"/>
      <c r="ME111" s="160"/>
      <c r="MF111" s="160"/>
      <c r="MG111" s="160"/>
      <c r="MH111" s="160"/>
      <c r="MI111" s="160"/>
      <c r="MJ111" s="160"/>
      <c r="MK111" s="160"/>
      <c r="ML111" s="160"/>
      <c r="MM111" s="160"/>
      <c r="MN111" s="160"/>
      <c r="MO111" s="160"/>
      <c r="MP111" s="160"/>
      <c r="MQ111" s="160"/>
      <c r="MR111" s="160"/>
      <c r="MS111" s="160"/>
      <c r="MT111" s="160"/>
      <c r="MU111" s="160"/>
      <c r="MV111" s="160"/>
      <c r="MW111" s="160"/>
      <c r="MX111" s="160"/>
      <c r="MY111" s="160"/>
      <c r="MZ111" s="160"/>
      <c r="NA111" s="160"/>
      <c r="NB111" s="160"/>
      <c r="NC111" s="160"/>
      <c r="ND111" s="160"/>
      <c r="NE111" s="160"/>
      <c r="NF111" s="160"/>
      <c r="NG111" s="160"/>
      <c r="NH111" s="160"/>
      <c r="NI111" s="160"/>
      <c r="NJ111" s="160"/>
      <c r="NK111" s="160"/>
      <c r="NL111" s="160"/>
      <c r="NM111" s="160"/>
      <c r="NN111" s="160"/>
      <c r="NO111" s="160"/>
      <c r="NP111" s="160"/>
      <c r="NQ111" s="160"/>
      <c r="NR111" s="160"/>
      <c r="NS111" s="160"/>
      <c r="NT111" s="160"/>
      <c r="NU111" s="160"/>
      <c r="NV111" s="160"/>
      <c r="NW111" s="160"/>
      <c r="NX111" s="160"/>
      <c r="NY111" s="160"/>
      <c r="NZ111" s="160"/>
      <c r="OA111" s="160"/>
      <c r="OB111" s="160"/>
      <c r="OC111" s="160"/>
      <c r="OD111" s="160"/>
      <c r="OE111" s="160"/>
      <c r="OF111" s="160"/>
      <c r="OG111" s="160"/>
      <c r="OH111" s="160"/>
      <c r="OI111" s="160"/>
      <c r="OJ111" s="160"/>
      <c r="OK111" s="160"/>
      <c r="OL111" s="160"/>
      <c r="OM111" s="160"/>
      <c r="ON111" s="160"/>
      <c r="OO111" s="160"/>
      <c r="OP111" s="160"/>
      <c r="OQ111" s="160"/>
      <c r="OR111" s="160"/>
      <c r="OS111" s="160"/>
      <c r="OT111" s="160"/>
      <c r="OU111" s="160"/>
      <c r="OV111" s="160"/>
      <c r="OW111" s="160"/>
      <c r="OX111" s="160"/>
      <c r="OY111" s="160"/>
      <c r="OZ111" s="160"/>
      <c r="PA111" s="160"/>
      <c r="PB111" s="160"/>
      <c r="PC111" s="160"/>
      <c r="PD111" s="160"/>
      <c r="PE111" s="160"/>
      <c r="PF111" s="160"/>
      <c r="PG111" s="160"/>
      <c r="PH111" s="160"/>
      <c r="PI111" s="160"/>
      <c r="PJ111" s="160"/>
      <c r="PK111" s="160"/>
      <c r="PL111" s="160"/>
      <c r="PM111" s="160"/>
      <c r="PN111" s="160"/>
      <c r="PO111" s="160"/>
      <c r="PP111" s="160"/>
      <c r="PQ111" s="160"/>
      <c r="PR111" s="160"/>
      <c r="PS111" s="160"/>
      <c r="PT111" s="160"/>
      <c r="PU111" s="160"/>
      <c r="PV111" s="160"/>
      <c r="PW111" s="160"/>
      <c r="PX111" s="160"/>
      <c r="PY111" s="160"/>
      <c r="PZ111" s="160"/>
      <c r="QA111" s="160"/>
      <c r="QB111" s="160"/>
      <c r="QC111" s="160"/>
      <c r="QD111" s="160"/>
      <c r="QE111" s="160"/>
      <c r="QF111" s="160"/>
      <c r="QG111" s="160"/>
      <c r="QH111" s="160"/>
      <c r="QI111" s="160"/>
      <c r="QJ111" s="160"/>
      <c r="QK111" s="160"/>
      <c r="QL111" s="160"/>
      <c r="QM111" s="160"/>
      <c r="QN111" s="160"/>
      <c r="QO111" s="160"/>
      <c r="QP111" s="160"/>
      <c r="QQ111" s="160"/>
      <c r="QR111" s="160"/>
      <c r="QS111" s="160"/>
      <c r="QT111" s="160"/>
      <c r="QU111" s="160"/>
      <c r="QV111" s="160"/>
      <c r="QW111" s="160"/>
      <c r="QX111" s="160"/>
      <c r="QY111" s="160"/>
      <c r="QZ111" s="160"/>
      <c r="RA111" s="160"/>
      <c r="RB111" s="160"/>
      <c r="RC111" s="160"/>
      <c r="RD111" s="160"/>
      <c r="RE111" s="160"/>
      <c r="RF111" s="160"/>
      <c r="RG111" s="160"/>
      <c r="RH111" s="160"/>
      <c r="RI111" s="160"/>
      <c r="RJ111" s="160"/>
      <c r="RK111" s="160"/>
      <c r="RL111" s="160"/>
      <c r="RM111" s="160"/>
      <c r="RN111" s="160"/>
      <c r="RO111" s="160"/>
      <c r="RP111" s="160"/>
      <c r="RQ111" s="160"/>
      <c r="RR111" s="160"/>
      <c r="RS111" s="160"/>
      <c r="RT111" s="160"/>
      <c r="RU111" s="160"/>
      <c r="RV111" s="160"/>
      <c r="RW111" s="160"/>
      <c r="RX111" s="160"/>
      <c r="RY111" s="160"/>
      <c r="RZ111" s="160"/>
      <c r="SA111" s="160"/>
      <c r="SB111" s="160"/>
      <c r="SC111" s="160"/>
      <c r="SD111" s="160"/>
      <c r="SE111" s="160"/>
      <c r="SF111" s="160"/>
      <c r="SG111" s="160"/>
      <c r="SH111" s="160"/>
      <c r="SI111" s="160"/>
      <c r="SJ111" s="160"/>
      <c r="SK111" s="160"/>
      <c r="SL111" s="160"/>
      <c r="SM111" s="160"/>
      <c r="SN111" s="160"/>
      <c r="SO111" s="160"/>
      <c r="SP111" s="160"/>
      <c r="SQ111" s="160"/>
      <c r="SR111" s="160"/>
      <c r="SS111" s="160"/>
      <c r="ST111" s="160"/>
      <c r="SU111" s="160"/>
      <c r="SV111" s="160"/>
      <c r="SW111" s="160"/>
      <c r="SX111" s="160"/>
      <c r="SY111" s="160"/>
      <c r="SZ111" s="160"/>
      <c r="TA111" s="160"/>
      <c r="TB111" s="160"/>
      <c r="TC111" s="160"/>
      <c r="TD111" s="160"/>
      <c r="TE111" s="160"/>
      <c r="TF111" s="160"/>
      <c r="TG111" s="160"/>
      <c r="TH111" s="160"/>
      <c r="TI111" s="160"/>
      <c r="TJ111" s="160"/>
      <c r="TK111" s="160"/>
      <c r="TL111" s="160"/>
      <c r="TM111" s="160"/>
      <c r="TN111" s="160"/>
      <c r="TO111" s="160"/>
      <c r="TP111" s="160"/>
      <c r="TQ111" s="160"/>
      <c r="TR111" s="160"/>
      <c r="TS111" s="160"/>
      <c r="TT111" s="160"/>
      <c r="TU111" s="160"/>
      <c r="TV111" s="160"/>
      <c r="TW111" s="160"/>
      <c r="TX111" s="160"/>
      <c r="TY111" s="160"/>
      <c r="TZ111" s="160"/>
      <c r="UA111" s="160"/>
      <c r="UB111" s="160"/>
      <c r="UC111" s="160"/>
      <c r="UD111" s="160"/>
      <c r="UE111" s="160"/>
      <c r="UF111" s="160"/>
      <c r="UG111" s="160"/>
      <c r="UH111" s="160"/>
      <c r="UI111" s="160"/>
      <c r="UJ111" s="160"/>
      <c r="UK111" s="160"/>
      <c r="UL111" s="160"/>
      <c r="UM111" s="160"/>
      <c r="UN111" s="160"/>
      <c r="UO111" s="160"/>
      <c r="UP111" s="160"/>
      <c r="UQ111" s="160"/>
      <c r="UR111" s="160"/>
      <c r="US111" s="160"/>
      <c r="UT111" s="160"/>
      <c r="UU111" s="160"/>
      <c r="UV111" s="160"/>
      <c r="UW111" s="160"/>
      <c r="UX111" s="160"/>
      <c r="UY111" s="160"/>
      <c r="UZ111" s="160"/>
      <c r="VA111" s="160"/>
      <c r="VB111" s="160"/>
      <c r="VC111" s="160"/>
      <c r="VD111" s="160"/>
      <c r="VE111" s="160"/>
      <c r="VF111" s="160"/>
      <c r="VG111" s="160"/>
      <c r="VH111" s="160"/>
      <c r="VI111" s="160"/>
      <c r="VJ111" s="160"/>
      <c r="VK111" s="160"/>
      <c r="VL111" s="160"/>
      <c r="VM111" s="160"/>
      <c r="VN111" s="160"/>
      <c r="VO111" s="160"/>
      <c r="VP111" s="160"/>
      <c r="VQ111" s="160"/>
      <c r="VR111" s="160"/>
      <c r="VS111" s="160"/>
      <c r="VT111" s="160"/>
      <c r="VU111" s="160"/>
      <c r="VV111" s="160"/>
      <c r="VW111" s="160"/>
      <c r="VX111" s="160"/>
      <c r="VY111" s="160"/>
      <c r="VZ111" s="160"/>
      <c r="WA111" s="160"/>
      <c r="WB111" s="160"/>
      <c r="WC111" s="160"/>
      <c r="WD111" s="160"/>
      <c r="WE111" s="160"/>
      <c r="WF111" s="160"/>
      <c r="WG111" s="160"/>
      <c r="WH111" s="160"/>
      <c r="WI111" s="160"/>
      <c r="WJ111" s="160"/>
      <c r="WK111" s="160"/>
      <c r="WL111" s="160"/>
      <c r="WM111" s="160"/>
      <c r="WN111" s="160"/>
      <c r="WO111" s="160"/>
      <c r="WP111" s="160"/>
      <c r="WQ111" s="160"/>
      <c r="WR111" s="160"/>
      <c r="WS111" s="160"/>
      <c r="WT111" s="160"/>
      <c r="WU111" s="160"/>
      <c r="WV111" s="160"/>
      <c r="WW111" s="160"/>
      <c r="WX111" s="160"/>
      <c r="WY111" s="160"/>
      <c r="WZ111" s="160"/>
      <c r="XA111" s="160"/>
      <c r="XB111" s="160"/>
      <c r="XC111" s="160"/>
      <c r="XD111" s="160"/>
      <c r="XE111" s="160"/>
      <c r="XF111" s="160"/>
      <c r="XG111" s="160"/>
      <c r="XH111" s="160"/>
      <c r="XI111" s="160"/>
      <c r="XJ111" s="160"/>
      <c r="XK111" s="160"/>
      <c r="XL111" s="160"/>
      <c r="XM111" s="160"/>
      <c r="XN111" s="160"/>
      <c r="XO111" s="160"/>
      <c r="XP111" s="160"/>
      <c r="XQ111" s="160"/>
      <c r="XR111" s="160"/>
      <c r="XS111" s="160"/>
      <c r="XT111" s="160"/>
      <c r="XU111" s="160"/>
      <c r="XV111" s="160"/>
      <c r="XW111" s="160"/>
      <c r="XX111" s="160"/>
      <c r="XY111" s="160"/>
      <c r="XZ111" s="160"/>
      <c r="YA111" s="160"/>
      <c r="YB111" s="160"/>
      <c r="YC111" s="160"/>
      <c r="YD111" s="160"/>
      <c r="YE111" s="160"/>
      <c r="YF111" s="160"/>
      <c r="YG111" s="160"/>
      <c r="YH111" s="160"/>
      <c r="YI111" s="160"/>
      <c r="YJ111" s="160"/>
      <c r="YK111" s="160"/>
      <c r="YL111" s="160"/>
      <c r="YM111" s="160"/>
      <c r="YN111" s="160"/>
      <c r="YO111" s="160"/>
      <c r="YP111" s="160"/>
      <c r="YQ111" s="160"/>
      <c r="YR111" s="160"/>
      <c r="YS111" s="160"/>
      <c r="YT111" s="160"/>
      <c r="YU111" s="160"/>
      <c r="YV111" s="160"/>
      <c r="YW111" s="160"/>
      <c r="YX111" s="160"/>
      <c r="YY111" s="160"/>
      <c r="YZ111" s="160"/>
      <c r="ZA111" s="160"/>
      <c r="ZB111" s="160"/>
      <c r="ZC111" s="160"/>
      <c r="ZD111" s="160"/>
      <c r="ZE111" s="160"/>
      <c r="ZF111" s="160"/>
      <c r="ZG111" s="160"/>
      <c r="ZH111" s="160"/>
      <c r="ZI111" s="160"/>
      <c r="ZJ111" s="160"/>
      <c r="ZK111" s="160"/>
      <c r="ZL111" s="160"/>
      <c r="ZM111" s="160"/>
      <c r="ZN111" s="160"/>
      <c r="ZO111" s="160"/>
      <c r="ZP111" s="160"/>
      <c r="ZQ111" s="160"/>
      <c r="ZR111" s="160"/>
      <c r="ZS111" s="160"/>
      <c r="ZT111" s="160"/>
      <c r="ZU111" s="160"/>
      <c r="ZV111" s="160"/>
      <c r="ZW111" s="160"/>
      <c r="ZX111" s="160"/>
      <c r="ZY111" s="160"/>
      <c r="ZZ111" s="160"/>
      <c r="AAA111" s="160"/>
      <c r="AAB111" s="160"/>
      <c r="AAC111" s="160"/>
      <c r="AAD111" s="160"/>
      <c r="AAE111" s="160"/>
      <c r="AAF111" s="160"/>
      <c r="AAG111" s="160"/>
      <c r="AAH111" s="160"/>
      <c r="AAI111" s="160"/>
      <c r="AAJ111" s="160"/>
      <c r="AAK111" s="160"/>
      <c r="AAL111" s="160"/>
      <c r="AAM111" s="160"/>
      <c r="AAN111" s="160"/>
      <c r="AAO111" s="160"/>
      <c r="AAP111" s="160"/>
      <c r="AAQ111" s="160"/>
      <c r="AAR111" s="160"/>
      <c r="AAS111" s="160"/>
      <c r="AAT111" s="160"/>
      <c r="AAU111" s="160"/>
      <c r="AAV111" s="160"/>
      <c r="AAW111" s="160"/>
      <c r="AAX111" s="160"/>
      <c r="AAY111" s="160"/>
      <c r="AAZ111" s="160"/>
      <c r="ABA111" s="160"/>
      <c r="ABB111" s="160"/>
      <c r="ABC111" s="160"/>
      <c r="ABD111" s="160"/>
      <c r="ABE111" s="160"/>
      <c r="ABF111" s="160"/>
      <c r="ABG111" s="160"/>
      <c r="ABH111" s="160"/>
      <c r="ABI111" s="160"/>
      <c r="ABJ111" s="160"/>
      <c r="ABK111" s="160"/>
      <c r="ABL111" s="160"/>
      <c r="ABM111" s="160"/>
      <c r="ABN111" s="160"/>
      <c r="ABO111" s="160"/>
      <c r="ABP111" s="160"/>
      <c r="ABQ111" s="160"/>
      <c r="ABR111" s="160"/>
      <c r="ABS111" s="160"/>
      <c r="ABT111" s="160"/>
      <c r="ABU111" s="160"/>
      <c r="ABV111" s="160"/>
      <c r="ABW111" s="160"/>
      <c r="ABX111" s="160"/>
      <c r="ABY111" s="160"/>
      <c r="ABZ111" s="160"/>
      <c r="ACA111" s="160"/>
      <c r="ACB111" s="160"/>
      <c r="ACC111" s="160"/>
      <c r="ACD111" s="160"/>
      <c r="ACE111" s="160"/>
      <c r="ACF111" s="160"/>
      <c r="ACG111" s="160"/>
      <c r="ACH111" s="160"/>
      <c r="ACI111" s="160"/>
      <c r="ACJ111" s="160"/>
      <c r="ACK111" s="160"/>
      <c r="ACL111" s="160"/>
      <c r="ACM111" s="160"/>
      <c r="ACN111" s="160"/>
      <c r="ACO111" s="160"/>
      <c r="ACP111" s="160"/>
      <c r="ACQ111" s="160"/>
      <c r="ACR111" s="160"/>
      <c r="ACS111" s="160"/>
      <c r="ACT111" s="160"/>
      <c r="ACU111" s="160"/>
      <c r="ACV111" s="160"/>
      <c r="ACW111" s="160"/>
      <c r="ACX111" s="160"/>
      <c r="ACY111" s="160"/>
      <c r="ACZ111" s="160"/>
      <c r="ADA111" s="160"/>
      <c r="ADB111" s="160"/>
      <c r="ADC111" s="160"/>
      <c r="ADD111" s="160"/>
      <c r="ADE111" s="160"/>
      <c r="ADF111" s="160"/>
      <c r="ADG111" s="160"/>
      <c r="ADH111" s="160"/>
      <c r="ADI111" s="160"/>
      <c r="ADJ111" s="160"/>
      <c r="ADK111" s="160"/>
      <c r="ADL111" s="160"/>
      <c r="ADM111" s="160"/>
      <c r="ADN111" s="160"/>
      <c r="ADO111" s="160"/>
      <c r="ADP111" s="160"/>
      <c r="ADQ111" s="160"/>
      <c r="ADR111" s="160"/>
      <c r="ADS111" s="160"/>
      <c r="ADT111" s="160"/>
      <c r="ADU111" s="160"/>
      <c r="ADV111" s="160"/>
      <c r="ADW111" s="160"/>
      <c r="ADX111" s="160"/>
      <c r="ADY111" s="160"/>
      <c r="ADZ111" s="160"/>
      <c r="AEA111" s="160"/>
      <c r="AEB111" s="160"/>
      <c r="AEC111" s="160"/>
      <c r="AED111" s="160"/>
      <c r="AEE111" s="160"/>
      <c r="AEF111" s="160"/>
      <c r="AEG111" s="160"/>
      <c r="AEH111" s="160"/>
      <c r="AEI111" s="160"/>
      <c r="AEJ111" s="160"/>
      <c r="AEK111" s="160"/>
      <c r="AEL111" s="160"/>
      <c r="AEM111" s="160"/>
      <c r="AEN111" s="160"/>
      <c r="AEO111" s="160"/>
      <c r="AEP111" s="160"/>
      <c r="AEQ111" s="160"/>
      <c r="AER111" s="160"/>
      <c r="AES111" s="160"/>
      <c r="AET111" s="160"/>
      <c r="AEU111" s="160"/>
      <c r="AEV111" s="160"/>
      <c r="AEW111" s="160"/>
      <c r="AEX111" s="160"/>
      <c r="AEY111" s="160"/>
      <c r="AEZ111" s="160"/>
      <c r="AFA111" s="160"/>
      <c r="AFB111" s="160"/>
      <c r="AFC111" s="160"/>
      <c r="AFD111" s="160"/>
      <c r="AFE111" s="160"/>
      <c r="AFF111" s="160"/>
      <c r="AFG111" s="160"/>
      <c r="AFH111" s="160"/>
      <c r="AFI111" s="160"/>
      <c r="AFJ111" s="160"/>
      <c r="AFK111" s="160"/>
      <c r="AFL111" s="160"/>
      <c r="AFM111" s="160"/>
      <c r="AFN111" s="160"/>
      <c r="AFO111" s="160"/>
      <c r="AFP111" s="160"/>
      <c r="AFQ111" s="160"/>
      <c r="AFR111" s="160"/>
      <c r="AFS111" s="160"/>
      <c r="AFT111" s="160"/>
      <c r="AFU111" s="160"/>
      <c r="AFV111" s="160"/>
      <c r="AFW111" s="160"/>
      <c r="AFX111" s="160"/>
      <c r="AFY111" s="160"/>
      <c r="AFZ111" s="160"/>
      <c r="AGA111" s="160"/>
      <c r="AGB111" s="160"/>
      <c r="AGC111" s="160"/>
      <c r="AGD111" s="160"/>
      <c r="AGE111" s="160"/>
      <c r="AGF111" s="160"/>
      <c r="AGG111" s="160"/>
      <c r="AGH111" s="160"/>
      <c r="AGI111" s="160"/>
      <c r="AGJ111" s="160"/>
      <c r="AGK111" s="160"/>
      <c r="AGL111" s="160"/>
      <c r="AGM111" s="160"/>
      <c r="AGN111" s="160"/>
      <c r="AGO111" s="160"/>
      <c r="AGP111" s="160"/>
      <c r="AGQ111" s="160"/>
      <c r="AGR111" s="160"/>
      <c r="AGS111" s="160"/>
      <c r="AGT111" s="160"/>
      <c r="AGU111" s="160"/>
      <c r="AGV111" s="160"/>
      <c r="AGW111" s="160"/>
      <c r="AGX111" s="160"/>
      <c r="AGY111" s="160"/>
      <c r="AGZ111" s="160"/>
      <c r="AHA111" s="160"/>
      <c r="AHB111" s="160"/>
      <c r="AHC111" s="160"/>
      <c r="AHD111" s="160"/>
      <c r="AHE111" s="160"/>
      <c r="AHF111" s="160"/>
      <c r="AHG111" s="160"/>
      <c r="AHH111" s="160"/>
      <c r="AHI111" s="160"/>
      <c r="AHJ111" s="160"/>
      <c r="AHK111" s="160"/>
      <c r="AHL111" s="160"/>
      <c r="AHM111" s="160"/>
      <c r="AHN111" s="160"/>
      <c r="AHO111" s="160"/>
      <c r="AHP111" s="160"/>
      <c r="AHQ111" s="160"/>
      <c r="AHR111" s="160"/>
      <c r="AHS111" s="160"/>
      <c r="AHT111" s="160"/>
      <c r="AHU111" s="160"/>
      <c r="AHV111" s="160"/>
      <c r="AHW111" s="160"/>
      <c r="AHX111" s="160"/>
      <c r="AHY111" s="160"/>
      <c r="AHZ111" s="160"/>
      <c r="AIA111" s="160"/>
      <c r="AIB111" s="160"/>
      <c r="AIC111" s="160"/>
      <c r="AID111" s="160"/>
      <c r="AIE111" s="160"/>
      <c r="AIF111" s="160"/>
      <c r="AIG111" s="160"/>
      <c r="AIH111" s="160"/>
      <c r="AII111" s="160"/>
      <c r="AIJ111" s="160"/>
      <c r="AIK111" s="160"/>
      <c r="AIL111" s="160"/>
      <c r="AIM111" s="160"/>
      <c r="AIN111" s="160"/>
      <c r="AIO111" s="160"/>
      <c r="AIP111" s="160"/>
      <c r="AIQ111" s="160"/>
      <c r="AIR111" s="160"/>
      <c r="AIS111" s="160"/>
      <c r="AIT111" s="160"/>
      <c r="AIU111" s="160"/>
      <c r="AIV111" s="160"/>
      <c r="AIW111" s="160"/>
      <c r="AIX111" s="160"/>
      <c r="AIY111" s="160"/>
      <c r="AIZ111" s="160"/>
      <c r="AJA111" s="160"/>
      <c r="AJB111" s="160"/>
      <c r="AJC111" s="160"/>
      <c r="AJD111" s="160"/>
      <c r="AJE111" s="160"/>
      <c r="AJF111" s="160"/>
      <c r="AJG111" s="160"/>
      <c r="AJH111" s="160"/>
      <c r="AJI111" s="160"/>
      <c r="AJJ111" s="160"/>
      <c r="AJK111" s="160"/>
      <c r="AJL111" s="160"/>
      <c r="AJM111" s="160"/>
      <c r="AJN111" s="160"/>
      <c r="AJO111" s="160"/>
      <c r="AJP111" s="160"/>
      <c r="AJQ111" s="160"/>
      <c r="AJR111" s="160"/>
      <c r="AJS111" s="160"/>
      <c r="AJT111" s="160"/>
      <c r="AJU111" s="160"/>
      <c r="AJV111" s="160"/>
      <c r="AJW111" s="160"/>
      <c r="AJX111" s="160"/>
      <c r="AJY111" s="160"/>
      <c r="AJZ111" s="160"/>
      <c r="AKA111" s="160"/>
      <c r="AKB111" s="160"/>
      <c r="AKC111" s="160"/>
      <c r="AKD111" s="160"/>
      <c r="AKE111" s="160"/>
      <c r="AKF111" s="160"/>
      <c r="AKG111" s="160"/>
      <c r="AKH111" s="160"/>
      <c r="AKI111" s="160"/>
      <c r="AKJ111" s="160"/>
      <c r="AKK111" s="160"/>
      <c r="AKL111" s="160"/>
      <c r="AKM111" s="160"/>
      <c r="AKN111" s="160"/>
      <c r="AKO111" s="160"/>
      <c r="AKP111" s="160"/>
      <c r="AKQ111" s="160"/>
      <c r="AKR111" s="160"/>
      <c r="AKS111" s="160"/>
      <c r="AKT111" s="160"/>
      <c r="AKU111" s="160"/>
      <c r="AKV111" s="160"/>
      <c r="AKW111" s="160"/>
      <c r="AKX111" s="160"/>
      <c r="AKY111" s="160"/>
      <c r="AKZ111" s="160"/>
      <c r="ALA111" s="160"/>
      <c r="ALB111" s="160"/>
      <c r="ALC111" s="160"/>
      <c r="ALD111" s="160"/>
      <c r="ALE111" s="160"/>
      <c r="ALF111" s="160"/>
      <c r="ALG111" s="160"/>
      <c r="ALH111" s="160"/>
      <c r="ALI111" s="160"/>
      <c r="ALJ111" s="160"/>
      <c r="ALK111" s="160"/>
      <c r="ALL111" s="160"/>
      <c r="ALM111" s="160"/>
      <c r="ALN111" s="160"/>
      <c r="ALO111" s="160"/>
      <c r="ALP111" s="160"/>
      <c r="ALQ111" s="160"/>
      <c r="ALR111" s="160"/>
      <c r="ALS111" s="160"/>
      <c r="ALT111" s="160"/>
      <c r="ALU111" s="160"/>
      <c r="ALV111" s="160"/>
      <c r="ALW111" s="160"/>
      <c r="ALX111" s="160"/>
      <c r="ALY111" s="160"/>
      <c r="ALZ111" s="160"/>
      <c r="AMA111" s="160"/>
      <c r="AMB111" s="160"/>
      <c r="AMC111" s="160"/>
      <c r="AMD111" s="160"/>
      <c r="AME111" s="158"/>
    </row>
    <row r="112" spans="1:1019">
      <c r="T112" s="191"/>
      <c r="U112" s="191"/>
    </row>
    <row r="113" spans="20:21">
      <c r="T113" s="191"/>
      <c r="U113" s="191"/>
    </row>
    <row r="114" spans="20:21">
      <c r="T114" s="191"/>
      <c r="U114" s="191"/>
    </row>
  </sheetData>
  <sortState ref="A50:AME90">
    <sortCondition ref="B50:B90"/>
  </sortState>
  <printOptions horizontalCentered="1"/>
  <pageMargins left="0" right="0" top="1.3385826771653544" bottom="0.55118110236220474" header="0.9055118110236221" footer="0.31496062992125984"/>
  <pageSetup paperSize="9" scale="85" firstPageNumber="0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rightToLeft="1" topLeftCell="A4" workbookViewId="0">
      <selection activeCell="T10" sqref="T10"/>
    </sheetView>
  </sheetViews>
  <sheetFormatPr defaultRowHeight="14.25"/>
  <cols>
    <col min="1" max="1" width="9.140625" style="347"/>
    <col min="2" max="7" width="9.140625" style="274"/>
    <col min="8" max="8" width="14.28515625" style="274" customWidth="1"/>
    <col min="9" max="16384" width="9.140625" style="274"/>
  </cols>
  <sheetData>
    <row r="1" spans="1:8" ht="18.75">
      <c r="B1" s="348"/>
      <c r="C1" s="348"/>
      <c r="D1" s="348"/>
      <c r="E1" s="348"/>
      <c r="F1" s="348"/>
      <c r="G1" s="348"/>
      <c r="H1" s="348"/>
    </row>
    <row r="2" spans="1:8" ht="18.75">
      <c r="B2" s="285" t="s">
        <v>622</v>
      </c>
      <c r="H2" s="285" t="s">
        <v>623</v>
      </c>
    </row>
    <row r="3" spans="1:8" ht="15.75">
      <c r="B3" s="276"/>
    </row>
    <row r="4" spans="1:8" ht="24.95" customHeight="1">
      <c r="A4" s="349"/>
      <c r="B4" s="276" t="s">
        <v>531</v>
      </c>
      <c r="H4" s="276">
        <v>3</v>
      </c>
    </row>
    <row r="5" spans="1:8" ht="24.95" customHeight="1">
      <c r="A5" s="349"/>
      <c r="B5" s="276" t="s">
        <v>953</v>
      </c>
      <c r="H5" s="276">
        <v>4</v>
      </c>
    </row>
    <row r="6" spans="1:8" ht="24.95" customHeight="1">
      <c r="A6" s="349"/>
      <c r="B6" s="276" t="s">
        <v>413</v>
      </c>
      <c r="F6" s="276"/>
    </row>
    <row r="7" spans="1:8" ht="24.95" customHeight="1">
      <c r="A7" s="349"/>
      <c r="B7" s="276" t="s">
        <v>624</v>
      </c>
      <c r="F7" s="350"/>
      <c r="G7" s="678"/>
      <c r="H7" s="283" t="s">
        <v>1121</v>
      </c>
    </row>
    <row r="8" spans="1:8" ht="24.95" customHeight="1">
      <c r="A8" s="349"/>
      <c r="B8" s="276" t="s">
        <v>382</v>
      </c>
      <c r="F8" s="351"/>
      <c r="G8" s="678"/>
      <c r="H8" s="283" t="s">
        <v>1122</v>
      </c>
    </row>
    <row r="9" spans="1:8" ht="24.95" customHeight="1">
      <c r="A9" s="349"/>
      <c r="B9" s="276" t="s">
        <v>572</v>
      </c>
      <c r="F9" s="351"/>
      <c r="G9" s="678"/>
      <c r="H9" s="283" t="s">
        <v>625</v>
      </c>
    </row>
    <row r="10" spans="1:8" ht="24.95" customHeight="1">
      <c r="A10" s="349"/>
      <c r="B10" s="276" t="s">
        <v>469</v>
      </c>
      <c r="F10" s="352"/>
      <c r="G10" s="678"/>
      <c r="H10" s="283" t="s">
        <v>626</v>
      </c>
    </row>
    <row r="11" spans="1:8" ht="24.95" customHeight="1">
      <c r="A11" s="349"/>
      <c r="B11" s="276" t="s">
        <v>627</v>
      </c>
      <c r="F11" s="352"/>
      <c r="G11" s="678"/>
      <c r="H11" s="283" t="s">
        <v>628</v>
      </c>
    </row>
    <row r="12" spans="1:8" ht="24.95" customHeight="1">
      <c r="A12" s="349"/>
      <c r="B12" s="276" t="s">
        <v>508</v>
      </c>
      <c r="F12" s="352"/>
      <c r="G12" s="678"/>
      <c r="H12" s="283" t="s">
        <v>1123</v>
      </c>
    </row>
    <row r="13" spans="1:8" ht="24.95" customHeight="1">
      <c r="A13" s="349"/>
      <c r="B13" s="276" t="s">
        <v>509</v>
      </c>
      <c r="F13" s="352"/>
      <c r="G13" s="678"/>
      <c r="H13" s="283" t="s">
        <v>1124</v>
      </c>
    </row>
    <row r="14" spans="1:8" ht="24.95" customHeight="1">
      <c r="A14" s="349"/>
      <c r="B14" s="276" t="s">
        <v>961</v>
      </c>
      <c r="F14" s="352"/>
      <c r="G14" s="678"/>
      <c r="H14" s="283" t="s">
        <v>1125</v>
      </c>
    </row>
    <row r="15" spans="1:8" ht="24.95" customHeight="1">
      <c r="A15" s="349"/>
      <c r="B15" s="276" t="s">
        <v>489</v>
      </c>
      <c r="F15" s="352"/>
      <c r="G15" s="678"/>
      <c r="H15" s="283" t="s">
        <v>1126</v>
      </c>
    </row>
    <row r="16" spans="1:8" ht="24.95" customHeight="1">
      <c r="A16" s="349"/>
      <c r="B16" s="276" t="s">
        <v>188</v>
      </c>
      <c r="F16" s="352"/>
      <c r="G16" s="678"/>
      <c r="H16" s="283" t="s">
        <v>1127</v>
      </c>
    </row>
    <row r="17" spans="1:8" ht="24.95" customHeight="1">
      <c r="A17" s="349"/>
      <c r="B17" s="276" t="s">
        <v>962</v>
      </c>
      <c r="F17" s="351"/>
      <c r="G17" s="678"/>
      <c r="H17" s="283" t="s">
        <v>1128</v>
      </c>
    </row>
    <row r="18" spans="1:8" ht="24.95" customHeight="1">
      <c r="A18" s="349"/>
      <c r="B18" s="276" t="s">
        <v>963</v>
      </c>
      <c r="F18" s="351"/>
      <c r="G18" s="678"/>
      <c r="H18" s="283" t="s">
        <v>1129</v>
      </c>
    </row>
    <row r="19" spans="1:8" ht="24.95" customHeight="1">
      <c r="A19" s="349"/>
      <c r="B19" s="276" t="s">
        <v>629</v>
      </c>
      <c r="F19" s="351"/>
      <c r="G19" s="678"/>
      <c r="H19" s="283" t="s">
        <v>1130</v>
      </c>
    </row>
    <row r="20" spans="1:8" ht="24.95" customHeight="1">
      <c r="A20" s="349"/>
      <c r="B20" s="276" t="s">
        <v>630</v>
      </c>
      <c r="F20" s="351"/>
      <c r="G20" s="678"/>
      <c r="H20" s="283" t="s">
        <v>1131</v>
      </c>
    </row>
    <row r="21" spans="1:8" ht="24.95" customHeight="1">
      <c r="A21" s="349"/>
      <c r="B21" s="276" t="s">
        <v>227</v>
      </c>
      <c r="F21" s="351"/>
      <c r="G21" s="678"/>
      <c r="H21" s="283" t="s">
        <v>1132</v>
      </c>
    </row>
    <row r="22" spans="1:8" ht="24.95" customHeight="1">
      <c r="A22" s="349"/>
      <c r="B22" s="276" t="s">
        <v>954</v>
      </c>
      <c r="H22" s="283" t="s">
        <v>1133</v>
      </c>
    </row>
    <row r="23" spans="1:8" ht="24.95" customHeight="1">
      <c r="A23" s="349"/>
      <c r="B23" s="276" t="s">
        <v>599</v>
      </c>
      <c r="H23" s="283" t="s">
        <v>1134</v>
      </c>
    </row>
    <row r="24" spans="1:8" ht="15.75">
      <c r="A24" s="34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7"/>
  <sheetViews>
    <sheetView rightToLeft="1" topLeftCell="A6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2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2" spans="1:17" ht="20.25">
      <c r="A2" s="708"/>
      <c r="C2" s="710" t="s">
        <v>462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1:17" ht="21" thickBot="1">
      <c r="A3" s="708"/>
      <c r="C3" s="710"/>
      <c r="D3" s="708"/>
      <c r="E3" s="708"/>
      <c r="F3" s="708"/>
      <c r="G3" s="708"/>
      <c r="H3" s="708"/>
      <c r="I3" s="708"/>
      <c r="J3" s="708"/>
      <c r="K3" s="708"/>
      <c r="L3" s="708"/>
    </row>
    <row r="4" spans="1:17" ht="16.5" thickBot="1">
      <c r="A4" s="708"/>
      <c r="B4" s="711" t="s">
        <v>455</v>
      </c>
      <c r="C4" s="708" t="s">
        <v>993</v>
      </c>
      <c r="D4" s="708"/>
      <c r="E4" s="708"/>
      <c r="F4" s="712">
        <f>'החברה לפיתוח'!U119</f>
        <v>396380568</v>
      </c>
      <c r="I4" s="708"/>
      <c r="J4" s="708"/>
      <c r="K4" s="708"/>
      <c r="L4" s="708"/>
    </row>
    <row r="5" spans="1:17" ht="21" thickBot="1">
      <c r="A5" s="708"/>
      <c r="C5" s="710"/>
      <c r="D5" s="708"/>
      <c r="E5" s="708"/>
      <c r="F5" s="708"/>
      <c r="H5" s="708"/>
      <c r="I5" s="708"/>
      <c r="J5" s="708"/>
      <c r="K5" s="708"/>
      <c r="L5" s="708"/>
    </row>
    <row r="6" spans="1:17" ht="16.5" thickBot="1">
      <c r="B6" s="711" t="s">
        <v>455</v>
      </c>
      <c r="C6" s="708" t="s">
        <v>986</v>
      </c>
      <c r="D6" s="708"/>
      <c r="F6" s="736">
        <f>'החברה לפיתוח'!A119</f>
        <v>108</v>
      </c>
      <c r="I6" s="708"/>
      <c r="J6" s="708"/>
      <c r="K6" s="708"/>
      <c r="L6" s="708"/>
      <c r="M6" s="708"/>
      <c r="N6" s="708"/>
      <c r="O6" s="708"/>
      <c r="P6" s="708"/>
      <c r="Q6" s="708"/>
    </row>
    <row r="7" spans="1:17" ht="15.75">
      <c r="B7" s="711"/>
      <c r="C7" s="708"/>
      <c r="D7" s="708"/>
      <c r="E7" s="708"/>
      <c r="F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 t="s">
        <v>455</v>
      </c>
      <c r="C8" s="708" t="s">
        <v>972</v>
      </c>
      <c r="D8" s="708"/>
      <c r="E8" s="708"/>
      <c r="F8" s="708"/>
      <c r="G8" s="708"/>
      <c r="H8" s="708"/>
      <c r="I8" s="708"/>
      <c r="J8" s="708"/>
      <c r="K8" s="708"/>
      <c r="L8" s="708"/>
    </row>
    <row r="9" spans="1:17" ht="16.5" thickBot="1">
      <c r="B9" s="708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D10" s="737" t="s">
        <v>973</v>
      </c>
      <c r="E10" s="738" t="s">
        <v>974</v>
      </c>
      <c r="F10" s="739" t="s">
        <v>987</v>
      </c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C11" s="711"/>
      <c r="D11" s="715" t="s">
        <v>13</v>
      </c>
      <c r="E11" s="740">
        <f>'החברה לפיתוח'!V119</f>
        <v>158809940.93023255</v>
      </c>
      <c r="F11" s="749">
        <f>E11/$E$15</f>
        <v>0.40065016741747178</v>
      </c>
      <c r="G11" s="708"/>
      <c r="H11" s="708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C12" s="711"/>
      <c r="D12" s="715" t="s">
        <v>15</v>
      </c>
      <c r="E12" s="740">
        <f>'החברה לפיתוח'!X119</f>
        <v>1250000</v>
      </c>
      <c r="F12" s="749">
        <f>E12/$E$15</f>
        <v>3.1535350138556743E-3</v>
      </c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C13" s="711"/>
      <c r="D13" s="715" t="s">
        <v>994</v>
      </c>
      <c r="E13" s="740">
        <f>'החברה לפיתוח'!Y119</f>
        <v>48962500</v>
      </c>
      <c r="F13" s="749">
        <f>E13/$E$15</f>
        <v>0.12352396649272676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5" t="s">
        <v>184</v>
      </c>
      <c r="E14" s="740">
        <f>'החברה לפיתוח'!Z119</f>
        <v>187358127.06976745</v>
      </c>
      <c r="F14" s="749">
        <f>E14/$E$15</f>
        <v>0.47267233107594581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6.5" thickBot="1">
      <c r="C15" s="711"/>
      <c r="D15" s="718" t="s">
        <v>208</v>
      </c>
      <c r="E15" s="742">
        <f>SUM(E11:E14)</f>
        <v>396380568</v>
      </c>
      <c r="F15" s="743">
        <f>SUM(F11:F14)</f>
        <v>1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/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B17" s="711"/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7"/>
  <sheetViews>
    <sheetView rightToLeft="1" topLeftCell="A5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2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2" spans="1:17" ht="20.25">
      <c r="A2" s="708"/>
      <c r="C2" s="710" t="s">
        <v>462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1:17" ht="20.25">
      <c r="A3" s="708"/>
      <c r="C3" s="710"/>
      <c r="D3" s="708"/>
      <c r="E3" s="708"/>
      <c r="F3" s="708"/>
      <c r="G3" s="708"/>
      <c r="H3" s="708"/>
      <c r="I3" s="708"/>
      <c r="J3" s="708"/>
      <c r="K3" s="708"/>
      <c r="L3" s="708"/>
    </row>
    <row r="4" spans="1:17" ht="15.75">
      <c r="B4" s="711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  <c r="O4" s="708"/>
      <c r="P4" s="708"/>
      <c r="Q4" s="708"/>
    </row>
    <row r="5" spans="1:17" ht="15.75">
      <c r="B5" s="711" t="s">
        <v>455</v>
      </c>
      <c r="C5" s="708" t="s">
        <v>995</v>
      </c>
      <c r="D5" s="708"/>
      <c r="E5" s="708"/>
      <c r="F5" s="708"/>
      <c r="H5" s="717"/>
      <c r="I5" s="708"/>
      <c r="J5" s="708"/>
      <c r="K5" s="708"/>
      <c r="L5" s="708"/>
      <c r="M5" s="708"/>
      <c r="N5" s="708"/>
      <c r="O5" s="708"/>
      <c r="P5" s="708"/>
      <c r="Q5" s="708"/>
    </row>
    <row r="6" spans="1:17" ht="16.5" thickBot="1">
      <c r="C6" s="708"/>
      <c r="D6" s="708"/>
      <c r="E6" s="708"/>
      <c r="F6" s="708"/>
      <c r="H6" s="708"/>
      <c r="I6" s="708"/>
      <c r="J6" s="708"/>
      <c r="K6" s="708"/>
      <c r="L6" s="708"/>
    </row>
    <row r="7" spans="1:17" ht="15.75">
      <c r="D7" s="737" t="s">
        <v>988</v>
      </c>
      <c r="E7" s="713" t="s">
        <v>974</v>
      </c>
      <c r="F7" s="714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C8" s="711"/>
      <c r="D8" s="715" t="s">
        <v>989</v>
      </c>
      <c r="E8" s="744">
        <f>'החברה לפיתוח'!U117</f>
        <v>181006624</v>
      </c>
      <c r="F8" s="717"/>
      <c r="G8" s="708"/>
      <c r="H8" s="708"/>
      <c r="I8" s="708"/>
      <c r="J8" s="708"/>
      <c r="K8" s="708"/>
      <c r="L8" s="708"/>
      <c r="M8" s="708"/>
      <c r="N8" s="708"/>
      <c r="O8" s="708"/>
      <c r="P8" s="708"/>
      <c r="Q8" s="708"/>
    </row>
    <row r="9" spans="1:17" ht="15.75">
      <c r="C9" s="711"/>
      <c r="D9" s="715" t="s">
        <v>990</v>
      </c>
      <c r="E9" s="744">
        <f>'החברה לפיתוח'!U94</f>
        <v>215373944</v>
      </c>
      <c r="F9" s="717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C10" s="711"/>
      <c r="D10" s="715" t="s">
        <v>991</v>
      </c>
      <c r="E10" s="744"/>
      <c r="F10" s="717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C11" s="711"/>
      <c r="D11" s="715" t="s">
        <v>992</v>
      </c>
      <c r="E11" s="716">
        <f>'החברה לפיתוח'!U6</f>
        <v>10000000</v>
      </c>
      <c r="G11" s="708"/>
      <c r="H11" s="708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C12" s="711"/>
      <c r="D12" s="715" t="s">
        <v>1069</v>
      </c>
      <c r="E12" s="716">
        <f>'החברה לפיתוח'!U9</f>
        <v>5000000</v>
      </c>
      <c r="F12" s="717"/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C13" s="711"/>
      <c r="D13" s="715" t="s">
        <v>1068</v>
      </c>
      <c r="E13" s="716">
        <f>'החברה לפיתוח'!U10</f>
        <v>10000000</v>
      </c>
      <c r="F13" s="717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5" t="s">
        <v>171</v>
      </c>
      <c r="E14" s="716">
        <f>'החברה לפיתוח'!U14</f>
        <v>14000000</v>
      </c>
      <c r="F14" s="717"/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175</v>
      </c>
      <c r="E15" s="716">
        <f>'החברה לפיתוח'!U21</f>
        <v>14200000</v>
      </c>
      <c r="F15" s="717"/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52</v>
      </c>
      <c r="E16" s="716">
        <f>'החברה לפיתוח'!U27</f>
        <v>5059932</v>
      </c>
      <c r="F16" s="717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C17" s="711"/>
      <c r="D17" s="715" t="s">
        <v>36</v>
      </c>
      <c r="E17" s="716">
        <f>'החברה לפיתוח'!U30</f>
        <v>5000000</v>
      </c>
      <c r="F17" s="717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C18" s="711"/>
      <c r="D18" s="715" t="s">
        <v>1061</v>
      </c>
      <c r="E18" s="716">
        <f>'החברה לפיתוח'!U31</f>
        <v>5700000</v>
      </c>
      <c r="F18" s="717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C19" s="711"/>
      <c r="D19" s="715" t="s">
        <v>1070</v>
      </c>
      <c r="E19" s="716">
        <f>'החברה לפיתוח'!U32</f>
        <v>7000000</v>
      </c>
      <c r="F19" s="717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C20" s="711"/>
      <c r="D20" s="715" t="s">
        <v>1071</v>
      </c>
      <c r="E20" s="716">
        <f>'החברה לפיתוח'!U40</f>
        <v>9570387</v>
      </c>
      <c r="F20" s="717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C21" s="711"/>
      <c r="D21" s="715" t="s">
        <v>1063</v>
      </c>
      <c r="E21" s="716">
        <f>'החברה לפיתוח'!U55</f>
        <v>7000000</v>
      </c>
      <c r="F21" s="717"/>
      <c r="G21" s="708"/>
      <c r="H21" s="708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C22" s="711"/>
      <c r="D22" s="715" t="s">
        <v>1072</v>
      </c>
      <c r="E22" s="716">
        <f>'החברה לפיתוח'!U56</f>
        <v>21300830</v>
      </c>
      <c r="F22" s="717"/>
      <c r="G22" s="708"/>
      <c r="H22" s="708"/>
      <c r="I22" s="708"/>
      <c r="J22" s="708"/>
      <c r="K22" s="708"/>
      <c r="L22" s="708"/>
      <c r="M22" s="708"/>
      <c r="N22" s="708"/>
      <c r="O22" s="708"/>
      <c r="P22" s="708"/>
      <c r="Q22" s="708"/>
    </row>
    <row r="23" spans="2:17" ht="15.75">
      <c r="C23" s="711"/>
      <c r="D23" s="715" t="s">
        <v>699</v>
      </c>
      <c r="E23" s="716">
        <f>'החברה לפיתוח'!U57</f>
        <v>14400000</v>
      </c>
      <c r="F23" s="717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2:17" ht="15.75">
      <c r="D24" s="715" t="s">
        <v>1074</v>
      </c>
      <c r="E24" s="716">
        <f>'החברה לפיתוח'!U59</f>
        <v>8500000</v>
      </c>
    </row>
    <row r="25" spans="2:17" ht="15.75">
      <c r="D25" s="715" t="s">
        <v>403</v>
      </c>
      <c r="E25" s="716">
        <f>'החברה לפיתוח'!U79</f>
        <v>15000000</v>
      </c>
    </row>
    <row r="26" spans="2:17" ht="15.75">
      <c r="D26" s="715" t="s">
        <v>1075</v>
      </c>
      <c r="E26" s="716">
        <f>'החברה לפיתוח'!U82</f>
        <v>5500000</v>
      </c>
    </row>
    <row r="27" spans="2:17" ht="16.5" thickBot="1">
      <c r="B27" s="711"/>
      <c r="C27" s="708"/>
      <c r="D27" s="747" t="s">
        <v>1146</v>
      </c>
      <c r="E27" s="748">
        <f>'החברה לפיתוח'!U83</f>
        <v>7340000</v>
      </c>
      <c r="F27" s="708"/>
      <c r="G27" s="708"/>
      <c r="H27" s="708"/>
      <c r="I27" s="708"/>
      <c r="J27" s="708"/>
      <c r="K27" s="708"/>
      <c r="L27" s="708"/>
      <c r="M27" s="708"/>
      <c r="N27" s="708"/>
      <c r="O27" s="708"/>
      <c r="P27" s="708"/>
      <c r="Q27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158"/>
  <sheetViews>
    <sheetView showZeros="0" rightToLeft="1" tabSelected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D5" sqref="D5"/>
    </sheetView>
  </sheetViews>
  <sheetFormatPr defaultColWidth="9.140625" defaultRowHeight="15"/>
  <cols>
    <col min="1" max="1" width="4" style="80" customWidth="1"/>
    <col min="2" max="2" width="5" style="11" customWidth="1"/>
    <col min="3" max="3" width="29.42578125" style="11" customWidth="1"/>
    <col min="4" max="4" width="12.7109375" style="47" customWidth="1"/>
    <col min="5" max="5" width="12.42578125" style="47" customWidth="1"/>
    <col min="6" max="6" width="11.140625" style="47" customWidth="1"/>
    <col min="7" max="7" width="14" style="47" hidden="1" customWidth="1"/>
    <col min="8" max="8" width="12" style="47" hidden="1" customWidth="1"/>
    <col min="9" max="9" width="9.140625" style="47" hidden="1" customWidth="1"/>
    <col min="10" max="10" width="11.7109375" style="47" hidden="1" customWidth="1"/>
    <col min="11" max="11" width="11.28515625" style="47" hidden="1" customWidth="1"/>
    <col min="12" max="14" width="11.140625" style="47" customWidth="1"/>
    <col min="15" max="15" width="11" style="47" customWidth="1"/>
    <col min="16" max="16" width="11.140625" style="47" hidden="1" customWidth="1"/>
    <col min="17" max="18" width="11.5703125" style="47" hidden="1" customWidth="1"/>
    <col min="19" max="19" width="12" style="47" hidden="1" customWidth="1"/>
    <col min="20" max="20" width="9" style="47" customWidth="1"/>
    <col min="21" max="22" width="11.140625" style="11" customWidth="1"/>
    <col min="23" max="23" width="6.7109375" style="11" hidden="1" customWidth="1"/>
    <col min="24" max="24" width="8.85546875" style="11" customWidth="1"/>
    <col min="25" max="25" width="10.28515625" style="11" customWidth="1"/>
    <col min="26" max="26" width="11.140625" style="11" customWidth="1"/>
    <col min="27" max="27" width="12" style="11" hidden="1" customWidth="1"/>
    <col min="28" max="29" width="31.140625" style="11" customWidth="1"/>
    <col min="30" max="30" width="10.140625" style="11" bestFit="1" customWidth="1"/>
    <col min="31" max="16384" width="9.140625" style="11"/>
  </cols>
  <sheetData>
    <row r="2" spans="1:27" s="73" customFormat="1" ht="18.75">
      <c r="A2" s="669" t="s">
        <v>462</v>
      </c>
      <c r="B2" s="630"/>
      <c r="C2" s="630"/>
      <c r="D2" s="630"/>
      <c r="E2" s="650"/>
      <c r="F2" s="630"/>
      <c r="G2" s="65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</row>
    <row r="3" spans="1:27">
      <c r="D3" s="640"/>
      <c r="U3" s="642"/>
      <c r="Z3" s="47"/>
    </row>
    <row r="4" spans="1:27" s="74" customFormat="1" ht="86.25" customHeight="1">
      <c r="A4" s="32" t="s">
        <v>0</v>
      </c>
      <c r="B4" s="32" t="s">
        <v>1</v>
      </c>
      <c r="C4" s="32" t="s">
        <v>2</v>
      </c>
      <c r="D4" s="32" t="s">
        <v>3</v>
      </c>
      <c r="E4" s="32" t="s">
        <v>4</v>
      </c>
      <c r="F4" s="32" t="s">
        <v>5</v>
      </c>
      <c r="G4" s="32" t="s">
        <v>6</v>
      </c>
      <c r="H4" s="32" t="s">
        <v>7</v>
      </c>
      <c r="I4" s="32" t="s">
        <v>9</v>
      </c>
      <c r="J4" s="32" t="s">
        <v>423</v>
      </c>
      <c r="K4" s="32" t="s">
        <v>10</v>
      </c>
      <c r="L4" s="32" t="s">
        <v>11</v>
      </c>
      <c r="M4" s="21" t="s">
        <v>414</v>
      </c>
      <c r="N4" s="32" t="s">
        <v>415</v>
      </c>
      <c r="O4" s="32" t="s">
        <v>416</v>
      </c>
      <c r="P4" s="32" t="s">
        <v>12</v>
      </c>
      <c r="Q4" s="32" t="s">
        <v>424</v>
      </c>
      <c r="R4" s="32" t="s">
        <v>425</v>
      </c>
      <c r="S4" s="32" t="s">
        <v>419</v>
      </c>
      <c r="T4" s="32" t="s">
        <v>420</v>
      </c>
      <c r="U4" s="32" t="s">
        <v>421</v>
      </c>
      <c r="V4" s="32" t="s">
        <v>13</v>
      </c>
      <c r="W4" s="32" t="s">
        <v>14</v>
      </c>
      <c r="X4" s="32" t="s">
        <v>15</v>
      </c>
      <c r="Y4" s="32" t="s">
        <v>914</v>
      </c>
      <c r="Z4" s="32" t="s">
        <v>184</v>
      </c>
      <c r="AA4" s="661" t="s">
        <v>16</v>
      </c>
    </row>
    <row r="5" spans="1:27" s="3" customFormat="1">
      <c r="A5" s="1"/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1"/>
      <c r="AA5" s="155"/>
    </row>
    <row r="6" spans="1:27" s="3" customFormat="1">
      <c r="A6" s="1">
        <f>A5+1</f>
        <v>1</v>
      </c>
      <c r="B6" s="1">
        <v>382</v>
      </c>
      <c r="C6" s="1" t="s">
        <v>163</v>
      </c>
      <c r="D6" s="2">
        <f>45781930+3800000</f>
        <v>49581930</v>
      </c>
      <c r="E6" s="2">
        <v>45781930</v>
      </c>
      <c r="F6" s="2">
        <f t="shared" ref="F6:F67" si="0">D6-E6</f>
        <v>3800000</v>
      </c>
      <c r="G6" s="2">
        <v>36881330</v>
      </c>
      <c r="H6" s="2">
        <v>31771988.18</v>
      </c>
      <c r="I6" s="2"/>
      <c r="J6" s="2">
        <v>492304.91</v>
      </c>
      <c r="K6" s="2">
        <f t="shared" ref="K6:K67" si="1">SUM(I6:J6)</f>
        <v>492304.91</v>
      </c>
      <c r="L6" s="2">
        <f t="shared" ref="L6:L17" si="2">K6+H6</f>
        <v>32264293.09</v>
      </c>
      <c r="M6" s="2">
        <f t="shared" ref="M6:M17" si="3">P6+S6</f>
        <v>4617036.91</v>
      </c>
      <c r="N6" s="2">
        <f>8900600+3800000-2700600</f>
        <v>10000000</v>
      </c>
      <c r="O6" s="2">
        <f>D6-L6-M6-N6</f>
        <v>2700600</v>
      </c>
      <c r="P6" s="2">
        <f>G6-L6</f>
        <v>4617036.91</v>
      </c>
      <c r="Q6" s="2"/>
      <c r="R6" s="2"/>
      <c r="S6" s="2">
        <f>SUM(Q6:R6)</f>
        <v>0</v>
      </c>
      <c r="T6" s="2">
        <f>P6-M6+S6</f>
        <v>0</v>
      </c>
      <c r="U6" s="2">
        <f>N6-T6</f>
        <v>10000000</v>
      </c>
      <c r="V6" s="2">
        <f>U6-X6-Y6-Z6</f>
        <v>10000000</v>
      </c>
      <c r="W6" s="2"/>
      <c r="X6" s="2"/>
      <c r="Y6" s="2"/>
      <c r="Z6" s="1"/>
      <c r="AA6" s="94">
        <v>742000</v>
      </c>
    </row>
    <row r="7" spans="1:27" s="3" customFormat="1">
      <c r="A7" s="1">
        <f>A6+1</f>
        <v>2</v>
      </c>
      <c r="B7" s="1">
        <v>437</v>
      </c>
      <c r="C7" s="1" t="s">
        <v>164</v>
      </c>
      <c r="D7" s="2">
        <v>11000000</v>
      </c>
      <c r="E7" s="2">
        <v>11000000</v>
      </c>
      <c r="F7" s="2">
        <f t="shared" si="0"/>
        <v>0</v>
      </c>
      <c r="G7" s="2">
        <v>11000000</v>
      </c>
      <c r="H7" s="2">
        <v>9417219.4100000001</v>
      </c>
      <c r="I7" s="2"/>
      <c r="J7" s="2">
        <v>1582779.12</v>
      </c>
      <c r="K7" s="2">
        <f t="shared" si="1"/>
        <v>1582779.12</v>
      </c>
      <c r="L7" s="2">
        <f t="shared" si="2"/>
        <v>10999998.530000001</v>
      </c>
      <c r="M7" s="2">
        <f t="shared" si="3"/>
        <v>1.4699999988079071</v>
      </c>
      <c r="N7" s="2"/>
      <c r="O7" s="2">
        <f t="shared" ref="O7:O68" si="4">D7-L7-M7-N7</f>
        <v>0</v>
      </c>
      <c r="P7" s="2">
        <f t="shared" ref="P7:P68" si="5">G7-L7</f>
        <v>1.4699999988079071</v>
      </c>
      <c r="Q7" s="2"/>
      <c r="R7" s="2"/>
      <c r="S7" s="2">
        <f t="shared" ref="S7:S18" si="6">SUM(Q7:R7)</f>
        <v>0</v>
      </c>
      <c r="T7" s="2">
        <f t="shared" ref="T7:T18" si="7">P7-M7+S7</f>
        <v>0</v>
      </c>
      <c r="U7" s="2">
        <f t="shared" ref="U7:U17" si="8">N7-T7</f>
        <v>0</v>
      </c>
      <c r="V7" s="2">
        <f t="shared" ref="V7:V18" si="9">U7-X7-Y7-Z7</f>
        <v>0</v>
      </c>
      <c r="W7" s="2"/>
      <c r="X7" s="2"/>
      <c r="Y7" s="2"/>
      <c r="Z7" s="1"/>
      <c r="AA7" s="94">
        <v>742000</v>
      </c>
    </row>
    <row r="8" spans="1:27" s="7" customFormat="1">
      <c r="A8" s="1">
        <f t="shared" ref="A8:A70" si="10">A7+1</f>
        <v>3</v>
      </c>
      <c r="B8" s="1">
        <v>439</v>
      </c>
      <c r="C8" s="1" t="s">
        <v>165</v>
      </c>
      <c r="D8" s="2">
        <v>17090803</v>
      </c>
      <c r="E8" s="2">
        <v>17090803</v>
      </c>
      <c r="F8" s="2">
        <f t="shared" si="0"/>
        <v>0</v>
      </c>
      <c r="G8" s="2">
        <v>17090803</v>
      </c>
      <c r="H8" s="2">
        <v>16323383</v>
      </c>
      <c r="I8" s="2"/>
      <c r="J8" s="2">
        <v>67420.12</v>
      </c>
      <c r="K8" s="2">
        <f t="shared" si="1"/>
        <v>67420.12</v>
      </c>
      <c r="L8" s="2">
        <f t="shared" si="2"/>
        <v>16390803.119999999</v>
      </c>
      <c r="M8" s="2">
        <f t="shared" si="3"/>
        <v>699999.88000000082</v>
      </c>
      <c r="N8" s="2"/>
      <c r="O8" s="2">
        <f t="shared" si="4"/>
        <v>0</v>
      </c>
      <c r="P8" s="2">
        <f t="shared" si="5"/>
        <v>699999.88000000082</v>
      </c>
      <c r="Q8" s="2"/>
      <c r="R8" s="2"/>
      <c r="S8" s="2">
        <f t="shared" si="6"/>
        <v>0</v>
      </c>
      <c r="T8" s="2">
        <f t="shared" si="7"/>
        <v>0</v>
      </c>
      <c r="U8" s="2">
        <f t="shared" si="8"/>
        <v>0</v>
      </c>
      <c r="V8" s="2">
        <f t="shared" si="9"/>
        <v>0</v>
      </c>
      <c r="W8" s="2"/>
      <c r="X8" s="2"/>
      <c r="Y8" s="2"/>
      <c r="Z8" s="1"/>
      <c r="AA8" s="94">
        <v>742000</v>
      </c>
    </row>
    <row r="9" spans="1:27" s="7" customFormat="1">
      <c r="A9" s="1">
        <f t="shared" si="10"/>
        <v>4</v>
      </c>
      <c r="B9" s="1">
        <v>532</v>
      </c>
      <c r="C9" s="1" t="s">
        <v>166</v>
      </c>
      <c r="D9" s="2">
        <v>80090000</v>
      </c>
      <c r="E9" s="2">
        <v>80090000</v>
      </c>
      <c r="F9" s="2">
        <f t="shared" si="0"/>
        <v>0</v>
      </c>
      <c r="G9" s="2">
        <f>68690000+6400000</f>
        <v>75090000</v>
      </c>
      <c r="H9" s="2">
        <v>58868690.310000002</v>
      </c>
      <c r="I9" s="2"/>
      <c r="J9" s="2">
        <v>765919.28</v>
      </c>
      <c r="K9" s="2">
        <f t="shared" si="1"/>
        <v>765919.28</v>
      </c>
      <c r="L9" s="2">
        <f t="shared" si="2"/>
        <v>59634609.590000004</v>
      </c>
      <c r="M9" s="2">
        <f t="shared" si="3"/>
        <v>15455390.409999996</v>
      </c>
      <c r="N9" s="2">
        <v>5000000</v>
      </c>
      <c r="O9" s="2">
        <f t="shared" si="4"/>
        <v>0</v>
      </c>
      <c r="P9" s="2">
        <f t="shared" si="5"/>
        <v>15455390.409999996</v>
      </c>
      <c r="Q9" s="2"/>
      <c r="R9" s="2"/>
      <c r="S9" s="2">
        <f t="shared" si="6"/>
        <v>0</v>
      </c>
      <c r="T9" s="2">
        <f t="shared" si="7"/>
        <v>0</v>
      </c>
      <c r="U9" s="2">
        <f t="shared" si="8"/>
        <v>5000000</v>
      </c>
      <c r="V9" s="2">
        <f t="shared" si="9"/>
        <v>5000000</v>
      </c>
      <c r="W9" s="2"/>
      <c r="X9" s="2"/>
      <c r="Y9" s="2"/>
      <c r="Z9" s="1"/>
      <c r="AA9" s="94">
        <v>742000</v>
      </c>
    </row>
    <row r="10" spans="1:27" s="7" customFormat="1">
      <c r="A10" s="1">
        <f t="shared" si="10"/>
        <v>5</v>
      </c>
      <c r="B10" s="1">
        <v>576</v>
      </c>
      <c r="C10" s="1" t="s">
        <v>167</v>
      </c>
      <c r="D10" s="2">
        <v>55113000</v>
      </c>
      <c r="E10" s="2">
        <f>45113000+10000000</f>
        <v>55113000</v>
      </c>
      <c r="F10" s="2">
        <f t="shared" si="0"/>
        <v>0</v>
      </c>
      <c r="G10" s="2">
        <v>45113000</v>
      </c>
      <c r="H10" s="2">
        <v>42336585.600000001</v>
      </c>
      <c r="I10" s="2"/>
      <c r="J10" s="2">
        <v>1464266.78</v>
      </c>
      <c r="K10" s="2">
        <f t="shared" si="1"/>
        <v>1464266.78</v>
      </c>
      <c r="L10" s="2">
        <f t="shared" si="2"/>
        <v>43800852.380000003</v>
      </c>
      <c r="M10" s="2">
        <f t="shared" si="3"/>
        <v>112147.61999999732</v>
      </c>
      <c r="N10" s="2">
        <f>5000000+5000000</f>
        <v>10000000</v>
      </c>
      <c r="O10" s="2">
        <f t="shared" si="4"/>
        <v>1200000</v>
      </c>
      <c r="P10" s="2">
        <f t="shared" si="5"/>
        <v>1312147.6199999973</v>
      </c>
      <c r="Q10" s="2">
        <f>1200000-1200000</f>
        <v>0</v>
      </c>
      <c r="R10" s="151">
        <f>2800000+6000000-1200000-8800000</f>
        <v>-1200000</v>
      </c>
      <c r="S10" s="2">
        <f t="shared" si="6"/>
        <v>-1200000</v>
      </c>
      <c r="T10" s="2">
        <f t="shared" si="7"/>
        <v>0</v>
      </c>
      <c r="U10" s="2">
        <f t="shared" si="8"/>
        <v>10000000</v>
      </c>
      <c r="V10" s="2">
        <f t="shared" si="9"/>
        <v>5000000</v>
      </c>
      <c r="W10" s="2"/>
      <c r="X10" s="2"/>
      <c r="Y10" s="2"/>
      <c r="Z10" s="2">
        <f>4000000+1000000</f>
        <v>5000000</v>
      </c>
      <c r="AA10" s="94">
        <v>760000</v>
      </c>
    </row>
    <row r="11" spans="1:27" s="7" customFormat="1">
      <c r="A11" s="1">
        <f t="shared" si="10"/>
        <v>6</v>
      </c>
      <c r="B11" s="1">
        <v>634</v>
      </c>
      <c r="C11" s="1" t="s">
        <v>168</v>
      </c>
      <c r="D11" s="2">
        <v>57250000</v>
      </c>
      <c r="E11" s="2">
        <v>57250000</v>
      </c>
      <c r="F11" s="2">
        <f t="shared" si="0"/>
        <v>0</v>
      </c>
      <c r="G11" s="2">
        <v>57250000</v>
      </c>
      <c r="H11" s="2">
        <v>54492773.850000001</v>
      </c>
      <c r="I11" s="2"/>
      <c r="J11" s="2">
        <v>1810217.45</v>
      </c>
      <c r="K11" s="2">
        <f t="shared" si="1"/>
        <v>1810217.45</v>
      </c>
      <c r="L11" s="2">
        <f t="shared" si="2"/>
        <v>56302991.300000004</v>
      </c>
      <c r="M11" s="2">
        <f t="shared" si="3"/>
        <v>947008.69999999553</v>
      </c>
      <c r="N11" s="2"/>
      <c r="O11" s="2">
        <f t="shared" si="4"/>
        <v>0</v>
      </c>
      <c r="P11" s="2">
        <f t="shared" si="5"/>
        <v>947008.69999999553</v>
      </c>
      <c r="Q11" s="2"/>
      <c r="R11" s="2"/>
      <c r="S11" s="2">
        <f t="shared" si="6"/>
        <v>0</v>
      </c>
      <c r="T11" s="2">
        <f t="shared" si="7"/>
        <v>0</v>
      </c>
      <c r="U11" s="2">
        <f t="shared" si="8"/>
        <v>0</v>
      </c>
      <c r="V11" s="2">
        <f t="shared" si="9"/>
        <v>0</v>
      </c>
      <c r="W11" s="2"/>
      <c r="X11" s="2"/>
      <c r="Y11" s="2"/>
      <c r="Z11" s="1"/>
      <c r="AA11" s="94">
        <v>732000</v>
      </c>
    </row>
    <row r="12" spans="1:27" s="7" customFormat="1">
      <c r="A12" s="1">
        <f t="shared" si="10"/>
        <v>7</v>
      </c>
      <c r="B12" s="1">
        <v>642</v>
      </c>
      <c r="C12" s="1" t="s">
        <v>169</v>
      </c>
      <c r="D12" s="2">
        <v>15780000</v>
      </c>
      <c r="E12" s="2">
        <v>15780000</v>
      </c>
      <c r="F12" s="2">
        <f t="shared" si="0"/>
        <v>0</v>
      </c>
      <c r="G12" s="2">
        <v>15780000</v>
      </c>
      <c r="H12" s="2">
        <v>15562441.880000001</v>
      </c>
      <c r="I12" s="2"/>
      <c r="J12" s="2">
        <v>120227.98</v>
      </c>
      <c r="K12" s="2">
        <f t="shared" si="1"/>
        <v>120227.98</v>
      </c>
      <c r="L12" s="2">
        <f t="shared" si="2"/>
        <v>15682669.860000001</v>
      </c>
      <c r="M12" s="2">
        <f t="shared" si="3"/>
        <v>97330.139999998733</v>
      </c>
      <c r="N12" s="2"/>
      <c r="O12" s="2">
        <f t="shared" si="4"/>
        <v>0</v>
      </c>
      <c r="P12" s="2">
        <f t="shared" si="5"/>
        <v>97330.139999998733</v>
      </c>
      <c r="Q12" s="2"/>
      <c r="R12" s="2"/>
      <c r="S12" s="2">
        <f t="shared" si="6"/>
        <v>0</v>
      </c>
      <c r="T12" s="2">
        <f t="shared" si="7"/>
        <v>0</v>
      </c>
      <c r="U12" s="2">
        <f t="shared" si="8"/>
        <v>0</v>
      </c>
      <c r="V12" s="2">
        <f t="shared" si="9"/>
        <v>0</v>
      </c>
      <c r="W12" s="2"/>
      <c r="X12" s="2"/>
      <c r="Y12" s="2"/>
      <c r="Z12" s="1"/>
      <c r="AA12" s="94">
        <v>742000</v>
      </c>
    </row>
    <row r="13" spans="1:27" s="3" customFormat="1">
      <c r="A13" s="1">
        <f t="shared" si="10"/>
        <v>8</v>
      </c>
      <c r="B13" s="1">
        <v>1067</v>
      </c>
      <c r="C13" s="1" t="s">
        <v>170</v>
      </c>
      <c r="D13" s="2">
        <f>3575000+150000</f>
        <v>3725000</v>
      </c>
      <c r="E13" s="2">
        <v>3575000</v>
      </c>
      <c r="F13" s="2">
        <f t="shared" si="0"/>
        <v>150000</v>
      </c>
      <c r="G13" s="2">
        <f>3075000+500000</f>
        <v>3575000</v>
      </c>
      <c r="H13" s="2">
        <v>2460319.44</v>
      </c>
      <c r="I13" s="2"/>
      <c r="J13" s="2">
        <v>128997.98</v>
      </c>
      <c r="K13" s="2">
        <f t="shared" si="1"/>
        <v>128997.98</v>
      </c>
      <c r="L13" s="2">
        <f t="shared" si="2"/>
        <v>2589317.42</v>
      </c>
      <c r="M13" s="2">
        <f t="shared" si="3"/>
        <v>985682.58000000007</v>
      </c>
      <c r="N13" s="2">
        <v>150000</v>
      </c>
      <c r="O13" s="2">
        <f t="shared" si="4"/>
        <v>0</v>
      </c>
      <c r="P13" s="2">
        <f t="shared" si="5"/>
        <v>985682.58000000007</v>
      </c>
      <c r="Q13" s="2"/>
      <c r="R13" s="2"/>
      <c r="S13" s="2">
        <f t="shared" si="6"/>
        <v>0</v>
      </c>
      <c r="T13" s="2">
        <f t="shared" si="7"/>
        <v>0</v>
      </c>
      <c r="U13" s="2">
        <f t="shared" si="8"/>
        <v>150000</v>
      </c>
      <c r="V13" s="2">
        <f t="shared" si="9"/>
        <v>150000</v>
      </c>
      <c r="W13" s="2"/>
      <c r="X13" s="2"/>
      <c r="Y13" s="2"/>
      <c r="Z13" s="1"/>
      <c r="AA13" s="94">
        <v>742000</v>
      </c>
    </row>
    <row r="14" spans="1:27" s="7" customFormat="1">
      <c r="A14" s="1">
        <f t="shared" si="10"/>
        <v>9</v>
      </c>
      <c r="B14" s="1">
        <v>1207</v>
      </c>
      <c r="C14" s="1" t="s">
        <v>171</v>
      </c>
      <c r="D14" s="2">
        <f>32500000+20000000-1850000</f>
        <v>50650000</v>
      </c>
      <c r="E14" s="2">
        <v>32500000</v>
      </c>
      <c r="F14" s="2">
        <f t="shared" si="0"/>
        <v>18150000</v>
      </c>
      <c r="G14" s="2">
        <f>17800000+3850000</f>
        <v>21650000</v>
      </c>
      <c r="H14" s="2">
        <v>17799797.899999999</v>
      </c>
      <c r="I14" s="2"/>
      <c r="J14" s="2"/>
      <c r="K14" s="2">
        <f t="shared" si="1"/>
        <v>0</v>
      </c>
      <c r="L14" s="2">
        <f t="shared" si="2"/>
        <v>17799797.899999999</v>
      </c>
      <c r="M14" s="2">
        <f t="shared" si="3"/>
        <v>3850202.1000000015</v>
      </c>
      <c r="N14" s="2">
        <f>19000000-5000000</f>
        <v>14000000</v>
      </c>
      <c r="O14" s="2">
        <f t="shared" si="4"/>
        <v>15000000</v>
      </c>
      <c r="P14" s="2">
        <f t="shared" si="5"/>
        <v>3850202.1000000015</v>
      </c>
      <c r="Q14" s="2"/>
      <c r="R14" s="2"/>
      <c r="S14" s="2">
        <f t="shared" si="6"/>
        <v>0</v>
      </c>
      <c r="T14" s="2">
        <f t="shared" si="7"/>
        <v>0</v>
      </c>
      <c r="U14" s="2">
        <f t="shared" si="8"/>
        <v>14000000</v>
      </c>
      <c r="V14" s="2">
        <f t="shared" si="9"/>
        <v>14000000</v>
      </c>
      <c r="W14" s="2"/>
      <c r="X14" s="2"/>
      <c r="Y14" s="2"/>
      <c r="Z14" s="1"/>
      <c r="AA14" s="94">
        <v>742000</v>
      </c>
    </row>
    <row r="15" spans="1:27" s="7" customFormat="1">
      <c r="A15" s="1">
        <f t="shared" si="10"/>
        <v>10</v>
      </c>
      <c r="B15" s="1">
        <v>1238</v>
      </c>
      <c r="C15" s="1" t="s">
        <v>172</v>
      </c>
      <c r="D15" s="2">
        <v>32940000</v>
      </c>
      <c r="E15" s="2">
        <v>32940000</v>
      </c>
      <c r="F15" s="2">
        <f t="shared" si="0"/>
        <v>0</v>
      </c>
      <c r="G15" s="2">
        <v>26440000</v>
      </c>
      <c r="H15" s="2">
        <v>24923061.199999999</v>
      </c>
      <c r="I15" s="2"/>
      <c r="J15" s="2">
        <v>1151575.6499999999</v>
      </c>
      <c r="K15" s="2">
        <f t="shared" si="1"/>
        <v>1151575.6499999999</v>
      </c>
      <c r="L15" s="2">
        <f t="shared" si="2"/>
        <v>26074636.849999998</v>
      </c>
      <c r="M15" s="2">
        <f t="shared" si="3"/>
        <v>365363.15000000224</v>
      </c>
      <c r="N15" s="2">
        <f>5500000-5500000</f>
        <v>0</v>
      </c>
      <c r="O15" s="2">
        <f t="shared" si="4"/>
        <v>6500000</v>
      </c>
      <c r="P15" s="2">
        <f t="shared" si="5"/>
        <v>365363.15000000224</v>
      </c>
      <c r="Q15" s="2"/>
      <c r="R15" s="2"/>
      <c r="S15" s="2">
        <f t="shared" si="6"/>
        <v>0</v>
      </c>
      <c r="T15" s="2">
        <f t="shared" si="7"/>
        <v>0</v>
      </c>
      <c r="U15" s="2">
        <f t="shared" si="8"/>
        <v>0</v>
      </c>
      <c r="V15" s="2">
        <f t="shared" si="9"/>
        <v>0</v>
      </c>
      <c r="W15" s="2"/>
      <c r="X15" s="2"/>
      <c r="Y15" s="2"/>
      <c r="Z15" s="1"/>
      <c r="AA15" s="94">
        <v>742000</v>
      </c>
    </row>
    <row r="16" spans="1:27" s="7" customFormat="1">
      <c r="A16" s="1">
        <f t="shared" si="10"/>
        <v>11</v>
      </c>
      <c r="B16" s="1">
        <v>1298</v>
      </c>
      <c r="C16" s="1" t="s">
        <v>45</v>
      </c>
      <c r="D16" s="2">
        <f>3600000+500000</f>
        <v>4100000</v>
      </c>
      <c r="E16" s="2">
        <v>3600000</v>
      </c>
      <c r="F16" s="2">
        <f t="shared" si="0"/>
        <v>500000</v>
      </c>
      <c r="G16" s="2">
        <f>3200000+400000</f>
        <v>3600000</v>
      </c>
      <c r="H16" s="2">
        <v>2954710.87</v>
      </c>
      <c r="I16" s="2"/>
      <c r="J16" s="2">
        <v>130265.74</v>
      </c>
      <c r="K16" s="2">
        <f t="shared" si="1"/>
        <v>130265.74</v>
      </c>
      <c r="L16" s="2">
        <f t="shared" si="2"/>
        <v>3084976.6100000003</v>
      </c>
      <c r="M16" s="2">
        <f t="shared" si="3"/>
        <v>515023.38999999966</v>
      </c>
      <c r="N16" s="2">
        <v>500000</v>
      </c>
      <c r="O16" s="2">
        <f>D16-L16-M16-N16</f>
        <v>0</v>
      </c>
      <c r="P16" s="2">
        <f t="shared" si="5"/>
        <v>515023.38999999966</v>
      </c>
      <c r="Q16" s="2"/>
      <c r="R16" s="2"/>
      <c r="S16" s="2">
        <f t="shared" si="6"/>
        <v>0</v>
      </c>
      <c r="T16" s="2">
        <f t="shared" si="7"/>
        <v>0</v>
      </c>
      <c r="U16" s="2">
        <f t="shared" si="8"/>
        <v>500000</v>
      </c>
      <c r="V16" s="2">
        <f t="shared" si="9"/>
        <v>500000</v>
      </c>
      <c r="W16" s="2"/>
      <c r="X16" s="2"/>
      <c r="Y16" s="2"/>
      <c r="Z16" s="1"/>
      <c r="AA16" s="94">
        <v>742000</v>
      </c>
    </row>
    <row r="17" spans="1:27" s="3" customFormat="1">
      <c r="A17" s="1">
        <f t="shared" si="10"/>
        <v>12</v>
      </c>
      <c r="B17" s="1">
        <v>1312</v>
      </c>
      <c r="C17" s="1" t="s">
        <v>46</v>
      </c>
      <c r="D17" s="2">
        <f>115000000+6000000</f>
        <v>121000000</v>
      </c>
      <c r="E17" s="2">
        <v>115000000</v>
      </c>
      <c r="F17" s="2">
        <f t="shared" si="0"/>
        <v>6000000</v>
      </c>
      <c r="G17" s="2">
        <f>109000000+500000</f>
        <v>109500000</v>
      </c>
      <c r="H17" s="2">
        <v>96034748</v>
      </c>
      <c r="I17" s="2"/>
      <c r="J17" s="2">
        <v>12441678.390000001</v>
      </c>
      <c r="K17" s="2">
        <f t="shared" si="1"/>
        <v>12441678.390000001</v>
      </c>
      <c r="L17" s="2">
        <f t="shared" si="2"/>
        <v>108476426.39</v>
      </c>
      <c r="M17" s="2">
        <f t="shared" si="3"/>
        <v>1023573.6099999994</v>
      </c>
      <c r="N17" s="2">
        <f>5500000+6000000-11000000</f>
        <v>500000</v>
      </c>
      <c r="O17" s="2">
        <f t="shared" si="4"/>
        <v>11000000</v>
      </c>
      <c r="P17" s="2">
        <f t="shared" si="5"/>
        <v>1023573.6099999994</v>
      </c>
      <c r="Q17" s="2"/>
      <c r="R17" s="2"/>
      <c r="S17" s="2">
        <f t="shared" si="6"/>
        <v>0</v>
      </c>
      <c r="T17" s="2">
        <f t="shared" si="7"/>
        <v>0</v>
      </c>
      <c r="U17" s="2">
        <f t="shared" si="8"/>
        <v>500000</v>
      </c>
      <c r="V17" s="2">
        <f t="shared" si="9"/>
        <v>500000</v>
      </c>
      <c r="W17" s="2"/>
      <c r="X17" s="2"/>
      <c r="Y17" s="2"/>
      <c r="Z17" s="1"/>
      <c r="AA17" s="94">
        <v>930000</v>
      </c>
    </row>
    <row r="18" spans="1:27" s="3" customFormat="1">
      <c r="A18" s="1">
        <f t="shared" si="10"/>
        <v>13</v>
      </c>
      <c r="B18" s="1">
        <v>1375</v>
      </c>
      <c r="C18" s="1" t="s">
        <v>173</v>
      </c>
      <c r="D18" s="2">
        <v>39800000</v>
      </c>
      <c r="E18" s="2">
        <v>39800000</v>
      </c>
      <c r="F18" s="2">
        <f t="shared" si="0"/>
        <v>0</v>
      </c>
      <c r="G18" s="2">
        <v>28950000</v>
      </c>
      <c r="H18" s="2">
        <v>26650448.710000001</v>
      </c>
      <c r="I18" s="2"/>
      <c r="J18" s="2">
        <v>903370.19</v>
      </c>
      <c r="K18" s="2">
        <f t="shared" si="1"/>
        <v>903370.19</v>
      </c>
      <c r="L18" s="2">
        <f t="shared" ref="L18:L23" si="11">K18+H18</f>
        <v>27553818.900000002</v>
      </c>
      <c r="M18" s="2">
        <f t="shared" ref="M18:M23" si="12">P18+S18</f>
        <v>1946181.0999999978</v>
      </c>
      <c r="N18" s="2">
        <f>10300000-10300000</f>
        <v>0</v>
      </c>
      <c r="O18" s="2">
        <f t="shared" si="4"/>
        <v>10300000</v>
      </c>
      <c r="P18" s="2">
        <f t="shared" si="5"/>
        <v>1396181.0999999978</v>
      </c>
      <c r="Q18" s="151">
        <v>550000</v>
      </c>
      <c r="R18" s="2"/>
      <c r="S18" s="2">
        <f t="shared" si="6"/>
        <v>550000</v>
      </c>
      <c r="T18" s="2">
        <f t="shared" si="7"/>
        <v>0</v>
      </c>
      <c r="U18" s="2">
        <f>N18-T18</f>
        <v>0</v>
      </c>
      <c r="V18" s="2">
        <f t="shared" si="9"/>
        <v>0</v>
      </c>
      <c r="W18" s="2"/>
      <c r="X18" s="2"/>
      <c r="Y18" s="2"/>
      <c r="Z18" s="1"/>
      <c r="AA18" s="94">
        <v>747000</v>
      </c>
    </row>
    <row r="19" spans="1:27" s="7" customFormat="1">
      <c r="A19" s="1">
        <f t="shared" si="10"/>
        <v>14</v>
      </c>
      <c r="B19" s="1">
        <v>1396</v>
      </c>
      <c r="C19" s="1" t="s">
        <v>277</v>
      </c>
      <c r="D19" s="2">
        <v>6280000</v>
      </c>
      <c r="E19" s="2">
        <v>6280000</v>
      </c>
      <c r="F19" s="2">
        <f t="shared" si="0"/>
        <v>0</v>
      </c>
      <c r="G19" s="2">
        <v>6280000</v>
      </c>
      <c r="H19" s="2">
        <v>5687644.4100000001</v>
      </c>
      <c r="I19" s="2"/>
      <c r="J19" s="2">
        <v>540897.4</v>
      </c>
      <c r="K19" s="2">
        <f t="shared" si="1"/>
        <v>540897.4</v>
      </c>
      <c r="L19" s="2">
        <f t="shared" si="11"/>
        <v>6228541.8100000005</v>
      </c>
      <c r="M19" s="2">
        <f t="shared" si="12"/>
        <v>51458.189999999478</v>
      </c>
      <c r="N19" s="2"/>
      <c r="O19" s="2">
        <f>D19-L19-M19-N19</f>
        <v>0</v>
      </c>
      <c r="P19" s="2">
        <f t="shared" si="5"/>
        <v>51458.189999999478</v>
      </c>
      <c r="Q19" s="2"/>
      <c r="R19" s="2"/>
      <c r="S19" s="2">
        <f t="shared" ref="S19:S52" si="13">SUM(Q19:R19)</f>
        <v>0</v>
      </c>
      <c r="T19" s="2">
        <f t="shared" ref="T19:T52" si="14">P19-M19+S19</f>
        <v>0</v>
      </c>
      <c r="U19" s="2">
        <f t="shared" ref="U19:U26" si="15">N19-T19</f>
        <v>0</v>
      </c>
      <c r="V19" s="2">
        <f t="shared" ref="V19:V25" si="16">U19-X19-Y19-Z19</f>
        <v>0</v>
      </c>
      <c r="W19" s="2"/>
      <c r="X19" s="2"/>
      <c r="Y19" s="2"/>
      <c r="Z19" s="1"/>
      <c r="AA19" s="94">
        <v>826000</v>
      </c>
    </row>
    <row r="20" spans="1:27" s="3" customFormat="1">
      <c r="A20" s="1">
        <f t="shared" si="10"/>
        <v>15</v>
      </c>
      <c r="B20" s="1">
        <v>1402</v>
      </c>
      <c r="C20" s="1" t="s">
        <v>174</v>
      </c>
      <c r="D20" s="2">
        <v>7700000</v>
      </c>
      <c r="E20" s="2">
        <v>7700000</v>
      </c>
      <c r="F20" s="2">
        <f t="shared" si="0"/>
        <v>0</v>
      </c>
      <c r="G20" s="2">
        <f>6500000+1200000</f>
        <v>7700000</v>
      </c>
      <c r="H20" s="2">
        <v>5803120.6200000001</v>
      </c>
      <c r="I20" s="2"/>
      <c r="J20" s="2">
        <v>836963.52</v>
      </c>
      <c r="K20" s="2">
        <f t="shared" si="1"/>
        <v>836963.52</v>
      </c>
      <c r="L20" s="2">
        <f t="shared" si="11"/>
        <v>6640084.1400000006</v>
      </c>
      <c r="M20" s="2">
        <f t="shared" si="12"/>
        <v>1059915.8599999994</v>
      </c>
      <c r="N20" s="2"/>
      <c r="O20" s="2">
        <f t="shared" si="4"/>
        <v>0</v>
      </c>
      <c r="P20" s="2">
        <f t="shared" si="5"/>
        <v>1059915.8599999994</v>
      </c>
      <c r="Q20" s="2"/>
      <c r="R20" s="2"/>
      <c r="S20" s="2">
        <f t="shared" si="13"/>
        <v>0</v>
      </c>
      <c r="T20" s="2">
        <f t="shared" si="14"/>
        <v>0</v>
      </c>
      <c r="U20" s="2">
        <f t="shared" si="15"/>
        <v>0</v>
      </c>
      <c r="V20" s="2">
        <f t="shared" si="16"/>
        <v>0</v>
      </c>
      <c r="W20" s="2"/>
      <c r="X20" s="2"/>
      <c r="Y20" s="2"/>
      <c r="Z20" s="1"/>
      <c r="AA20" s="94">
        <v>714000</v>
      </c>
    </row>
    <row r="21" spans="1:27" s="3" customFormat="1">
      <c r="A21" s="1">
        <f t="shared" si="10"/>
        <v>16</v>
      </c>
      <c r="B21" s="1">
        <v>1403</v>
      </c>
      <c r="C21" s="1" t="s">
        <v>175</v>
      </c>
      <c r="D21" s="2">
        <f>26050000+3700000</f>
        <v>29750000</v>
      </c>
      <c r="E21" s="2">
        <v>26050000</v>
      </c>
      <c r="F21" s="2">
        <f t="shared" si="0"/>
        <v>3700000</v>
      </c>
      <c r="G21" s="2">
        <f>14050000+1500000</f>
        <v>15550000</v>
      </c>
      <c r="H21" s="2">
        <v>4399774.8600000003</v>
      </c>
      <c r="I21" s="2"/>
      <c r="J21" s="2">
        <v>7848899.2300000004</v>
      </c>
      <c r="K21" s="2">
        <f t="shared" si="1"/>
        <v>7848899.2300000004</v>
      </c>
      <c r="L21" s="2">
        <f t="shared" si="11"/>
        <v>12248674.09</v>
      </c>
      <c r="M21" s="2">
        <f t="shared" si="12"/>
        <v>3301325.91</v>
      </c>
      <c r="N21" s="2">
        <f>7000000+3500000+3700000</f>
        <v>14200000</v>
      </c>
      <c r="O21" s="2">
        <f t="shared" si="4"/>
        <v>0</v>
      </c>
      <c r="P21" s="2">
        <f t="shared" si="5"/>
        <v>3301325.91</v>
      </c>
      <c r="Q21" s="2"/>
      <c r="R21" s="2"/>
      <c r="S21" s="2">
        <f t="shared" si="13"/>
        <v>0</v>
      </c>
      <c r="T21" s="2">
        <f t="shared" si="14"/>
        <v>0</v>
      </c>
      <c r="U21" s="2">
        <f t="shared" si="15"/>
        <v>14200000</v>
      </c>
      <c r="V21" s="2">
        <f t="shared" si="16"/>
        <v>650000</v>
      </c>
      <c r="W21" s="2"/>
      <c r="X21" s="2">
        <v>1250000</v>
      </c>
      <c r="Y21" s="2"/>
      <c r="Z21" s="2">
        <v>12300000</v>
      </c>
      <c r="AA21" s="94">
        <v>826000</v>
      </c>
    </row>
    <row r="22" spans="1:27" s="3" customFormat="1">
      <c r="A22" s="1">
        <f t="shared" si="10"/>
        <v>17</v>
      </c>
      <c r="B22" s="1">
        <v>1443</v>
      </c>
      <c r="C22" s="1" t="s">
        <v>176</v>
      </c>
      <c r="D22" s="2">
        <v>78500000</v>
      </c>
      <c r="E22" s="2">
        <v>78500000</v>
      </c>
      <c r="F22" s="2">
        <f t="shared" si="0"/>
        <v>0</v>
      </c>
      <c r="G22" s="2">
        <v>50840000</v>
      </c>
      <c r="H22" s="2">
        <v>50824299</v>
      </c>
      <c r="I22" s="2"/>
      <c r="J22" s="2"/>
      <c r="K22" s="2">
        <f t="shared" si="1"/>
        <v>0</v>
      </c>
      <c r="L22" s="2">
        <f t="shared" si="11"/>
        <v>50824299</v>
      </c>
      <c r="M22" s="2">
        <f t="shared" si="12"/>
        <v>15701</v>
      </c>
      <c r="N22" s="2"/>
      <c r="O22" s="2">
        <f t="shared" si="4"/>
        <v>27660000</v>
      </c>
      <c r="P22" s="2">
        <f t="shared" si="5"/>
        <v>15701</v>
      </c>
      <c r="Q22" s="2"/>
      <c r="R22" s="2"/>
      <c r="S22" s="2">
        <f t="shared" si="13"/>
        <v>0</v>
      </c>
      <c r="T22" s="2">
        <f t="shared" si="14"/>
        <v>0</v>
      </c>
      <c r="U22" s="2">
        <f t="shared" si="15"/>
        <v>0</v>
      </c>
      <c r="V22" s="2">
        <f t="shared" si="16"/>
        <v>0</v>
      </c>
      <c r="W22" s="2"/>
      <c r="X22" s="2"/>
      <c r="Y22" s="2"/>
      <c r="Z22" s="2"/>
      <c r="AA22" s="94">
        <v>749000</v>
      </c>
    </row>
    <row r="23" spans="1:27" s="3" customFormat="1">
      <c r="A23" s="1">
        <f t="shared" si="10"/>
        <v>18</v>
      </c>
      <c r="B23" s="1">
        <v>1446</v>
      </c>
      <c r="C23" s="1" t="s">
        <v>426</v>
      </c>
      <c r="D23" s="2">
        <v>14250000</v>
      </c>
      <c r="E23" s="2">
        <v>14250000</v>
      </c>
      <c r="F23" s="2">
        <f t="shared" si="0"/>
        <v>0</v>
      </c>
      <c r="G23" s="2">
        <v>5000000</v>
      </c>
      <c r="H23" s="2">
        <v>2758381.42</v>
      </c>
      <c r="I23" s="2">
        <v>1.1599999999999999</v>
      </c>
      <c r="J23" s="2">
        <v>2142767.17</v>
      </c>
      <c r="K23" s="2">
        <f t="shared" si="1"/>
        <v>2142768.33</v>
      </c>
      <c r="L23" s="2">
        <f t="shared" si="11"/>
        <v>4901149.75</v>
      </c>
      <c r="M23" s="2">
        <f t="shared" si="12"/>
        <v>98850.25</v>
      </c>
      <c r="N23" s="2">
        <f>6000000-3000000</f>
        <v>3000000</v>
      </c>
      <c r="O23" s="2">
        <f t="shared" si="4"/>
        <v>6250000</v>
      </c>
      <c r="P23" s="2">
        <f t="shared" si="5"/>
        <v>98850.25</v>
      </c>
      <c r="Q23" s="2"/>
      <c r="R23" s="2"/>
      <c r="S23" s="2">
        <f t="shared" si="13"/>
        <v>0</v>
      </c>
      <c r="T23" s="2">
        <f t="shared" si="14"/>
        <v>0</v>
      </c>
      <c r="U23" s="2">
        <f t="shared" si="15"/>
        <v>3000000</v>
      </c>
      <c r="V23" s="2">
        <f t="shared" si="16"/>
        <v>3000000</v>
      </c>
      <c r="W23" s="2"/>
      <c r="X23" s="2"/>
      <c r="Y23" s="2"/>
      <c r="Z23" s="1"/>
      <c r="AA23" s="94">
        <v>742000</v>
      </c>
    </row>
    <row r="24" spans="1:27" s="3" customFormat="1">
      <c r="A24" s="1">
        <f t="shared" si="10"/>
        <v>19</v>
      </c>
      <c r="B24" s="1">
        <v>1448</v>
      </c>
      <c r="C24" s="1" t="s">
        <v>177</v>
      </c>
      <c r="D24" s="2">
        <v>6002877</v>
      </c>
      <c r="E24" s="2">
        <v>6002877</v>
      </c>
      <c r="F24" s="2">
        <f t="shared" si="0"/>
        <v>0</v>
      </c>
      <c r="G24" s="2">
        <v>6002877</v>
      </c>
      <c r="H24" s="2">
        <v>5965343</v>
      </c>
      <c r="I24" s="2"/>
      <c r="J24" s="2"/>
      <c r="K24" s="2">
        <f t="shared" si="1"/>
        <v>0</v>
      </c>
      <c r="L24" s="2">
        <f>K24+H24</f>
        <v>5965343</v>
      </c>
      <c r="M24" s="2">
        <f>P24+S24</f>
        <v>37534</v>
      </c>
      <c r="N24" s="2"/>
      <c r="O24" s="2">
        <f>D24-L24-M24-N24</f>
        <v>0</v>
      </c>
      <c r="P24" s="2">
        <f t="shared" si="5"/>
        <v>37534</v>
      </c>
      <c r="Q24" s="2"/>
      <c r="R24" s="2"/>
      <c r="S24" s="2">
        <f t="shared" si="13"/>
        <v>0</v>
      </c>
      <c r="T24" s="2">
        <f t="shared" si="14"/>
        <v>0</v>
      </c>
      <c r="U24" s="2">
        <f t="shared" si="15"/>
        <v>0</v>
      </c>
      <c r="V24" s="2">
        <f t="shared" si="16"/>
        <v>0</v>
      </c>
      <c r="W24" s="2"/>
      <c r="X24" s="2"/>
      <c r="Y24" s="2"/>
      <c r="Z24" s="1"/>
      <c r="AA24" s="94">
        <v>850000</v>
      </c>
    </row>
    <row r="25" spans="1:27" s="3" customFormat="1">
      <c r="A25" s="1">
        <f t="shared" si="10"/>
        <v>20</v>
      </c>
      <c r="B25" s="1">
        <v>1455</v>
      </c>
      <c r="C25" s="1" t="s">
        <v>50</v>
      </c>
      <c r="D25" s="2">
        <v>4500000</v>
      </c>
      <c r="E25" s="2">
        <v>4500000</v>
      </c>
      <c r="F25" s="2">
        <f t="shared" si="0"/>
        <v>0</v>
      </c>
      <c r="G25" s="2">
        <v>4500000</v>
      </c>
      <c r="H25" s="2">
        <v>1012824.7</v>
      </c>
      <c r="I25" s="2"/>
      <c r="J25" s="2">
        <v>3358103.86</v>
      </c>
      <c r="K25" s="2">
        <f t="shared" si="1"/>
        <v>3358103.86</v>
      </c>
      <c r="L25" s="2">
        <f t="shared" ref="L25:L31" si="17">K25+H25</f>
        <v>4370928.5599999996</v>
      </c>
      <c r="M25" s="2">
        <f t="shared" ref="M25:M31" si="18">P25+S25</f>
        <v>129071.44000000041</v>
      </c>
      <c r="N25" s="2"/>
      <c r="O25" s="2">
        <f t="shared" si="4"/>
        <v>0</v>
      </c>
      <c r="P25" s="2">
        <f t="shared" si="5"/>
        <v>129071.44000000041</v>
      </c>
      <c r="Q25" s="2"/>
      <c r="R25" s="2"/>
      <c r="S25" s="2">
        <f t="shared" si="13"/>
        <v>0</v>
      </c>
      <c r="T25" s="2">
        <f t="shared" si="14"/>
        <v>0</v>
      </c>
      <c r="U25" s="2">
        <f t="shared" si="15"/>
        <v>0</v>
      </c>
      <c r="V25" s="2">
        <f t="shared" si="16"/>
        <v>0</v>
      </c>
      <c r="W25" s="2"/>
      <c r="X25" s="2"/>
      <c r="Y25" s="2"/>
      <c r="Z25" s="1"/>
      <c r="AA25" s="94">
        <v>742000</v>
      </c>
    </row>
    <row r="26" spans="1:27" s="3" customFormat="1" ht="30">
      <c r="A26" s="1">
        <f t="shared" si="10"/>
        <v>21</v>
      </c>
      <c r="B26" s="1">
        <v>1462</v>
      </c>
      <c r="C26" s="1" t="s">
        <v>1147</v>
      </c>
      <c r="D26" s="2">
        <v>7500000</v>
      </c>
      <c r="E26" s="2">
        <v>7500000</v>
      </c>
      <c r="F26" s="2">
        <f t="shared" si="0"/>
        <v>0</v>
      </c>
      <c r="G26" s="2">
        <v>4600000</v>
      </c>
      <c r="H26" s="2">
        <v>159320.70000000001</v>
      </c>
      <c r="I26" s="2"/>
      <c r="J26" s="2">
        <v>225442.01</v>
      </c>
      <c r="K26" s="2">
        <f t="shared" si="1"/>
        <v>225442.01</v>
      </c>
      <c r="L26" s="2">
        <f t="shared" si="17"/>
        <v>384762.71</v>
      </c>
      <c r="M26" s="2">
        <f t="shared" si="18"/>
        <v>4215237.29</v>
      </c>
      <c r="N26" s="2">
        <v>2900000</v>
      </c>
      <c r="O26" s="2">
        <f t="shared" si="4"/>
        <v>0</v>
      </c>
      <c r="P26" s="2">
        <f t="shared" si="5"/>
        <v>4215237.29</v>
      </c>
      <c r="Q26" s="2"/>
      <c r="R26" s="2"/>
      <c r="S26" s="2">
        <f>SUM(Q26:R26)</f>
        <v>0</v>
      </c>
      <c r="T26" s="2">
        <f t="shared" si="14"/>
        <v>0</v>
      </c>
      <c r="U26" s="2">
        <f t="shared" si="15"/>
        <v>2900000</v>
      </c>
      <c r="V26" s="2">
        <f>U26-Z26-X26-Y26</f>
        <v>2900000</v>
      </c>
      <c r="W26" s="2"/>
      <c r="X26" s="2"/>
      <c r="Y26" s="2"/>
      <c r="Z26" s="1"/>
      <c r="AA26" s="94">
        <v>742000</v>
      </c>
    </row>
    <row r="27" spans="1:27" s="3" customFormat="1">
      <c r="A27" s="1">
        <f t="shared" si="10"/>
        <v>22</v>
      </c>
      <c r="B27" s="1">
        <v>1539</v>
      </c>
      <c r="C27" s="1" t="s">
        <v>52</v>
      </c>
      <c r="D27" s="2">
        <v>16300000</v>
      </c>
      <c r="E27" s="2">
        <v>16300000</v>
      </c>
      <c r="F27" s="2">
        <f t="shared" si="0"/>
        <v>0</v>
      </c>
      <c r="G27" s="2">
        <f>4000000+2800000+4440068</f>
        <v>11240068</v>
      </c>
      <c r="H27" s="2">
        <v>790924.97</v>
      </c>
      <c r="I27" s="2">
        <v>54264.4</v>
      </c>
      <c r="J27" s="2">
        <v>2809223.31</v>
      </c>
      <c r="K27" s="2">
        <f t="shared" si="1"/>
        <v>2863487.71</v>
      </c>
      <c r="L27" s="2">
        <f t="shared" si="17"/>
        <v>3654412.6799999997</v>
      </c>
      <c r="M27" s="2">
        <f t="shared" si="18"/>
        <v>7585655.3200000003</v>
      </c>
      <c r="N27" s="2">
        <f>6000000-940068</f>
        <v>5059932</v>
      </c>
      <c r="O27" s="2">
        <f t="shared" si="4"/>
        <v>0</v>
      </c>
      <c r="P27" s="2">
        <f t="shared" si="5"/>
        <v>7585655.3200000003</v>
      </c>
      <c r="Q27" s="2"/>
      <c r="R27" s="2"/>
      <c r="S27" s="2">
        <f t="shared" si="13"/>
        <v>0</v>
      </c>
      <c r="T27" s="2">
        <f t="shared" si="14"/>
        <v>0</v>
      </c>
      <c r="U27" s="2">
        <f t="shared" ref="U27:U61" si="19">N27-T27</f>
        <v>5059932</v>
      </c>
      <c r="V27" s="2">
        <f>U27-X27-Y27-Z27</f>
        <v>5059932</v>
      </c>
      <c r="W27" s="2"/>
      <c r="X27" s="2"/>
      <c r="Y27" s="2"/>
      <c r="Z27" s="1"/>
      <c r="AA27" s="94">
        <v>742000</v>
      </c>
    </row>
    <row r="28" spans="1:27" s="7" customFormat="1">
      <c r="A28" s="1">
        <f t="shared" si="10"/>
        <v>23</v>
      </c>
      <c r="B28" s="1">
        <v>1541</v>
      </c>
      <c r="C28" s="1" t="s">
        <v>264</v>
      </c>
      <c r="D28" s="2">
        <v>2650000</v>
      </c>
      <c r="E28" s="2">
        <v>2650000</v>
      </c>
      <c r="F28" s="2">
        <f t="shared" si="0"/>
        <v>0</v>
      </c>
      <c r="G28" s="2">
        <v>2650000</v>
      </c>
      <c r="H28" s="2">
        <v>2560554.56</v>
      </c>
      <c r="I28" s="2"/>
      <c r="J28" s="2"/>
      <c r="K28" s="2">
        <f t="shared" si="1"/>
        <v>0</v>
      </c>
      <c r="L28" s="2">
        <f t="shared" si="17"/>
        <v>2560554.56</v>
      </c>
      <c r="M28" s="2">
        <f t="shared" si="18"/>
        <v>89445.439999999944</v>
      </c>
      <c r="N28" s="2"/>
      <c r="O28" s="2">
        <f t="shared" si="4"/>
        <v>0</v>
      </c>
      <c r="P28" s="2">
        <f t="shared" si="5"/>
        <v>89445.439999999944</v>
      </c>
      <c r="Q28" s="2"/>
      <c r="R28" s="2"/>
      <c r="S28" s="2">
        <f t="shared" si="13"/>
        <v>0</v>
      </c>
      <c r="T28" s="2">
        <f t="shared" si="14"/>
        <v>0</v>
      </c>
      <c r="U28" s="2">
        <f t="shared" si="19"/>
        <v>0</v>
      </c>
      <c r="V28" s="2">
        <f>U28-X28-Y28-Z28</f>
        <v>0</v>
      </c>
      <c r="W28" s="2"/>
      <c r="X28" s="2"/>
      <c r="Y28" s="2"/>
      <c r="Z28" s="1"/>
      <c r="AA28" s="94">
        <v>829000</v>
      </c>
    </row>
    <row r="29" spans="1:27" s="7" customFormat="1">
      <c r="A29" s="1">
        <f t="shared" si="10"/>
        <v>24</v>
      </c>
      <c r="B29" s="1">
        <v>1555</v>
      </c>
      <c r="C29" s="1" t="s">
        <v>178</v>
      </c>
      <c r="D29" s="2">
        <v>4250000</v>
      </c>
      <c r="E29" s="2">
        <v>4250000</v>
      </c>
      <c r="F29" s="2">
        <f t="shared" si="0"/>
        <v>0</v>
      </c>
      <c r="G29" s="2">
        <v>4250000</v>
      </c>
      <c r="H29" s="2">
        <v>3663275</v>
      </c>
      <c r="I29" s="2"/>
      <c r="J29" s="2">
        <v>561713.98</v>
      </c>
      <c r="K29" s="2">
        <f t="shared" si="1"/>
        <v>561713.98</v>
      </c>
      <c r="L29" s="2">
        <f t="shared" si="17"/>
        <v>4224988.9800000004</v>
      </c>
      <c r="M29" s="2">
        <f t="shared" si="18"/>
        <v>25011.019999999553</v>
      </c>
      <c r="N29" s="2"/>
      <c r="O29" s="2">
        <f t="shared" si="4"/>
        <v>0</v>
      </c>
      <c r="P29" s="2">
        <f t="shared" si="5"/>
        <v>25011.019999999553</v>
      </c>
      <c r="Q29" s="2"/>
      <c r="R29" s="2"/>
      <c r="S29" s="2">
        <f t="shared" si="13"/>
        <v>0</v>
      </c>
      <c r="T29" s="2">
        <f t="shared" si="14"/>
        <v>0</v>
      </c>
      <c r="U29" s="2">
        <f t="shared" si="19"/>
        <v>0</v>
      </c>
      <c r="V29" s="2">
        <f>U29-X29-Y29-Z29</f>
        <v>0</v>
      </c>
      <c r="W29" s="2"/>
      <c r="X29" s="2"/>
      <c r="Y29" s="2"/>
      <c r="Z29" s="1"/>
      <c r="AA29" s="94">
        <v>828000</v>
      </c>
    </row>
    <row r="30" spans="1:27" s="3" customFormat="1">
      <c r="A30" s="1">
        <f t="shared" si="10"/>
        <v>25</v>
      </c>
      <c r="B30" s="1">
        <v>1588</v>
      </c>
      <c r="C30" s="1" t="s">
        <v>36</v>
      </c>
      <c r="D30" s="2">
        <v>50500000</v>
      </c>
      <c r="E30" s="2">
        <v>50500000</v>
      </c>
      <c r="F30" s="2">
        <f t="shared" si="0"/>
        <v>0</v>
      </c>
      <c r="G30" s="2">
        <v>3000000</v>
      </c>
      <c r="H30" s="2">
        <v>1089361.1299999999</v>
      </c>
      <c r="I30" s="2">
        <v>801012.77</v>
      </c>
      <c r="J30" s="2">
        <v>480123.9</v>
      </c>
      <c r="K30" s="2">
        <f t="shared" si="1"/>
        <v>1281136.67</v>
      </c>
      <c r="L30" s="2">
        <f t="shared" si="17"/>
        <v>2370497.7999999998</v>
      </c>
      <c r="M30" s="2">
        <f t="shared" si="18"/>
        <v>5629502.2000000002</v>
      </c>
      <c r="N30" s="2">
        <f>20000000-15000000</f>
        <v>5000000</v>
      </c>
      <c r="O30" s="2">
        <f t="shared" si="4"/>
        <v>37500000</v>
      </c>
      <c r="P30" s="2">
        <f t="shared" si="5"/>
        <v>629502.20000000019</v>
      </c>
      <c r="Q30" s="151">
        <v>5000000</v>
      </c>
      <c r="R30" s="2"/>
      <c r="S30" s="2">
        <f>SUM(Q30:R30)</f>
        <v>5000000</v>
      </c>
      <c r="T30" s="2">
        <f t="shared" si="14"/>
        <v>0</v>
      </c>
      <c r="U30" s="2">
        <f t="shared" si="19"/>
        <v>5000000</v>
      </c>
      <c r="V30" s="2">
        <f>U30-Z30-X30-Y30</f>
        <v>5000000</v>
      </c>
      <c r="W30" s="2"/>
      <c r="X30" s="2"/>
      <c r="Y30" s="2"/>
      <c r="Z30" s="1"/>
      <c r="AA30" s="94">
        <v>742000</v>
      </c>
    </row>
    <row r="31" spans="1:27" s="3" customFormat="1">
      <c r="A31" s="1">
        <f t="shared" si="10"/>
        <v>26</v>
      </c>
      <c r="B31" s="1">
        <v>1614</v>
      </c>
      <c r="C31" s="1" t="s">
        <v>1060</v>
      </c>
      <c r="D31" s="2">
        <v>7200000</v>
      </c>
      <c r="E31" s="2">
        <v>7200000</v>
      </c>
      <c r="F31" s="2">
        <f t="shared" si="0"/>
        <v>0</v>
      </c>
      <c r="G31" s="2">
        <v>500000</v>
      </c>
      <c r="H31" s="2">
        <v>89237</v>
      </c>
      <c r="I31" s="2">
        <v>4790.92</v>
      </c>
      <c r="J31" s="2">
        <v>81227.210000000006</v>
      </c>
      <c r="K31" s="2">
        <f t="shared" si="1"/>
        <v>86018.13</v>
      </c>
      <c r="L31" s="2">
        <f t="shared" si="17"/>
        <v>175255.13</v>
      </c>
      <c r="M31" s="2">
        <f t="shared" si="18"/>
        <v>324744.87</v>
      </c>
      <c r="N31" s="2">
        <f>6700000-1000000</f>
        <v>5700000</v>
      </c>
      <c r="O31" s="2">
        <f t="shared" si="4"/>
        <v>1000000</v>
      </c>
      <c r="P31" s="2">
        <f t="shared" si="5"/>
        <v>324744.87</v>
      </c>
      <c r="Q31" s="2"/>
      <c r="R31" s="2"/>
      <c r="S31" s="2">
        <f>SUM(Q31:R31)</f>
        <v>0</v>
      </c>
      <c r="T31" s="2">
        <f t="shared" si="14"/>
        <v>0</v>
      </c>
      <c r="U31" s="2">
        <f t="shared" si="19"/>
        <v>5700000</v>
      </c>
      <c r="V31" s="2">
        <f>U31-Z31-X31-Y31</f>
        <v>5700000</v>
      </c>
      <c r="W31" s="2"/>
      <c r="X31" s="2"/>
      <c r="Y31" s="2"/>
      <c r="Z31" s="2"/>
      <c r="AA31" s="94">
        <v>742000</v>
      </c>
    </row>
    <row r="32" spans="1:27" s="3" customFormat="1">
      <c r="A32" s="1">
        <f t="shared" si="10"/>
        <v>27</v>
      </c>
      <c r="B32" s="1">
        <v>1615</v>
      </c>
      <c r="C32" s="1" t="s">
        <v>258</v>
      </c>
      <c r="D32" s="2">
        <v>27700000</v>
      </c>
      <c r="E32" s="2">
        <v>27700000</v>
      </c>
      <c r="F32" s="2">
        <f t="shared" si="0"/>
        <v>0</v>
      </c>
      <c r="G32" s="2">
        <f>3200000+10000000</f>
        <v>13200000</v>
      </c>
      <c r="H32" s="2">
        <v>847470.96</v>
      </c>
      <c r="I32" s="2">
        <v>20762.150000000001</v>
      </c>
      <c r="J32" s="2">
        <v>1484605.93</v>
      </c>
      <c r="K32" s="2">
        <f t="shared" si="1"/>
        <v>1505368.0799999998</v>
      </c>
      <c r="L32" s="2">
        <f>K32+H32</f>
        <v>2352839.04</v>
      </c>
      <c r="M32" s="2">
        <f>P32+S32</f>
        <v>10847160.960000001</v>
      </c>
      <c r="N32" s="2">
        <f>10000000-3000000</f>
        <v>7000000</v>
      </c>
      <c r="O32" s="2">
        <f t="shared" si="4"/>
        <v>7500000</v>
      </c>
      <c r="P32" s="2">
        <f t="shared" si="5"/>
        <v>10847160.960000001</v>
      </c>
      <c r="Q32" s="2"/>
      <c r="R32" s="2"/>
      <c r="S32" s="2">
        <f>SUM(Q32:R32)</f>
        <v>0</v>
      </c>
      <c r="T32" s="2">
        <f t="shared" si="14"/>
        <v>0</v>
      </c>
      <c r="U32" s="2">
        <f t="shared" si="19"/>
        <v>7000000</v>
      </c>
      <c r="V32" s="2">
        <f>U32-Z32-X32-Y32</f>
        <v>7000000</v>
      </c>
      <c r="W32" s="2"/>
      <c r="X32" s="2"/>
      <c r="Y32" s="2"/>
      <c r="Z32" s="2"/>
      <c r="AA32" s="94">
        <v>742000</v>
      </c>
    </row>
    <row r="33" spans="1:32" s="3" customFormat="1">
      <c r="A33" s="1">
        <f t="shared" si="10"/>
        <v>28</v>
      </c>
      <c r="B33" s="1">
        <v>1616</v>
      </c>
      <c r="C33" s="1" t="s">
        <v>179</v>
      </c>
      <c r="D33" s="2">
        <v>1275000</v>
      </c>
      <c r="E33" s="2">
        <v>1275000</v>
      </c>
      <c r="F33" s="2">
        <f t="shared" si="0"/>
        <v>0</v>
      </c>
      <c r="G33" s="2">
        <v>1275000</v>
      </c>
      <c r="H33" s="2">
        <v>900628</v>
      </c>
      <c r="I33" s="2"/>
      <c r="J33" s="2">
        <v>374313.58</v>
      </c>
      <c r="K33" s="2">
        <f t="shared" si="1"/>
        <v>374313.58</v>
      </c>
      <c r="L33" s="2">
        <f t="shared" ref="L33:L39" si="20">K33+H33</f>
        <v>1274941.58</v>
      </c>
      <c r="M33" s="2">
        <f t="shared" ref="M33:M39" si="21">P33+S33</f>
        <v>58.419999999925494</v>
      </c>
      <c r="N33" s="2"/>
      <c r="O33" s="2">
        <f t="shared" si="4"/>
        <v>0</v>
      </c>
      <c r="P33" s="2">
        <f t="shared" si="5"/>
        <v>58.419999999925494</v>
      </c>
      <c r="Q33" s="2"/>
      <c r="R33" s="2"/>
      <c r="S33" s="2">
        <f t="shared" si="13"/>
        <v>0</v>
      </c>
      <c r="T33" s="2">
        <f t="shared" si="14"/>
        <v>0</v>
      </c>
      <c r="U33" s="2">
        <f t="shared" si="19"/>
        <v>0</v>
      </c>
      <c r="V33" s="2">
        <f>U33-X33-Y33-Z33</f>
        <v>0</v>
      </c>
      <c r="W33" s="2"/>
      <c r="X33" s="2"/>
      <c r="Y33" s="2"/>
      <c r="Z33" s="1"/>
      <c r="AA33" s="94">
        <v>930000</v>
      </c>
    </row>
    <row r="34" spans="1:32" s="3" customFormat="1">
      <c r="A34" s="1">
        <f t="shared" si="10"/>
        <v>29</v>
      </c>
      <c r="B34" s="1">
        <v>1625</v>
      </c>
      <c r="C34" s="1" t="s">
        <v>265</v>
      </c>
      <c r="D34" s="2">
        <v>100000000</v>
      </c>
      <c r="E34" s="2">
        <v>13300000</v>
      </c>
      <c r="F34" s="2">
        <f t="shared" si="0"/>
        <v>86700000</v>
      </c>
      <c r="G34" s="2">
        <v>5125000</v>
      </c>
      <c r="H34" s="2">
        <v>4884231.58</v>
      </c>
      <c r="I34" s="2"/>
      <c r="J34" s="2">
        <v>174697.69</v>
      </c>
      <c r="K34" s="2">
        <f t="shared" si="1"/>
        <v>174697.69</v>
      </c>
      <c r="L34" s="2">
        <f t="shared" si="20"/>
        <v>5058929.2700000005</v>
      </c>
      <c r="M34" s="2">
        <f t="shared" si="21"/>
        <v>66070.729999999516</v>
      </c>
      <c r="N34" s="2">
        <f>30000000-30000000</f>
        <v>0</v>
      </c>
      <c r="O34" s="2">
        <f t="shared" si="4"/>
        <v>94875000</v>
      </c>
      <c r="P34" s="2">
        <f t="shared" si="5"/>
        <v>66070.729999999516</v>
      </c>
      <c r="Q34" s="2"/>
      <c r="R34" s="2"/>
      <c r="S34" s="2">
        <f t="shared" si="13"/>
        <v>0</v>
      </c>
      <c r="T34" s="2">
        <f t="shared" si="14"/>
        <v>0</v>
      </c>
      <c r="U34" s="2">
        <f t="shared" si="19"/>
        <v>0</v>
      </c>
      <c r="V34" s="2">
        <f>U34-X34-Y34-Z34</f>
        <v>0</v>
      </c>
      <c r="W34" s="2"/>
      <c r="X34" s="2"/>
      <c r="Y34" s="2"/>
      <c r="Z34" s="1"/>
      <c r="AA34" s="94">
        <v>829000</v>
      </c>
    </row>
    <row r="35" spans="1:32" s="3" customFormat="1">
      <c r="A35" s="1">
        <f t="shared" si="10"/>
        <v>30</v>
      </c>
      <c r="B35" s="1">
        <v>1656</v>
      </c>
      <c r="C35" s="1" t="s">
        <v>54</v>
      </c>
      <c r="D35" s="2">
        <v>10800000</v>
      </c>
      <c r="E35" s="2">
        <v>10800000</v>
      </c>
      <c r="F35" s="2">
        <f t="shared" si="0"/>
        <v>0</v>
      </c>
      <c r="G35" s="2">
        <v>10800000</v>
      </c>
      <c r="H35" s="2">
        <v>5646597.1399999997</v>
      </c>
      <c r="I35" s="2">
        <v>30194.89</v>
      </c>
      <c r="J35" s="2">
        <v>3528498.59</v>
      </c>
      <c r="K35" s="2">
        <f t="shared" si="1"/>
        <v>3558693.48</v>
      </c>
      <c r="L35" s="2">
        <f t="shared" si="20"/>
        <v>9205290.6199999992</v>
      </c>
      <c r="M35" s="2">
        <f t="shared" si="21"/>
        <v>1594709.3800000008</v>
      </c>
      <c r="N35" s="2"/>
      <c r="O35" s="2">
        <f t="shared" si="4"/>
        <v>0</v>
      </c>
      <c r="P35" s="2">
        <f t="shared" si="5"/>
        <v>1594709.3800000008</v>
      </c>
      <c r="Q35" s="2"/>
      <c r="R35" s="2"/>
      <c r="S35" s="2">
        <f t="shared" si="13"/>
        <v>0</v>
      </c>
      <c r="T35" s="2">
        <f t="shared" si="14"/>
        <v>0</v>
      </c>
      <c r="U35" s="2">
        <f t="shared" si="19"/>
        <v>0</v>
      </c>
      <c r="V35" s="2">
        <f>U35-X35-Y35-Z35</f>
        <v>0</v>
      </c>
      <c r="W35" s="2"/>
      <c r="X35" s="2"/>
      <c r="Y35" s="2"/>
      <c r="Z35" s="1"/>
      <c r="AA35" s="94">
        <v>742000</v>
      </c>
    </row>
    <row r="36" spans="1:32" s="3" customFormat="1">
      <c r="A36" s="1">
        <f t="shared" si="10"/>
        <v>31</v>
      </c>
      <c r="B36" s="1">
        <v>1657</v>
      </c>
      <c r="C36" s="1" t="s">
        <v>38</v>
      </c>
      <c r="D36" s="2">
        <v>60000000</v>
      </c>
      <c r="E36" s="2">
        <v>60000000</v>
      </c>
      <c r="F36" s="2">
        <f t="shared" si="0"/>
        <v>0</v>
      </c>
      <c r="G36" s="2">
        <f>2700000+8000000</f>
        <v>10700000</v>
      </c>
      <c r="H36" s="2">
        <v>1210600.1599999999</v>
      </c>
      <c r="I36" s="2">
        <v>167189.14000000001</v>
      </c>
      <c r="J36" s="2">
        <v>1705229.07</v>
      </c>
      <c r="K36" s="2">
        <f t="shared" si="1"/>
        <v>1872418.21</v>
      </c>
      <c r="L36" s="2">
        <f t="shared" si="20"/>
        <v>3083018.37</v>
      </c>
      <c r="M36" s="2">
        <f t="shared" si="21"/>
        <v>7616981.6299999999</v>
      </c>
      <c r="N36" s="2">
        <f>6000000-3000000</f>
        <v>3000000</v>
      </c>
      <c r="O36" s="2">
        <f t="shared" si="4"/>
        <v>46300000</v>
      </c>
      <c r="P36" s="2">
        <f t="shared" si="5"/>
        <v>7616981.6299999999</v>
      </c>
      <c r="Q36" s="2"/>
      <c r="R36" s="2"/>
      <c r="S36" s="2">
        <f>SUM(Q36:R36)</f>
        <v>0</v>
      </c>
      <c r="T36" s="2">
        <f t="shared" si="14"/>
        <v>0</v>
      </c>
      <c r="U36" s="2">
        <f t="shared" si="19"/>
        <v>3000000</v>
      </c>
      <c r="V36" s="2">
        <f>U36-Z36-X36-Y36</f>
        <v>3000000</v>
      </c>
      <c r="W36" s="2"/>
      <c r="X36" s="2"/>
      <c r="Y36" s="2"/>
      <c r="Z36" s="2"/>
      <c r="AA36" s="94">
        <v>742000</v>
      </c>
    </row>
    <row r="37" spans="1:32" s="3" customFormat="1">
      <c r="A37" s="1">
        <f t="shared" si="10"/>
        <v>32</v>
      </c>
      <c r="B37" s="1">
        <v>1718</v>
      </c>
      <c r="C37" s="1" t="s">
        <v>74</v>
      </c>
      <c r="D37" s="2">
        <v>13200000</v>
      </c>
      <c r="E37" s="2">
        <v>13200000</v>
      </c>
      <c r="F37" s="2">
        <f t="shared" si="0"/>
        <v>0</v>
      </c>
      <c r="G37" s="2">
        <f>10100000+3100000</f>
        <v>13200000</v>
      </c>
      <c r="H37" s="2">
        <v>9226266.1799999997</v>
      </c>
      <c r="I37" s="2">
        <v>139312.28</v>
      </c>
      <c r="J37" s="2">
        <v>658266.05000000005</v>
      </c>
      <c r="K37" s="2">
        <f t="shared" si="1"/>
        <v>797578.33000000007</v>
      </c>
      <c r="L37" s="2">
        <f t="shared" si="20"/>
        <v>10023844.51</v>
      </c>
      <c r="M37" s="2">
        <f t="shared" si="21"/>
        <v>3176155.49</v>
      </c>
      <c r="N37" s="2"/>
      <c r="O37" s="2">
        <f t="shared" si="4"/>
        <v>0</v>
      </c>
      <c r="P37" s="2">
        <f t="shared" si="5"/>
        <v>3176155.49</v>
      </c>
      <c r="Q37" s="2"/>
      <c r="R37" s="2"/>
      <c r="S37" s="2">
        <f>SUM(Q37:R37)</f>
        <v>0</v>
      </c>
      <c r="T37" s="2">
        <f t="shared" si="14"/>
        <v>0</v>
      </c>
      <c r="U37" s="2">
        <f t="shared" si="19"/>
        <v>0</v>
      </c>
      <c r="V37" s="2">
        <f>U37-Z37-X37-Y37</f>
        <v>0</v>
      </c>
      <c r="W37" s="2"/>
      <c r="X37" s="2"/>
      <c r="Y37" s="2"/>
      <c r="Z37" s="1"/>
      <c r="AA37" s="94">
        <v>742000</v>
      </c>
    </row>
    <row r="38" spans="1:32" s="3" customFormat="1" ht="30">
      <c r="A38" s="1">
        <f t="shared" si="10"/>
        <v>33</v>
      </c>
      <c r="B38" s="1">
        <v>1720</v>
      </c>
      <c r="C38" s="1" t="s">
        <v>1148</v>
      </c>
      <c r="D38" s="2">
        <v>1500000</v>
      </c>
      <c r="E38" s="2">
        <v>1500000</v>
      </c>
      <c r="F38" s="2">
        <f t="shared" si="0"/>
        <v>0</v>
      </c>
      <c r="G38" s="2">
        <v>1500000</v>
      </c>
      <c r="H38" s="2">
        <v>749799</v>
      </c>
      <c r="I38" s="2"/>
      <c r="J38" s="2">
        <v>596457.66</v>
      </c>
      <c r="K38" s="2">
        <f t="shared" si="1"/>
        <v>596457.66</v>
      </c>
      <c r="L38" s="2">
        <f t="shared" si="20"/>
        <v>1346256.6600000001</v>
      </c>
      <c r="M38" s="2">
        <f t="shared" si="21"/>
        <v>153743.33999999985</v>
      </c>
      <c r="N38" s="2"/>
      <c r="O38" s="2">
        <f t="shared" si="4"/>
        <v>0</v>
      </c>
      <c r="P38" s="2">
        <f t="shared" si="5"/>
        <v>153743.33999999985</v>
      </c>
      <c r="Q38" s="2"/>
      <c r="R38" s="2"/>
      <c r="S38" s="2">
        <f t="shared" si="13"/>
        <v>0</v>
      </c>
      <c r="T38" s="2">
        <f t="shared" si="14"/>
        <v>0</v>
      </c>
      <c r="U38" s="2">
        <f t="shared" si="19"/>
        <v>0</v>
      </c>
      <c r="V38" s="2">
        <f>U38-X38-Y38-Z38</f>
        <v>0</v>
      </c>
      <c r="W38" s="2"/>
      <c r="X38" s="2"/>
      <c r="Y38" s="2"/>
      <c r="Z38" s="1"/>
      <c r="AA38" s="94">
        <v>742000</v>
      </c>
    </row>
    <row r="39" spans="1:32" s="3" customFormat="1">
      <c r="A39" s="1">
        <f t="shared" si="10"/>
        <v>34</v>
      </c>
      <c r="B39" s="1">
        <v>1721</v>
      </c>
      <c r="C39" s="1" t="s">
        <v>77</v>
      </c>
      <c r="D39" s="2">
        <v>700000</v>
      </c>
      <c r="E39" s="2">
        <v>700000</v>
      </c>
      <c r="F39" s="2">
        <f t="shared" si="0"/>
        <v>0</v>
      </c>
      <c r="G39" s="2">
        <v>700000</v>
      </c>
      <c r="H39" s="2">
        <v>693650.51</v>
      </c>
      <c r="I39" s="2"/>
      <c r="J39" s="2"/>
      <c r="K39" s="2">
        <f t="shared" si="1"/>
        <v>0</v>
      </c>
      <c r="L39" s="2">
        <f t="shared" si="20"/>
        <v>693650.51</v>
      </c>
      <c r="M39" s="2">
        <f t="shared" si="21"/>
        <v>6349.4899999999907</v>
      </c>
      <c r="N39" s="2"/>
      <c r="O39" s="2">
        <f t="shared" si="4"/>
        <v>0</v>
      </c>
      <c r="P39" s="2">
        <f t="shared" si="5"/>
        <v>6349.4899999999907</v>
      </c>
      <c r="Q39" s="2"/>
      <c r="R39" s="2"/>
      <c r="S39" s="2">
        <f t="shared" si="13"/>
        <v>0</v>
      </c>
      <c r="T39" s="2">
        <f t="shared" si="14"/>
        <v>0</v>
      </c>
      <c r="U39" s="2">
        <f t="shared" si="19"/>
        <v>0</v>
      </c>
      <c r="V39" s="2">
        <f>U39-X39-Y39-Z39</f>
        <v>0</v>
      </c>
      <c r="W39" s="2"/>
      <c r="X39" s="2"/>
      <c r="Y39" s="2"/>
      <c r="Z39" s="1"/>
      <c r="AA39" s="94">
        <v>746000</v>
      </c>
    </row>
    <row r="40" spans="1:32" s="3" customFormat="1">
      <c r="A40" s="1">
        <f t="shared" si="10"/>
        <v>35</v>
      </c>
      <c r="B40" s="1">
        <v>1723</v>
      </c>
      <c r="C40" s="1" t="s">
        <v>39</v>
      </c>
      <c r="D40" s="2">
        <f>12000000+5500000</f>
        <v>17500000</v>
      </c>
      <c r="E40" s="2">
        <v>12000000</v>
      </c>
      <c r="F40" s="2">
        <f t="shared" si="0"/>
        <v>5500000</v>
      </c>
      <c r="G40" s="2">
        <v>2000000</v>
      </c>
      <c r="H40" s="2">
        <v>218113</v>
      </c>
      <c r="I40" s="2"/>
      <c r="J40" s="2">
        <v>355892.1</v>
      </c>
      <c r="K40" s="2">
        <f t="shared" si="1"/>
        <v>355892.1</v>
      </c>
      <c r="L40" s="2">
        <f>K40+H40</f>
        <v>574005.1</v>
      </c>
      <c r="M40" s="2">
        <f>P40+S40</f>
        <v>7355607.9000000004</v>
      </c>
      <c r="N40" s="2">
        <f>10500000-929613</f>
        <v>9570387</v>
      </c>
      <c r="O40" s="2">
        <f t="shared" si="4"/>
        <v>0</v>
      </c>
      <c r="P40" s="2">
        <f t="shared" si="5"/>
        <v>1425994.9</v>
      </c>
      <c r="Q40" s="151">
        <f>1500000+4429613</f>
        <v>5929613</v>
      </c>
      <c r="R40" s="2"/>
      <c r="S40" s="2">
        <f t="shared" si="13"/>
        <v>5929613</v>
      </c>
      <c r="T40" s="2">
        <f t="shared" si="14"/>
        <v>0</v>
      </c>
      <c r="U40" s="2">
        <f t="shared" si="19"/>
        <v>9570387</v>
      </c>
      <c r="V40" s="2">
        <f>U40-X40-Y40-Z40</f>
        <v>825000</v>
      </c>
      <c r="W40" s="2"/>
      <c r="X40" s="2"/>
      <c r="Y40" s="2"/>
      <c r="Z40" s="2">
        <f>8500000-4429613+5500000*0.85</f>
        <v>8745387</v>
      </c>
      <c r="AA40" s="94">
        <v>732000</v>
      </c>
    </row>
    <row r="41" spans="1:32" s="3" customFormat="1">
      <c r="A41" s="1">
        <f t="shared" si="10"/>
        <v>36</v>
      </c>
      <c r="B41" s="1">
        <v>1727</v>
      </c>
      <c r="C41" s="1" t="s">
        <v>78</v>
      </c>
      <c r="D41" s="2">
        <v>400000</v>
      </c>
      <c r="E41" s="2">
        <v>400000</v>
      </c>
      <c r="F41" s="2">
        <f t="shared" si="0"/>
        <v>0</v>
      </c>
      <c r="G41" s="2">
        <v>400000</v>
      </c>
      <c r="H41" s="2">
        <v>324343</v>
      </c>
      <c r="I41" s="2"/>
      <c r="J41" s="2">
        <v>54694.6</v>
      </c>
      <c r="K41" s="2">
        <f t="shared" si="1"/>
        <v>54694.6</v>
      </c>
      <c r="L41" s="2">
        <f>K41+H41</f>
        <v>379037.6</v>
      </c>
      <c r="M41" s="2">
        <f>P41+S41</f>
        <v>20962.400000000023</v>
      </c>
      <c r="N41" s="2"/>
      <c r="O41" s="2">
        <f t="shared" si="4"/>
        <v>0</v>
      </c>
      <c r="P41" s="2">
        <f t="shared" si="5"/>
        <v>20962.400000000023</v>
      </c>
      <c r="Q41" s="2"/>
      <c r="R41" s="2"/>
      <c r="S41" s="2">
        <f t="shared" si="13"/>
        <v>0</v>
      </c>
      <c r="T41" s="2">
        <f t="shared" si="14"/>
        <v>0</v>
      </c>
      <c r="U41" s="2">
        <f t="shared" si="19"/>
        <v>0</v>
      </c>
      <c r="V41" s="2">
        <f>U41-X41-Y41-Z41</f>
        <v>0</v>
      </c>
      <c r="W41" s="2"/>
      <c r="X41" s="2"/>
      <c r="Y41" s="2"/>
      <c r="Z41" s="1"/>
      <c r="AA41" s="94">
        <v>742000</v>
      </c>
    </row>
    <row r="42" spans="1:32" s="3" customFormat="1" ht="30">
      <c r="A42" s="1">
        <f t="shared" si="10"/>
        <v>37</v>
      </c>
      <c r="B42" s="1">
        <v>1739</v>
      </c>
      <c r="C42" s="1" t="s">
        <v>224</v>
      </c>
      <c r="D42" s="2">
        <v>6550000</v>
      </c>
      <c r="E42" s="2">
        <v>6550000</v>
      </c>
      <c r="F42" s="2">
        <f t="shared" si="0"/>
        <v>0</v>
      </c>
      <c r="G42" s="2">
        <v>6550000</v>
      </c>
      <c r="H42" s="2">
        <v>5774908</v>
      </c>
      <c r="I42" s="2"/>
      <c r="J42" s="2">
        <v>766308.26</v>
      </c>
      <c r="K42" s="2">
        <f t="shared" si="1"/>
        <v>766308.26</v>
      </c>
      <c r="L42" s="2">
        <f>K42+H42</f>
        <v>6541216.2599999998</v>
      </c>
      <c r="M42" s="2">
        <f>P42+S42</f>
        <v>8783.7400000002235</v>
      </c>
      <c r="N42" s="2"/>
      <c r="O42" s="2">
        <f t="shared" si="4"/>
        <v>0</v>
      </c>
      <c r="P42" s="2">
        <f t="shared" si="5"/>
        <v>8783.7400000002235</v>
      </c>
      <c r="Q42" s="2"/>
      <c r="R42" s="2"/>
      <c r="S42" s="2">
        <f t="shared" si="13"/>
        <v>0</v>
      </c>
      <c r="T42" s="2">
        <f t="shared" si="14"/>
        <v>0</v>
      </c>
      <c r="U42" s="2">
        <f t="shared" si="19"/>
        <v>0</v>
      </c>
      <c r="V42" s="2">
        <f>U42-X42-Y42-Z42</f>
        <v>0</v>
      </c>
      <c r="W42" s="2"/>
      <c r="X42" s="2"/>
      <c r="Y42" s="2"/>
      <c r="Z42" s="1"/>
      <c r="AA42" s="94">
        <v>747000</v>
      </c>
    </row>
    <row r="43" spans="1:32" s="3" customFormat="1">
      <c r="A43" s="1">
        <f t="shared" si="10"/>
        <v>38</v>
      </c>
      <c r="B43" s="1">
        <v>1749</v>
      </c>
      <c r="C43" s="1" t="s">
        <v>59</v>
      </c>
      <c r="D43" s="2">
        <v>5000000</v>
      </c>
      <c r="E43" s="2">
        <v>5000000</v>
      </c>
      <c r="F43" s="2">
        <f t="shared" si="0"/>
        <v>0</v>
      </c>
      <c r="G43" s="2">
        <v>500000</v>
      </c>
      <c r="H43" s="2">
        <v>0</v>
      </c>
      <c r="I43" s="2"/>
      <c r="J43" s="2">
        <v>760.5</v>
      </c>
      <c r="K43" s="2">
        <f t="shared" si="1"/>
        <v>760.5</v>
      </c>
      <c r="L43" s="2">
        <f>K43+H43</f>
        <v>760.5</v>
      </c>
      <c r="M43" s="2">
        <f>P43+S43</f>
        <v>499239.5</v>
      </c>
      <c r="N43" s="2"/>
      <c r="O43" s="2">
        <f t="shared" si="4"/>
        <v>4500000</v>
      </c>
      <c r="P43" s="2">
        <f t="shared" si="5"/>
        <v>499239.5</v>
      </c>
      <c r="Q43" s="2"/>
      <c r="R43" s="2"/>
      <c r="S43" s="2">
        <f>SUM(Q43:R43)</f>
        <v>0</v>
      </c>
      <c r="T43" s="2">
        <f t="shared" si="14"/>
        <v>0</v>
      </c>
      <c r="U43" s="2">
        <f t="shared" si="19"/>
        <v>0</v>
      </c>
      <c r="V43" s="2">
        <f>U43-Z43-X43-Y43</f>
        <v>0</v>
      </c>
      <c r="W43" s="2"/>
      <c r="X43" s="2"/>
      <c r="Y43" s="2"/>
      <c r="Z43" s="1"/>
      <c r="AA43" s="94">
        <v>732000</v>
      </c>
      <c r="AB43" s="694"/>
    </row>
    <row r="44" spans="1:32" s="3" customFormat="1" ht="30">
      <c r="A44" s="1">
        <f t="shared" si="10"/>
        <v>39</v>
      </c>
      <c r="B44" s="1">
        <v>1750</v>
      </c>
      <c r="C44" s="1" t="s">
        <v>925</v>
      </c>
      <c r="D44" s="2">
        <v>5000000</v>
      </c>
      <c r="E44" s="2">
        <v>5000000</v>
      </c>
      <c r="F44" s="2">
        <f t="shared" si="0"/>
        <v>0</v>
      </c>
      <c r="G44" s="2">
        <v>500000</v>
      </c>
      <c r="H44" s="2">
        <v>0</v>
      </c>
      <c r="I44" s="2"/>
      <c r="J44" s="2"/>
      <c r="K44" s="2">
        <f t="shared" si="1"/>
        <v>0</v>
      </c>
      <c r="L44" s="2">
        <f t="shared" ref="L44:L56" si="22">K44+H44</f>
        <v>0</v>
      </c>
      <c r="M44" s="2">
        <f>P44+S44-400000</f>
        <v>100000</v>
      </c>
      <c r="N44" s="2"/>
      <c r="O44" s="2">
        <f t="shared" si="4"/>
        <v>4900000</v>
      </c>
      <c r="P44" s="2">
        <f t="shared" si="5"/>
        <v>500000</v>
      </c>
      <c r="Q44" s="2"/>
      <c r="R44" s="2"/>
      <c r="S44" s="2">
        <f>SUM(Q44:R44)</f>
        <v>0</v>
      </c>
      <c r="T44" s="2">
        <f t="shared" si="14"/>
        <v>400000</v>
      </c>
      <c r="U44" s="2">
        <f t="shared" si="19"/>
        <v>-400000</v>
      </c>
      <c r="V44" s="2">
        <f>U44-Z44-X44-Y44</f>
        <v>-400000</v>
      </c>
      <c r="W44" s="2"/>
      <c r="X44" s="2"/>
      <c r="Y44" s="2"/>
      <c r="Z44" s="1"/>
      <c r="AA44" s="94">
        <v>732000</v>
      </c>
      <c r="AB44" s="694"/>
    </row>
    <row r="45" spans="1:32" s="3" customFormat="1">
      <c r="A45" s="1">
        <f t="shared" si="10"/>
        <v>40</v>
      </c>
      <c r="B45" s="1">
        <v>1751</v>
      </c>
      <c r="C45" s="1" t="s">
        <v>221</v>
      </c>
      <c r="D45" s="2">
        <v>4800000</v>
      </c>
      <c r="E45" s="2">
        <v>4800000</v>
      </c>
      <c r="F45" s="2">
        <f t="shared" si="0"/>
        <v>0</v>
      </c>
      <c r="G45" s="2">
        <f>2500000+1500000</f>
        <v>4000000</v>
      </c>
      <c r="H45" s="2">
        <v>628343</v>
      </c>
      <c r="I45" s="2"/>
      <c r="J45" s="2">
        <v>1864344.66</v>
      </c>
      <c r="K45" s="2">
        <f t="shared" si="1"/>
        <v>1864344.66</v>
      </c>
      <c r="L45" s="2">
        <f t="shared" si="22"/>
        <v>2492687.66</v>
      </c>
      <c r="M45" s="2">
        <f t="shared" ref="M45:M56" si="23">P45+S45</f>
        <v>1507312.3399999999</v>
      </c>
      <c r="N45" s="2">
        <v>800000</v>
      </c>
      <c r="O45" s="2">
        <f t="shared" si="4"/>
        <v>0</v>
      </c>
      <c r="P45" s="2">
        <f t="shared" si="5"/>
        <v>1507312.3399999999</v>
      </c>
      <c r="Q45" s="2"/>
      <c r="R45" s="2"/>
      <c r="S45" s="2">
        <f t="shared" si="13"/>
        <v>0</v>
      </c>
      <c r="T45" s="2">
        <f t="shared" si="14"/>
        <v>0</v>
      </c>
      <c r="U45" s="2">
        <f t="shared" si="19"/>
        <v>800000</v>
      </c>
      <c r="V45" s="2">
        <f>U45-X45-Y45-Z45</f>
        <v>800000</v>
      </c>
      <c r="W45" s="2"/>
      <c r="X45" s="2"/>
      <c r="Y45" s="2"/>
      <c r="Z45" s="1"/>
      <c r="AA45" s="94">
        <v>810000</v>
      </c>
      <c r="AB45" s="694"/>
    </row>
    <row r="46" spans="1:32" s="9" customFormat="1" ht="15.75">
      <c r="A46" s="1">
        <f t="shared" si="10"/>
        <v>41</v>
      </c>
      <c r="B46" s="1">
        <v>1763</v>
      </c>
      <c r="C46" s="1" t="s">
        <v>229</v>
      </c>
      <c r="D46" s="2">
        <v>4200000</v>
      </c>
      <c r="E46" s="2">
        <v>4200000</v>
      </c>
      <c r="F46" s="2">
        <f t="shared" si="0"/>
        <v>0</v>
      </c>
      <c r="G46" s="2">
        <v>4200000</v>
      </c>
      <c r="H46" s="2">
        <v>2118690</v>
      </c>
      <c r="I46" s="2"/>
      <c r="J46" s="2">
        <v>2081122.89</v>
      </c>
      <c r="K46" s="2">
        <f t="shared" si="1"/>
        <v>2081122.89</v>
      </c>
      <c r="L46" s="2">
        <f t="shared" si="22"/>
        <v>4199812.8899999997</v>
      </c>
      <c r="M46" s="2">
        <f t="shared" si="23"/>
        <v>187.11000000033528</v>
      </c>
      <c r="N46" s="2"/>
      <c r="O46" s="2">
        <f t="shared" si="4"/>
        <v>0</v>
      </c>
      <c r="P46" s="2">
        <f t="shared" si="5"/>
        <v>187.11000000033528</v>
      </c>
      <c r="Q46" s="2"/>
      <c r="R46" s="2"/>
      <c r="S46" s="2">
        <f t="shared" si="13"/>
        <v>0</v>
      </c>
      <c r="T46" s="2">
        <f t="shared" si="14"/>
        <v>0</v>
      </c>
      <c r="U46" s="2">
        <f t="shared" si="19"/>
        <v>0</v>
      </c>
      <c r="V46" s="2">
        <f>U46-X46-Y46-Z46</f>
        <v>0</v>
      </c>
      <c r="W46" s="2"/>
      <c r="X46" s="2"/>
      <c r="Y46" s="2"/>
      <c r="Z46" s="1"/>
      <c r="AA46" s="94">
        <v>742000</v>
      </c>
      <c r="AB46" s="694"/>
      <c r="AC46" s="3"/>
      <c r="AD46" s="3"/>
      <c r="AE46" s="3"/>
      <c r="AF46" s="3"/>
    </row>
    <row r="47" spans="1:32" s="3" customFormat="1">
      <c r="A47" s="1">
        <f t="shared" si="10"/>
        <v>42</v>
      </c>
      <c r="B47" s="1">
        <v>1764</v>
      </c>
      <c r="C47" s="1" t="s">
        <v>220</v>
      </c>
      <c r="D47" s="2">
        <f>4800000+1200000</f>
        <v>6000000</v>
      </c>
      <c r="E47" s="2">
        <v>4800000</v>
      </c>
      <c r="F47" s="2">
        <f t="shared" si="0"/>
        <v>1200000</v>
      </c>
      <c r="G47" s="2">
        <v>4800000</v>
      </c>
      <c r="H47" s="2">
        <v>3175258</v>
      </c>
      <c r="I47" s="2"/>
      <c r="J47" s="2">
        <v>823593.73</v>
      </c>
      <c r="K47" s="2">
        <f t="shared" si="1"/>
        <v>823593.73</v>
      </c>
      <c r="L47" s="2">
        <f t="shared" si="22"/>
        <v>3998851.73</v>
      </c>
      <c r="M47" s="2">
        <f t="shared" si="23"/>
        <v>801148.27</v>
      </c>
      <c r="N47" s="2">
        <v>1200000</v>
      </c>
      <c r="O47" s="2">
        <f t="shared" si="4"/>
        <v>0</v>
      </c>
      <c r="P47" s="2">
        <f t="shared" si="5"/>
        <v>801148.27</v>
      </c>
      <c r="Q47" s="2"/>
      <c r="R47" s="2"/>
      <c r="S47" s="2">
        <f t="shared" si="13"/>
        <v>0</v>
      </c>
      <c r="T47" s="2">
        <f t="shared" si="14"/>
        <v>0</v>
      </c>
      <c r="U47" s="2">
        <f t="shared" si="19"/>
        <v>1200000</v>
      </c>
      <c r="V47" s="2">
        <f>U47-X47-Y47-Z47</f>
        <v>1200000</v>
      </c>
      <c r="W47" s="2"/>
      <c r="X47" s="2"/>
      <c r="Y47" s="2"/>
      <c r="Z47" s="1"/>
      <c r="AA47" s="94">
        <v>742000</v>
      </c>
      <c r="AB47" s="694"/>
    </row>
    <row r="48" spans="1:32" s="10" customFormat="1" ht="15.75">
      <c r="A48" s="1">
        <f t="shared" si="10"/>
        <v>43</v>
      </c>
      <c r="B48" s="1">
        <v>1765</v>
      </c>
      <c r="C48" s="1" t="s">
        <v>219</v>
      </c>
      <c r="D48" s="2">
        <v>2800000</v>
      </c>
      <c r="E48" s="2">
        <v>2800000</v>
      </c>
      <c r="F48" s="2">
        <f t="shared" si="0"/>
        <v>0</v>
      </c>
      <c r="G48" s="2">
        <f>2100000+700000</f>
        <v>2800000</v>
      </c>
      <c r="H48" s="2">
        <v>1605851.36</v>
      </c>
      <c r="I48" s="2"/>
      <c r="J48" s="2">
        <v>294913.65999999997</v>
      </c>
      <c r="K48" s="2">
        <f t="shared" si="1"/>
        <v>294913.65999999997</v>
      </c>
      <c r="L48" s="2">
        <f t="shared" si="22"/>
        <v>1900765.02</v>
      </c>
      <c r="M48" s="2">
        <f t="shared" si="23"/>
        <v>899234.98</v>
      </c>
      <c r="N48" s="2"/>
      <c r="O48" s="2">
        <f t="shared" si="4"/>
        <v>0</v>
      </c>
      <c r="P48" s="2">
        <f t="shared" si="5"/>
        <v>899234.98</v>
      </c>
      <c r="Q48" s="2"/>
      <c r="R48" s="2"/>
      <c r="S48" s="2">
        <f t="shared" si="13"/>
        <v>0</v>
      </c>
      <c r="T48" s="2">
        <f t="shared" si="14"/>
        <v>0</v>
      </c>
      <c r="U48" s="2">
        <f t="shared" si="19"/>
        <v>0</v>
      </c>
      <c r="V48" s="2">
        <f>U48-X48-Y48-Z48</f>
        <v>0</v>
      </c>
      <c r="W48" s="2"/>
      <c r="X48" s="2"/>
      <c r="Y48" s="2"/>
      <c r="Z48" s="1"/>
      <c r="AA48" s="94">
        <v>742000</v>
      </c>
      <c r="AB48" s="694"/>
      <c r="AC48" s="9"/>
      <c r="AD48" s="9"/>
      <c r="AE48" s="9"/>
      <c r="AF48" s="9"/>
    </row>
    <row r="49" spans="1:32" s="10" customFormat="1" ht="30">
      <c r="A49" s="1">
        <f t="shared" si="10"/>
        <v>44</v>
      </c>
      <c r="B49" s="1">
        <v>1772</v>
      </c>
      <c r="C49" s="1" t="s">
        <v>1003</v>
      </c>
      <c r="D49" s="2">
        <v>3210000</v>
      </c>
      <c r="E49" s="2">
        <v>3210000</v>
      </c>
      <c r="F49" s="2">
        <f t="shared" si="0"/>
        <v>0</v>
      </c>
      <c r="G49" s="2">
        <v>3210000</v>
      </c>
      <c r="H49" s="2">
        <v>2922582.84</v>
      </c>
      <c r="I49" s="2"/>
      <c r="J49" s="2">
        <v>263570.05</v>
      </c>
      <c r="K49" s="2">
        <f t="shared" si="1"/>
        <v>263570.05</v>
      </c>
      <c r="L49" s="2">
        <f t="shared" si="22"/>
        <v>3186152.8899999997</v>
      </c>
      <c r="M49" s="2">
        <f t="shared" si="23"/>
        <v>23847.110000000335</v>
      </c>
      <c r="N49" s="2"/>
      <c r="O49" s="2">
        <f t="shared" si="4"/>
        <v>0</v>
      </c>
      <c r="P49" s="2">
        <f t="shared" si="5"/>
        <v>23847.110000000335</v>
      </c>
      <c r="Q49" s="2"/>
      <c r="R49" s="2"/>
      <c r="S49" s="2">
        <f t="shared" si="13"/>
        <v>0</v>
      </c>
      <c r="T49" s="2">
        <f t="shared" si="14"/>
        <v>0</v>
      </c>
      <c r="U49" s="2">
        <f t="shared" si="19"/>
        <v>0</v>
      </c>
      <c r="V49" s="2">
        <f>U49-X49-Y49-Z49</f>
        <v>0</v>
      </c>
      <c r="W49" s="2"/>
      <c r="X49" s="2"/>
      <c r="Y49" s="2"/>
      <c r="Z49" s="2"/>
      <c r="AA49" s="94">
        <v>829000</v>
      </c>
    </row>
    <row r="50" spans="1:32" s="7" customFormat="1">
      <c r="A50" s="1">
        <f t="shared" si="10"/>
        <v>45</v>
      </c>
      <c r="B50" s="1">
        <v>1798</v>
      </c>
      <c r="C50" s="1" t="s">
        <v>233</v>
      </c>
      <c r="D50" s="2">
        <v>1600000</v>
      </c>
      <c r="E50" s="2">
        <v>1600000</v>
      </c>
      <c r="F50" s="2">
        <f t="shared" si="0"/>
        <v>0</v>
      </c>
      <c r="G50" s="2">
        <v>1600000</v>
      </c>
      <c r="H50" s="2">
        <v>437562</v>
      </c>
      <c r="I50" s="2"/>
      <c r="J50" s="2">
        <v>642832.57999999996</v>
      </c>
      <c r="K50" s="2">
        <f t="shared" si="1"/>
        <v>642832.57999999996</v>
      </c>
      <c r="L50" s="2">
        <f t="shared" si="22"/>
        <v>1080394.58</v>
      </c>
      <c r="M50" s="2">
        <f t="shared" si="23"/>
        <v>519605.41999999993</v>
      </c>
      <c r="N50" s="2"/>
      <c r="O50" s="2">
        <f t="shared" si="4"/>
        <v>0</v>
      </c>
      <c r="P50" s="2">
        <f t="shared" si="5"/>
        <v>519605.41999999993</v>
      </c>
      <c r="Q50" s="2"/>
      <c r="R50" s="2"/>
      <c r="S50" s="2">
        <f>SUM(Q50:R50)</f>
        <v>0</v>
      </c>
      <c r="T50" s="2">
        <f t="shared" si="14"/>
        <v>0</v>
      </c>
      <c r="U50" s="2">
        <f t="shared" si="19"/>
        <v>0</v>
      </c>
      <c r="V50" s="2">
        <f>U50-Z50-X50-Y50</f>
        <v>0</v>
      </c>
      <c r="W50" s="2"/>
      <c r="X50" s="2"/>
      <c r="Y50" s="2"/>
      <c r="Z50" s="1"/>
      <c r="AA50" s="94">
        <v>829000</v>
      </c>
      <c r="AB50" s="694"/>
    </row>
    <row r="51" spans="1:32">
      <c r="A51" s="1">
        <f t="shared" si="10"/>
        <v>46</v>
      </c>
      <c r="B51" s="1">
        <v>1806</v>
      </c>
      <c r="C51" s="1" t="s">
        <v>278</v>
      </c>
      <c r="D51" s="2">
        <v>500000</v>
      </c>
      <c r="E51" s="2">
        <v>500000</v>
      </c>
      <c r="F51" s="2">
        <f t="shared" si="0"/>
        <v>0</v>
      </c>
      <c r="G51" s="2">
        <v>350000</v>
      </c>
      <c r="H51" s="2">
        <v>55809</v>
      </c>
      <c r="I51" s="2"/>
      <c r="J51" s="2">
        <v>143325</v>
      </c>
      <c r="K51" s="2">
        <f t="shared" si="1"/>
        <v>143325</v>
      </c>
      <c r="L51" s="2">
        <f t="shared" si="22"/>
        <v>199134</v>
      </c>
      <c r="M51" s="2">
        <f t="shared" si="23"/>
        <v>150866</v>
      </c>
      <c r="N51" s="2"/>
      <c r="O51" s="2">
        <f t="shared" si="4"/>
        <v>150000</v>
      </c>
      <c r="P51" s="2">
        <f t="shared" si="5"/>
        <v>150866</v>
      </c>
      <c r="Q51" s="2"/>
      <c r="R51" s="2"/>
      <c r="S51" s="2">
        <f t="shared" si="13"/>
        <v>0</v>
      </c>
      <c r="T51" s="2">
        <f t="shared" si="14"/>
        <v>0</v>
      </c>
      <c r="U51" s="2">
        <f t="shared" si="19"/>
        <v>0</v>
      </c>
      <c r="V51" s="2">
        <f>U51-X51-Y51-Z51</f>
        <v>0</v>
      </c>
      <c r="W51" s="2"/>
      <c r="X51" s="2"/>
      <c r="Y51" s="2"/>
      <c r="Z51" s="1"/>
      <c r="AA51" s="94">
        <v>732000</v>
      </c>
      <c r="AB51" s="695"/>
      <c r="AC51" s="10"/>
      <c r="AD51" s="10"/>
      <c r="AE51" s="10"/>
      <c r="AF51" s="10"/>
    </row>
    <row r="52" spans="1:32">
      <c r="A52" s="1">
        <f t="shared" si="10"/>
        <v>47</v>
      </c>
      <c r="B52" s="1">
        <v>1807</v>
      </c>
      <c r="C52" s="1" t="s">
        <v>239</v>
      </c>
      <c r="D52" s="2">
        <v>2700000</v>
      </c>
      <c r="E52" s="2">
        <v>2700000</v>
      </c>
      <c r="F52" s="2">
        <f t="shared" si="0"/>
        <v>0</v>
      </c>
      <c r="G52" s="2">
        <v>2700000</v>
      </c>
      <c r="H52" s="2">
        <v>2017606</v>
      </c>
      <c r="I52" s="2"/>
      <c r="J52" s="2">
        <v>578039.97</v>
      </c>
      <c r="K52" s="2">
        <f t="shared" si="1"/>
        <v>578039.97</v>
      </c>
      <c r="L52" s="2">
        <f t="shared" si="22"/>
        <v>2595645.9699999997</v>
      </c>
      <c r="M52" s="2">
        <f t="shared" si="23"/>
        <v>104354.03000000026</v>
      </c>
      <c r="N52" s="2"/>
      <c r="O52" s="2">
        <f t="shared" si="4"/>
        <v>0</v>
      </c>
      <c r="P52" s="2">
        <f t="shared" si="5"/>
        <v>104354.03000000026</v>
      </c>
      <c r="Q52" s="2"/>
      <c r="R52" s="2"/>
      <c r="S52" s="2">
        <f t="shared" si="13"/>
        <v>0</v>
      </c>
      <c r="T52" s="2">
        <f t="shared" si="14"/>
        <v>0</v>
      </c>
      <c r="U52" s="2">
        <f t="shared" si="19"/>
        <v>0</v>
      </c>
      <c r="V52" s="2">
        <f>U52-X52-Y52-Z52</f>
        <v>0</v>
      </c>
      <c r="W52" s="2"/>
      <c r="X52" s="2"/>
      <c r="Y52" s="2"/>
      <c r="Z52" s="1"/>
      <c r="AA52" s="94">
        <v>742000</v>
      </c>
      <c r="AB52" s="10"/>
      <c r="AC52" s="10"/>
      <c r="AD52" s="10"/>
      <c r="AE52" s="10"/>
      <c r="AF52" s="10"/>
    </row>
    <row r="53" spans="1:32">
      <c r="A53" s="1">
        <f t="shared" si="10"/>
        <v>48</v>
      </c>
      <c r="B53" s="1">
        <v>1808</v>
      </c>
      <c r="C53" s="1" t="s">
        <v>240</v>
      </c>
      <c r="D53" s="2">
        <f>1400000+400000</f>
        <v>1800000</v>
      </c>
      <c r="E53" s="2">
        <v>1400000</v>
      </c>
      <c r="F53" s="2">
        <f t="shared" si="0"/>
        <v>400000</v>
      </c>
      <c r="G53" s="2">
        <v>1400000</v>
      </c>
      <c r="H53" s="2">
        <v>117506</v>
      </c>
      <c r="I53" s="2"/>
      <c r="J53" s="2">
        <v>232204.61</v>
      </c>
      <c r="K53" s="2">
        <f t="shared" si="1"/>
        <v>232204.61</v>
      </c>
      <c r="L53" s="2">
        <f t="shared" si="22"/>
        <v>349710.61</v>
      </c>
      <c r="M53" s="2">
        <f t="shared" si="23"/>
        <v>1050289.3900000001</v>
      </c>
      <c r="N53" s="2">
        <v>400000</v>
      </c>
      <c r="O53" s="2">
        <f t="shared" si="4"/>
        <v>0</v>
      </c>
      <c r="P53" s="2">
        <f t="shared" si="5"/>
        <v>1050289.3900000001</v>
      </c>
      <c r="Q53" s="2"/>
      <c r="R53" s="2"/>
      <c r="S53" s="2">
        <f t="shared" ref="S53:S81" si="24">SUM(Q53:R53)</f>
        <v>0</v>
      </c>
      <c r="T53" s="2">
        <f t="shared" ref="T53:T81" si="25">P53-M53+S53</f>
        <v>0</v>
      </c>
      <c r="U53" s="2">
        <f t="shared" si="19"/>
        <v>400000</v>
      </c>
      <c r="V53" s="2">
        <f>U53-X53-Y53-Z53</f>
        <v>400000</v>
      </c>
      <c r="W53" s="2"/>
      <c r="X53" s="2"/>
      <c r="Y53" s="2"/>
      <c r="Z53" s="1"/>
      <c r="AA53" s="94">
        <v>742000</v>
      </c>
    </row>
    <row r="54" spans="1:32">
      <c r="A54" s="1">
        <f t="shared" si="10"/>
        <v>49</v>
      </c>
      <c r="B54" s="75">
        <v>1809</v>
      </c>
      <c r="C54" s="1" t="s">
        <v>241</v>
      </c>
      <c r="D54" s="2">
        <v>680000</v>
      </c>
      <c r="E54" s="2">
        <v>680000</v>
      </c>
      <c r="F54" s="2">
        <f t="shared" si="0"/>
        <v>0</v>
      </c>
      <c r="G54" s="2">
        <v>680000</v>
      </c>
      <c r="H54" s="2">
        <v>260545</v>
      </c>
      <c r="I54" s="2"/>
      <c r="J54" s="2">
        <v>413976.2</v>
      </c>
      <c r="K54" s="2">
        <f t="shared" si="1"/>
        <v>413976.2</v>
      </c>
      <c r="L54" s="2">
        <f t="shared" si="22"/>
        <v>674521.2</v>
      </c>
      <c r="M54" s="2">
        <f t="shared" si="23"/>
        <v>5478.8000000000466</v>
      </c>
      <c r="N54" s="2"/>
      <c r="O54" s="2">
        <f t="shared" si="4"/>
        <v>0</v>
      </c>
      <c r="P54" s="2">
        <f t="shared" si="5"/>
        <v>5478.8000000000466</v>
      </c>
      <c r="Q54" s="2"/>
      <c r="R54" s="2"/>
      <c r="S54" s="2">
        <f t="shared" si="24"/>
        <v>0</v>
      </c>
      <c r="T54" s="2">
        <f t="shared" si="25"/>
        <v>0</v>
      </c>
      <c r="U54" s="2">
        <f t="shared" si="19"/>
        <v>0</v>
      </c>
      <c r="V54" s="2">
        <f>U54-X54-Y54-Z54</f>
        <v>0</v>
      </c>
      <c r="W54" s="2"/>
      <c r="X54" s="2"/>
      <c r="Y54" s="2"/>
      <c r="Z54" s="1"/>
      <c r="AA54" s="94">
        <v>742000</v>
      </c>
    </row>
    <row r="55" spans="1:32">
      <c r="A55" s="1">
        <f t="shared" si="10"/>
        <v>50</v>
      </c>
      <c r="B55" s="8">
        <v>1819</v>
      </c>
      <c r="C55" s="1" t="s">
        <v>238</v>
      </c>
      <c r="D55" s="2">
        <v>18000000</v>
      </c>
      <c r="E55" s="2">
        <v>18000000</v>
      </c>
      <c r="F55" s="2">
        <f t="shared" si="0"/>
        <v>0</v>
      </c>
      <c r="G55" s="2">
        <v>400000</v>
      </c>
      <c r="H55" s="2">
        <v>238944.1</v>
      </c>
      <c r="I55" s="2"/>
      <c r="J55" s="2">
        <v>152289.18</v>
      </c>
      <c r="K55" s="2">
        <f t="shared" si="1"/>
        <v>152289.18</v>
      </c>
      <c r="L55" s="2">
        <f t="shared" si="22"/>
        <v>391233.28000000003</v>
      </c>
      <c r="M55" s="2">
        <f t="shared" si="23"/>
        <v>1808766.72</v>
      </c>
      <c r="N55" s="2">
        <f>15600000+200000-8800000</f>
        <v>7000000</v>
      </c>
      <c r="O55" s="2">
        <f t="shared" si="4"/>
        <v>8799999.9999999981</v>
      </c>
      <c r="P55" s="2">
        <f t="shared" si="5"/>
        <v>8766.7199999999721</v>
      </c>
      <c r="Q55" s="151">
        <f>2000000-200000</f>
        <v>1800000</v>
      </c>
      <c r="R55" s="2"/>
      <c r="S55" s="2">
        <f t="shared" si="24"/>
        <v>1800000</v>
      </c>
      <c r="T55" s="2">
        <f t="shared" si="25"/>
        <v>0</v>
      </c>
      <c r="U55" s="2">
        <f t="shared" si="19"/>
        <v>7000000</v>
      </c>
      <c r="V55" s="2">
        <f>U55-X55-Y55-Z55</f>
        <v>7000000</v>
      </c>
      <c r="W55" s="2"/>
      <c r="X55" s="2"/>
      <c r="Y55" s="2"/>
      <c r="Z55" s="1"/>
      <c r="AA55" s="94">
        <v>742000</v>
      </c>
    </row>
    <row r="56" spans="1:32" s="3" customFormat="1" ht="30">
      <c r="A56" s="1">
        <f t="shared" si="10"/>
        <v>51</v>
      </c>
      <c r="B56" s="1">
        <v>1825</v>
      </c>
      <c r="C56" s="1" t="s">
        <v>1149</v>
      </c>
      <c r="D56" s="2">
        <f>35000000+1000000</f>
        <v>36000000</v>
      </c>
      <c r="E56" s="2">
        <v>35000000</v>
      </c>
      <c r="F56" s="2">
        <f t="shared" si="0"/>
        <v>1000000</v>
      </c>
      <c r="G56" s="2">
        <f>5900000+817010+7982160</f>
        <v>14699170</v>
      </c>
      <c r="H56" s="2">
        <v>1049503</v>
      </c>
      <c r="I56" s="2"/>
      <c r="J56" s="2">
        <v>319673.84000000003</v>
      </c>
      <c r="K56" s="2">
        <f t="shared" si="1"/>
        <v>319673.84000000003</v>
      </c>
      <c r="L56" s="2">
        <f t="shared" si="22"/>
        <v>1369176.84</v>
      </c>
      <c r="M56" s="2">
        <f t="shared" si="23"/>
        <v>13329993.16</v>
      </c>
      <c r="N56" s="2">
        <f>21300000+830</f>
        <v>21300830</v>
      </c>
      <c r="O56" s="2">
        <f t="shared" si="4"/>
        <v>0</v>
      </c>
      <c r="P56" s="2">
        <f t="shared" si="5"/>
        <v>13329993.16</v>
      </c>
      <c r="Q56" s="2"/>
      <c r="R56" s="150"/>
      <c r="S56" s="2">
        <f>SUM(Q56:R56)</f>
        <v>0</v>
      </c>
      <c r="T56" s="2">
        <f t="shared" si="25"/>
        <v>0</v>
      </c>
      <c r="U56" s="2">
        <f t="shared" si="19"/>
        <v>21300830</v>
      </c>
      <c r="V56" s="2">
        <f>U56-Z56-X56-Y56</f>
        <v>13318670</v>
      </c>
      <c r="W56" s="2"/>
      <c r="X56" s="2"/>
      <c r="Y56" s="2"/>
      <c r="Z56" s="2">
        <v>7982160</v>
      </c>
      <c r="AA56" s="94">
        <v>810000</v>
      </c>
    </row>
    <row r="57" spans="1:32">
      <c r="A57" s="1">
        <f t="shared" si="10"/>
        <v>52</v>
      </c>
      <c r="B57" s="8">
        <v>1833</v>
      </c>
      <c r="C57" s="1" t="s">
        <v>267</v>
      </c>
      <c r="D57" s="2">
        <f>20000000+4000000</f>
        <v>24000000</v>
      </c>
      <c r="E57" s="2">
        <v>20000000</v>
      </c>
      <c r="F57" s="2">
        <f t="shared" si="0"/>
        <v>4000000</v>
      </c>
      <c r="G57" s="2">
        <v>500000</v>
      </c>
      <c r="H57" s="2">
        <v>2480</v>
      </c>
      <c r="I57" s="2"/>
      <c r="J57" s="2">
        <v>497517.93</v>
      </c>
      <c r="K57" s="2">
        <f t="shared" si="1"/>
        <v>497517.93</v>
      </c>
      <c r="L57" s="2">
        <f t="shared" ref="L57:L62" si="26">K57+H57</f>
        <v>499997.93</v>
      </c>
      <c r="M57" s="2">
        <f t="shared" ref="M57:M62" si="27">P57+S57</f>
        <v>2.0700000000069849</v>
      </c>
      <c r="N57" s="2">
        <v>14400000</v>
      </c>
      <c r="O57" s="2">
        <f t="shared" si="4"/>
        <v>9100000</v>
      </c>
      <c r="P57" s="2">
        <f t="shared" si="5"/>
        <v>2.0700000000069849</v>
      </c>
      <c r="Q57" s="2"/>
      <c r="R57" s="2"/>
      <c r="S57" s="2">
        <f t="shared" si="24"/>
        <v>0</v>
      </c>
      <c r="T57" s="2">
        <f t="shared" si="25"/>
        <v>0</v>
      </c>
      <c r="U57" s="2">
        <f t="shared" si="19"/>
        <v>14400000</v>
      </c>
      <c r="V57" s="2">
        <f>U57-X57-Y57-Z57</f>
        <v>0</v>
      </c>
      <c r="W57" s="2"/>
      <c r="X57" s="2"/>
      <c r="Y57" s="2"/>
      <c r="Z57" s="2">
        <v>14400000</v>
      </c>
      <c r="AA57" s="94">
        <v>829000</v>
      </c>
    </row>
    <row r="58" spans="1:32" s="3" customFormat="1">
      <c r="A58" s="1">
        <f t="shared" si="10"/>
        <v>53</v>
      </c>
      <c r="B58" s="1">
        <v>1834</v>
      </c>
      <c r="C58" s="1" t="s">
        <v>248</v>
      </c>
      <c r="D58" s="2">
        <f>40000000+20000000</f>
        <v>60000000</v>
      </c>
      <c r="E58" s="2">
        <v>40000000</v>
      </c>
      <c r="F58" s="2">
        <f t="shared" si="0"/>
        <v>20000000</v>
      </c>
      <c r="G58" s="2">
        <v>350000</v>
      </c>
      <c r="H58" s="2">
        <v>32256</v>
      </c>
      <c r="I58" s="2"/>
      <c r="J58" s="2">
        <v>36152.370000000003</v>
      </c>
      <c r="K58" s="2">
        <f t="shared" si="1"/>
        <v>36152.370000000003</v>
      </c>
      <c r="L58" s="2">
        <f t="shared" si="26"/>
        <v>68408.37</v>
      </c>
      <c r="M58" s="2">
        <f t="shared" si="27"/>
        <v>2031591.63</v>
      </c>
      <c r="N58" s="2">
        <v>3000000</v>
      </c>
      <c r="O58" s="2">
        <f t="shared" si="4"/>
        <v>54900000</v>
      </c>
      <c r="P58" s="2">
        <f t="shared" si="5"/>
        <v>281591.63</v>
      </c>
      <c r="Q58" s="151">
        <v>1750000</v>
      </c>
      <c r="R58" s="2"/>
      <c r="S58" s="2">
        <f>SUM(Q58:R58)</f>
        <v>1750000</v>
      </c>
      <c r="T58" s="2">
        <f t="shared" si="25"/>
        <v>0</v>
      </c>
      <c r="U58" s="2">
        <f t="shared" si="19"/>
        <v>3000000</v>
      </c>
      <c r="V58" s="2">
        <f>U58-Z58-X58-Y58</f>
        <v>3000000</v>
      </c>
      <c r="W58" s="2"/>
      <c r="X58" s="2"/>
      <c r="Y58" s="2"/>
      <c r="Z58" s="1"/>
      <c r="AA58" s="94">
        <v>824000</v>
      </c>
    </row>
    <row r="59" spans="1:32" s="3" customFormat="1">
      <c r="A59" s="1">
        <f t="shared" si="10"/>
        <v>54</v>
      </c>
      <c r="B59" s="1">
        <v>1835</v>
      </c>
      <c r="C59" s="1" t="s">
        <v>249</v>
      </c>
      <c r="D59" s="2">
        <f>30000000+28000000</f>
        <v>58000000</v>
      </c>
      <c r="E59" s="2">
        <v>30000000</v>
      </c>
      <c r="F59" s="2">
        <f t="shared" si="0"/>
        <v>28000000</v>
      </c>
      <c r="G59" s="2">
        <f>400000+200000</f>
        <v>600000</v>
      </c>
      <c r="H59" s="2">
        <v>168842</v>
      </c>
      <c r="I59" s="2"/>
      <c r="J59" s="2">
        <v>173361.47</v>
      </c>
      <c r="K59" s="2">
        <f t="shared" si="1"/>
        <v>173361.47</v>
      </c>
      <c r="L59" s="2">
        <f t="shared" si="26"/>
        <v>342203.47</v>
      </c>
      <c r="M59" s="2">
        <f t="shared" si="27"/>
        <v>3057796.5300000003</v>
      </c>
      <c r="N59" s="2">
        <f>11500000-3000000</f>
        <v>8500000</v>
      </c>
      <c r="O59" s="2">
        <f t="shared" si="4"/>
        <v>46100000</v>
      </c>
      <c r="P59" s="2">
        <f t="shared" si="5"/>
        <v>257796.53000000003</v>
      </c>
      <c r="Q59" s="151">
        <f>2800000+200000-200000</f>
        <v>2800000</v>
      </c>
      <c r="R59" s="2"/>
      <c r="S59" s="2">
        <f>SUM(Q59:R59)</f>
        <v>2800000</v>
      </c>
      <c r="T59" s="2">
        <f t="shared" si="25"/>
        <v>0</v>
      </c>
      <c r="U59" s="2">
        <f t="shared" si="19"/>
        <v>8500000</v>
      </c>
      <c r="V59" s="2">
        <f>U59-Z59-X59-Y59</f>
        <v>8500000</v>
      </c>
      <c r="W59" s="2"/>
      <c r="X59" s="2"/>
      <c r="Y59" s="2"/>
      <c r="Z59" s="1"/>
      <c r="AA59" s="94">
        <v>824000</v>
      </c>
    </row>
    <row r="60" spans="1:32" s="3" customFormat="1">
      <c r="A60" s="1">
        <f t="shared" si="10"/>
        <v>55</v>
      </c>
      <c r="B60" s="1">
        <v>1836</v>
      </c>
      <c r="C60" s="1" t="s">
        <v>250</v>
      </c>
      <c r="D60" s="2">
        <v>500000</v>
      </c>
      <c r="E60" s="2">
        <v>500000</v>
      </c>
      <c r="F60" s="2">
        <f t="shared" si="0"/>
        <v>0</v>
      </c>
      <c r="G60" s="2">
        <v>500000</v>
      </c>
      <c r="H60" s="2">
        <v>125392</v>
      </c>
      <c r="I60" s="2"/>
      <c r="J60" s="2">
        <v>259732.76</v>
      </c>
      <c r="K60" s="2">
        <f t="shared" si="1"/>
        <v>259732.76</v>
      </c>
      <c r="L60" s="2">
        <f t="shared" si="26"/>
        <v>385124.76</v>
      </c>
      <c r="M60" s="2">
        <f t="shared" si="27"/>
        <v>114875.23999999999</v>
      </c>
      <c r="N60" s="2"/>
      <c r="O60" s="2">
        <f t="shared" si="4"/>
        <v>0</v>
      </c>
      <c r="P60" s="2">
        <f t="shared" si="5"/>
        <v>114875.23999999999</v>
      </c>
      <c r="Q60" s="2"/>
      <c r="R60" s="2"/>
      <c r="S60" s="2">
        <f>SUM(Q60:R60)</f>
        <v>0</v>
      </c>
      <c r="T60" s="2">
        <f t="shared" si="25"/>
        <v>0</v>
      </c>
      <c r="U60" s="2">
        <f t="shared" si="19"/>
        <v>0</v>
      </c>
      <c r="V60" s="2">
        <f>U60-Z60-X60-Y60</f>
        <v>0</v>
      </c>
      <c r="W60" s="2"/>
      <c r="X60" s="2"/>
      <c r="Y60" s="2"/>
      <c r="Z60" s="1"/>
      <c r="AA60" s="94">
        <v>930000</v>
      </c>
    </row>
    <row r="61" spans="1:32">
      <c r="A61" s="1">
        <f t="shared" si="10"/>
        <v>56</v>
      </c>
      <c r="B61" s="8">
        <v>1837</v>
      </c>
      <c r="C61" s="1" t="s">
        <v>268</v>
      </c>
      <c r="D61" s="2">
        <f>3000000+200000</f>
        <v>3200000</v>
      </c>
      <c r="E61" s="2">
        <v>3000000</v>
      </c>
      <c r="F61" s="2">
        <f t="shared" si="0"/>
        <v>200000</v>
      </c>
      <c r="G61" s="2">
        <v>175000</v>
      </c>
      <c r="H61" s="2">
        <v>71033</v>
      </c>
      <c r="I61" s="2"/>
      <c r="J61" s="2">
        <v>28967.439999999999</v>
      </c>
      <c r="K61" s="2">
        <f t="shared" si="1"/>
        <v>28967.439999999999</v>
      </c>
      <c r="L61" s="2">
        <f t="shared" si="26"/>
        <v>100000.44</v>
      </c>
      <c r="M61" s="2">
        <f t="shared" si="27"/>
        <v>1899999.56</v>
      </c>
      <c r="N61" s="2">
        <f>1000000+200000</f>
        <v>1200000</v>
      </c>
      <c r="O61" s="2">
        <f t="shared" si="4"/>
        <v>0</v>
      </c>
      <c r="P61" s="2">
        <f t="shared" si="5"/>
        <v>74999.56</v>
      </c>
      <c r="Q61" s="151">
        <v>1825000</v>
      </c>
      <c r="R61" s="2"/>
      <c r="S61" s="2">
        <f t="shared" si="24"/>
        <v>1825000</v>
      </c>
      <c r="T61" s="2">
        <f t="shared" si="25"/>
        <v>0</v>
      </c>
      <c r="U61" s="2">
        <f t="shared" si="19"/>
        <v>1200000</v>
      </c>
      <c r="V61" s="2">
        <f t="shared" ref="V61:V68" si="28">U61-X61-Y61-Z61</f>
        <v>1200000</v>
      </c>
      <c r="W61" s="2"/>
      <c r="X61" s="2"/>
      <c r="Y61" s="2"/>
      <c r="Z61" s="1"/>
      <c r="AA61" s="94">
        <v>850000</v>
      </c>
    </row>
    <row r="62" spans="1:32">
      <c r="A62" s="1">
        <f t="shared" si="10"/>
        <v>57</v>
      </c>
      <c r="B62" s="8">
        <v>1845</v>
      </c>
      <c r="C62" s="1" t="s">
        <v>269</v>
      </c>
      <c r="D62" s="2">
        <v>1500000</v>
      </c>
      <c r="E62" s="2">
        <v>1500000</v>
      </c>
      <c r="F62" s="2">
        <f t="shared" si="0"/>
        <v>0</v>
      </c>
      <c r="G62" s="2">
        <v>200000</v>
      </c>
      <c r="H62" s="2">
        <v>0</v>
      </c>
      <c r="I62" s="2"/>
      <c r="J62" s="2"/>
      <c r="K62" s="2">
        <f t="shared" si="1"/>
        <v>0</v>
      </c>
      <c r="L62" s="2">
        <f t="shared" si="26"/>
        <v>0</v>
      </c>
      <c r="M62" s="2">
        <f t="shared" si="27"/>
        <v>400000</v>
      </c>
      <c r="N62" s="2">
        <v>100000</v>
      </c>
      <c r="O62" s="2">
        <f t="shared" si="4"/>
        <v>1000000</v>
      </c>
      <c r="P62" s="2">
        <f t="shared" si="5"/>
        <v>200000</v>
      </c>
      <c r="Q62" s="151">
        <v>200000</v>
      </c>
      <c r="R62" s="2"/>
      <c r="S62" s="2">
        <f t="shared" si="24"/>
        <v>200000</v>
      </c>
      <c r="T62" s="2">
        <f t="shared" si="25"/>
        <v>0</v>
      </c>
      <c r="U62" s="2">
        <f t="shared" ref="U62:U67" si="29">N62-T62</f>
        <v>100000</v>
      </c>
      <c r="V62" s="2">
        <f t="shared" si="28"/>
        <v>100000</v>
      </c>
      <c r="W62" s="2"/>
      <c r="X62" s="2"/>
      <c r="Y62" s="2"/>
      <c r="Z62" s="1"/>
      <c r="AA62" s="94">
        <v>742000</v>
      </c>
    </row>
    <row r="63" spans="1:32">
      <c r="A63" s="1">
        <f t="shared" si="10"/>
        <v>58</v>
      </c>
      <c r="B63" s="8">
        <v>1846</v>
      </c>
      <c r="C63" s="1" t="s">
        <v>270</v>
      </c>
      <c r="D63" s="2">
        <v>2500000</v>
      </c>
      <c r="E63" s="2">
        <v>2500000</v>
      </c>
      <c r="F63" s="2">
        <f t="shared" si="0"/>
        <v>0</v>
      </c>
      <c r="G63" s="2">
        <v>2500000</v>
      </c>
      <c r="H63" s="2">
        <v>108356</v>
      </c>
      <c r="I63" s="2"/>
      <c r="J63" s="2">
        <v>391643.23</v>
      </c>
      <c r="K63" s="2">
        <f t="shared" si="1"/>
        <v>391643.23</v>
      </c>
      <c r="L63" s="2">
        <f>K63+H63</f>
        <v>499999.23</v>
      </c>
      <c r="M63" s="2">
        <f>P63+S63-1000000</f>
        <v>1000000.77</v>
      </c>
      <c r="N63" s="2"/>
      <c r="O63" s="2">
        <f t="shared" si="4"/>
        <v>1000000</v>
      </c>
      <c r="P63" s="2">
        <f t="shared" si="5"/>
        <v>2000000.77</v>
      </c>
      <c r="Q63" s="2"/>
      <c r="R63" s="2"/>
      <c r="S63" s="2">
        <f t="shared" si="24"/>
        <v>0</v>
      </c>
      <c r="T63" s="2">
        <f t="shared" si="25"/>
        <v>1000000</v>
      </c>
      <c r="U63" s="2">
        <f t="shared" si="29"/>
        <v>-1000000</v>
      </c>
      <c r="V63" s="2">
        <f t="shared" si="28"/>
        <v>-1000000</v>
      </c>
      <c r="W63" s="2"/>
      <c r="X63" s="2"/>
      <c r="Y63" s="2"/>
      <c r="Z63" s="1"/>
      <c r="AA63" s="94">
        <v>732000</v>
      </c>
    </row>
    <row r="64" spans="1:32">
      <c r="A64" s="1">
        <f t="shared" si="10"/>
        <v>59</v>
      </c>
      <c r="B64" s="8">
        <v>1847</v>
      </c>
      <c r="C64" s="1" t="s">
        <v>927</v>
      </c>
      <c r="D64" s="2">
        <v>7340000</v>
      </c>
      <c r="E64" s="2">
        <v>7340000</v>
      </c>
      <c r="F64" s="2">
        <f t="shared" si="0"/>
        <v>0</v>
      </c>
      <c r="G64" s="2">
        <v>7340000</v>
      </c>
      <c r="H64" s="2">
        <v>6891340</v>
      </c>
      <c r="I64" s="2"/>
      <c r="J64" s="2">
        <v>421312.69</v>
      </c>
      <c r="K64" s="2">
        <f t="shared" si="1"/>
        <v>421312.69</v>
      </c>
      <c r="L64" s="2">
        <f>K64+H64</f>
        <v>7312652.6900000004</v>
      </c>
      <c r="M64" s="2">
        <f>P64+S64</f>
        <v>27347.30999999959</v>
      </c>
      <c r="N64" s="2"/>
      <c r="O64" s="2">
        <f t="shared" si="4"/>
        <v>0</v>
      </c>
      <c r="P64" s="2">
        <f t="shared" si="5"/>
        <v>27347.30999999959</v>
      </c>
      <c r="Q64" s="2"/>
      <c r="R64" s="2"/>
      <c r="S64" s="2">
        <f t="shared" si="24"/>
        <v>0</v>
      </c>
      <c r="T64" s="2">
        <f t="shared" si="25"/>
        <v>0</v>
      </c>
      <c r="U64" s="2">
        <f t="shared" si="29"/>
        <v>0</v>
      </c>
      <c r="V64" s="2">
        <f t="shared" si="28"/>
        <v>0</v>
      </c>
      <c r="W64" s="2"/>
      <c r="X64" s="2"/>
      <c r="Y64" s="2"/>
      <c r="Z64" s="1"/>
      <c r="AA64" s="94">
        <v>810000</v>
      </c>
    </row>
    <row r="65" spans="1:30" s="3" customFormat="1">
      <c r="A65" s="1">
        <f t="shared" si="10"/>
        <v>60</v>
      </c>
      <c r="B65" s="1">
        <v>1854</v>
      </c>
      <c r="C65" s="1" t="s">
        <v>427</v>
      </c>
      <c r="D65" s="2">
        <v>5600000</v>
      </c>
      <c r="E65" s="2">
        <v>5600000</v>
      </c>
      <c r="F65" s="2">
        <f t="shared" si="0"/>
        <v>0</v>
      </c>
      <c r="G65" s="2">
        <f>4601120+998880</f>
        <v>5600000</v>
      </c>
      <c r="H65" s="2">
        <v>2326383</v>
      </c>
      <c r="I65" s="2"/>
      <c r="J65" s="2">
        <v>3050956.02</v>
      </c>
      <c r="K65" s="2">
        <f t="shared" si="1"/>
        <v>3050956.02</v>
      </c>
      <c r="L65" s="2">
        <f t="shared" ref="L65:L81" si="30">K65+H65</f>
        <v>5377339.0199999996</v>
      </c>
      <c r="M65" s="2">
        <f t="shared" ref="M65:M81" si="31">P65+S65</f>
        <v>222660.98000000045</v>
      </c>
      <c r="N65" s="2"/>
      <c r="O65" s="2">
        <f t="shared" si="4"/>
        <v>0</v>
      </c>
      <c r="P65" s="2">
        <f t="shared" si="5"/>
        <v>222660.98000000045</v>
      </c>
      <c r="Q65" s="2"/>
      <c r="R65" s="2"/>
      <c r="S65" s="2">
        <f t="shared" si="24"/>
        <v>0</v>
      </c>
      <c r="T65" s="2">
        <f t="shared" si="25"/>
        <v>0</v>
      </c>
      <c r="U65" s="2">
        <f t="shared" si="29"/>
        <v>0</v>
      </c>
      <c r="V65" s="2">
        <f t="shared" si="28"/>
        <v>0</v>
      </c>
      <c r="W65" s="2"/>
      <c r="X65" s="2"/>
      <c r="Y65" s="2"/>
      <c r="Z65" s="2"/>
      <c r="AA65" s="662">
        <v>810000</v>
      </c>
    </row>
    <row r="66" spans="1:30">
      <c r="A66" s="1">
        <f t="shared" si="10"/>
        <v>61</v>
      </c>
      <c r="B66" s="8">
        <v>1894</v>
      </c>
      <c r="C66" s="1" t="s">
        <v>928</v>
      </c>
      <c r="D66" s="2">
        <v>7100000</v>
      </c>
      <c r="E66" s="2">
        <v>7100000</v>
      </c>
      <c r="F66" s="2">
        <f t="shared" si="0"/>
        <v>0</v>
      </c>
      <c r="G66" s="2">
        <v>7100000</v>
      </c>
      <c r="H66" s="2">
        <v>3151157</v>
      </c>
      <c r="I66" s="2"/>
      <c r="J66" s="2">
        <v>2956646.17</v>
      </c>
      <c r="K66" s="2">
        <f t="shared" si="1"/>
        <v>2956646.17</v>
      </c>
      <c r="L66" s="2">
        <f t="shared" si="30"/>
        <v>6107803.1699999999</v>
      </c>
      <c r="M66" s="2">
        <f t="shared" si="31"/>
        <v>992196.83000000007</v>
      </c>
      <c r="N66" s="2"/>
      <c r="O66" s="2">
        <f t="shared" si="4"/>
        <v>0</v>
      </c>
      <c r="P66" s="2">
        <f t="shared" si="5"/>
        <v>992196.83000000007</v>
      </c>
      <c r="Q66" s="2"/>
      <c r="R66" s="2"/>
      <c r="S66" s="2">
        <f t="shared" si="24"/>
        <v>0</v>
      </c>
      <c r="T66" s="2">
        <f t="shared" si="25"/>
        <v>0</v>
      </c>
      <c r="U66" s="2">
        <f t="shared" si="29"/>
        <v>0</v>
      </c>
      <c r="V66" s="2">
        <f t="shared" si="28"/>
        <v>0</v>
      </c>
      <c r="W66" s="2"/>
      <c r="X66" s="2"/>
      <c r="Y66" s="2"/>
      <c r="Z66" s="1"/>
      <c r="AA66" s="94">
        <v>810000</v>
      </c>
    </row>
    <row r="67" spans="1:30">
      <c r="A67" s="1">
        <f t="shared" si="10"/>
        <v>62</v>
      </c>
      <c r="B67" s="8">
        <v>1896</v>
      </c>
      <c r="C67" s="1" t="s">
        <v>297</v>
      </c>
      <c r="D67" s="2">
        <v>18560000</v>
      </c>
      <c r="E67" s="2">
        <v>18560000</v>
      </c>
      <c r="F67" s="2">
        <f t="shared" si="0"/>
        <v>0</v>
      </c>
      <c r="G67" s="2">
        <v>1000000</v>
      </c>
      <c r="H67" s="2">
        <v>0</v>
      </c>
      <c r="I67" s="2"/>
      <c r="J67" s="2"/>
      <c r="K67" s="2">
        <f t="shared" si="1"/>
        <v>0</v>
      </c>
      <c r="L67" s="2">
        <f t="shared" si="30"/>
        <v>0</v>
      </c>
      <c r="M67" s="2">
        <f t="shared" si="31"/>
        <v>1000000</v>
      </c>
      <c r="N67" s="2">
        <v>3000000</v>
      </c>
      <c r="O67" s="2">
        <f t="shared" si="4"/>
        <v>14560000</v>
      </c>
      <c r="P67" s="2">
        <f t="shared" si="5"/>
        <v>1000000</v>
      </c>
      <c r="Q67" s="2"/>
      <c r="R67" s="2"/>
      <c r="S67" s="2">
        <f t="shared" si="24"/>
        <v>0</v>
      </c>
      <c r="T67" s="2">
        <f t="shared" si="25"/>
        <v>0</v>
      </c>
      <c r="U67" s="2">
        <f t="shared" si="29"/>
        <v>3000000</v>
      </c>
      <c r="V67" s="2">
        <f t="shared" si="28"/>
        <v>3000000</v>
      </c>
      <c r="W67" s="2"/>
      <c r="X67" s="2"/>
      <c r="Y67" s="2"/>
      <c r="Z67" s="1"/>
      <c r="AA67" s="94">
        <v>829000</v>
      </c>
    </row>
    <row r="68" spans="1:30">
      <c r="A68" s="1">
        <f t="shared" si="10"/>
        <v>63</v>
      </c>
      <c r="B68" s="8">
        <v>1903</v>
      </c>
      <c r="C68" s="1" t="s">
        <v>271</v>
      </c>
      <c r="D68" s="2">
        <v>1700000</v>
      </c>
      <c r="E68" s="2">
        <v>1700000</v>
      </c>
      <c r="F68" s="2">
        <f t="shared" ref="F68:F90" si="32">D68-E68</f>
        <v>0</v>
      </c>
      <c r="G68" s="2">
        <v>1700000</v>
      </c>
      <c r="H68" s="2">
        <v>1126319</v>
      </c>
      <c r="I68" s="2"/>
      <c r="J68" s="2">
        <v>573676.81999999995</v>
      </c>
      <c r="K68" s="2">
        <f t="shared" ref="K68:K81" si="33">SUM(I68:J68)</f>
        <v>573676.81999999995</v>
      </c>
      <c r="L68" s="2">
        <f t="shared" si="30"/>
        <v>1699995.8199999998</v>
      </c>
      <c r="M68" s="2">
        <f t="shared" si="31"/>
        <v>4.1800000001676381</v>
      </c>
      <c r="N68" s="2"/>
      <c r="O68" s="2">
        <f t="shared" si="4"/>
        <v>0</v>
      </c>
      <c r="P68" s="2">
        <f t="shared" si="5"/>
        <v>4.1800000001676381</v>
      </c>
      <c r="Q68" s="2"/>
      <c r="R68" s="2"/>
      <c r="S68" s="2">
        <f t="shared" ref="S68:S74" si="34">SUM(Q68:R68)</f>
        <v>0</v>
      </c>
      <c r="T68" s="2">
        <f t="shared" ref="T68:T74" si="35">P68-M68+S68</f>
        <v>0</v>
      </c>
      <c r="U68" s="2">
        <f t="shared" ref="U68:U74" si="36">N68-T68</f>
        <v>0</v>
      </c>
      <c r="V68" s="2">
        <f t="shared" si="28"/>
        <v>0</v>
      </c>
      <c r="W68" s="2"/>
      <c r="X68" s="2"/>
      <c r="Y68" s="2"/>
      <c r="Z68" s="1"/>
      <c r="AA68" s="94">
        <v>930000</v>
      </c>
    </row>
    <row r="69" spans="1:30" s="3" customFormat="1">
      <c r="A69" s="1">
        <f t="shared" si="10"/>
        <v>64</v>
      </c>
      <c r="B69" s="1">
        <v>1904</v>
      </c>
      <c r="C69" s="1" t="s">
        <v>257</v>
      </c>
      <c r="D69" s="2">
        <v>5700000</v>
      </c>
      <c r="E69" s="2">
        <v>5700000</v>
      </c>
      <c r="F69" s="2">
        <f t="shared" si="32"/>
        <v>0</v>
      </c>
      <c r="G69" s="2">
        <v>2000000</v>
      </c>
      <c r="H69" s="2">
        <v>64174</v>
      </c>
      <c r="I69" s="2"/>
      <c r="J69" s="2">
        <v>285824.33</v>
      </c>
      <c r="K69" s="2">
        <f t="shared" si="33"/>
        <v>285824.33</v>
      </c>
      <c r="L69" s="2">
        <f t="shared" si="30"/>
        <v>349998.33</v>
      </c>
      <c r="M69" s="2">
        <f t="shared" si="31"/>
        <v>1650001.67</v>
      </c>
      <c r="N69" s="2">
        <v>3700000</v>
      </c>
      <c r="O69" s="2">
        <f t="shared" ref="O69:O81" si="37">D69-L69-M69-N69</f>
        <v>0</v>
      </c>
      <c r="P69" s="2">
        <f t="shared" ref="P69:P81" si="38">G69-L69</f>
        <v>1650001.67</v>
      </c>
      <c r="Q69" s="2"/>
      <c r="R69" s="2"/>
      <c r="S69" s="2">
        <f t="shared" si="34"/>
        <v>0</v>
      </c>
      <c r="T69" s="2">
        <f t="shared" si="35"/>
        <v>0</v>
      </c>
      <c r="U69" s="2">
        <f t="shared" si="36"/>
        <v>3700000</v>
      </c>
      <c r="V69" s="2">
        <f>U69-Z69-X69-Y69</f>
        <v>2764000</v>
      </c>
      <c r="W69" s="2"/>
      <c r="X69" s="2"/>
      <c r="Y69" s="2"/>
      <c r="Z69" s="2">
        <f>800000*1.17</f>
        <v>936000</v>
      </c>
      <c r="AA69" s="94">
        <v>742000</v>
      </c>
    </row>
    <row r="70" spans="1:30">
      <c r="A70" s="1">
        <f t="shared" si="10"/>
        <v>65</v>
      </c>
      <c r="B70" s="8">
        <v>1921</v>
      </c>
      <c r="C70" s="1" t="s">
        <v>274</v>
      </c>
      <c r="D70" s="2">
        <f>4500000+1700000+620000</f>
        <v>6820000</v>
      </c>
      <c r="E70" s="2">
        <v>4500000</v>
      </c>
      <c r="F70" s="2">
        <f t="shared" si="32"/>
        <v>2320000</v>
      </c>
      <c r="G70" s="2">
        <v>4500000</v>
      </c>
      <c r="H70" s="2">
        <v>2599309</v>
      </c>
      <c r="I70" s="2"/>
      <c r="J70" s="2">
        <v>1050443.96</v>
      </c>
      <c r="K70" s="2">
        <f t="shared" si="33"/>
        <v>1050443.96</v>
      </c>
      <c r="L70" s="2">
        <f t="shared" si="30"/>
        <v>3649752.96</v>
      </c>
      <c r="M70" s="2">
        <f t="shared" si="31"/>
        <v>850247.04</v>
      </c>
      <c r="N70" s="2">
        <f>1700000+620000</f>
        <v>2320000</v>
      </c>
      <c r="O70" s="2">
        <f t="shared" si="37"/>
        <v>0</v>
      </c>
      <c r="P70" s="2">
        <f t="shared" si="38"/>
        <v>850247.04</v>
      </c>
      <c r="Q70" s="2"/>
      <c r="R70" s="2"/>
      <c r="S70" s="2">
        <f t="shared" si="34"/>
        <v>0</v>
      </c>
      <c r="T70" s="2">
        <f t="shared" si="35"/>
        <v>0</v>
      </c>
      <c r="U70" s="2">
        <f t="shared" si="36"/>
        <v>2320000</v>
      </c>
      <c r="V70" s="2">
        <f t="shared" ref="V70:V75" si="39">U70-X70-Y70-Z70</f>
        <v>1752339</v>
      </c>
      <c r="W70" s="2"/>
      <c r="X70" s="2"/>
      <c r="Y70" s="2"/>
      <c r="Z70" s="2">
        <v>567661</v>
      </c>
      <c r="AA70" s="94">
        <v>829000</v>
      </c>
    </row>
    <row r="71" spans="1:30">
      <c r="A71" s="1">
        <f t="shared" ref="A71:A93" si="40">A70+1</f>
        <v>66</v>
      </c>
      <c r="B71" s="8">
        <v>1924</v>
      </c>
      <c r="C71" s="1" t="s">
        <v>275</v>
      </c>
      <c r="D71" s="2">
        <v>1800000</v>
      </c>
      <c r="E71" s="2">
        <v>1800000</v>
      </c>
      <c r="F71" s="2">
        <f t="shared" si="32"/>
        <v>0</v>
      </c>
      <c r="G71" s="2">
        <v>1800000</v>
      </c>
      <c r="H71" s="2">
        <v>1100093</v>
      </c>
      <c r="I71" s="2"/>
      <c r="J71" s="2">
        <v>696554.54</v>
      </c>
      <c r="K71" s="2">
        <f t="shared" si="33"/>
        <v>696554.54</v>
      </c>
      <c r="L71" s="2">
        <f t="shared" si="30"/>
        <v>1796647.54</v>
      </c>
      <c r="M71" s="2">
        <f t="shared" si="31"/>
        <v>3352.4599999999627</v>
      </c>
      <c r="N71" s="2"/>
      <c r="O71" s="2">
        <f t="shared" si="37"/>
        <v>0</v>
      </c>
      <c r="P71" s="2">
        <f t="shared" si="38"/>
        <v>3352.4599999999627</v>
      </c>
      <c r="Q71" s="2"/>
      <c r="R71" s="2"/>
      <c r="S71" s="2">
        <f t="shared" si="34"/>
        <v>0</v>
      </c>
      <c r="T71" s="2">
        <f t="shared" si="35"/>
        <v>0</v>
      </c>
      <c r="U71" s="2">
        <f t="shared" si="36"/>
        <v>0</v>
      </c>
      <c r="V71" s="2">
        <f t="shared" si="39"/>
        <v>0</v>
      </c>
      <c r="W71" s="2"/>
      <c r="X71" s="2"/>
      <c r="Y71" s="2"/>
      <c r="Z71" s="1"/>
      <c r="AA71" s="94">
        <v>826000</v>
      </c>
    </row>
    <row r="72" spans="1:30">
      <c r="A72" s="1">
        <f t="shared" si="40"/>
        <v>67</v>
      </c>
      <c r="B72" s="8">
        <v>1927</v>
      </c>
      <c r="C72" s="1" t="s">
        <v>276</v>
      </c>
      <c r="D72" s="2">
        <v>860000</v>
      </c>
      <c r="E72" s="2">
        <v>860000</v>
      </c>
      <c r="F72" s="2">
        <f t="shared" si="32"/>
        <v>0</v>
      </c>
      <c r="G72" s="2">
        <v>860000</v>
      </c>
      <c r="H72" s="2">
        <v>846677</v>
      </c>
      <c r="I72" s="2"/>
      <c r="J72" s="2">
        <v>369.57</v>
      </c>
      <c r="K72" s="2">
        <f t="shared" si="33"/>
        <v>369.57</v>
      </c>
      <c r="L72" s="2">
        <f t="shared" si="30"/>
        <v>847046.57</v>
      </c>
      <c r="M72" s="2">
        <f t="shared" si="31"/>
        <v>12953.430000000051</v>
      </c>
      <c r="N72" s="2"/>
      <c r="O72" s="2">
        <f t="shared" si="37"/>
        <v>0</v>
      </c>
      <c r="P72" s="2">
        <f t="shared" si="38"/>
        <v>12953.430000000051</v>
      </c>
      <c r="Q72" s="2"/>
      <c r="R72" s="2"/>
      <c r="S72" s="2">
        <f t="shared" si="34"/>
        <v>0</v>
      </c>
      <c r="T72" s="2">
        <f t="shared" si="35"/>
        <v>0</v>
      </c>
      <c r="U72" s="2">
        <f t="shared" si="36"/>
        <v>0</v>
      </c>
      <c r="V72" s="2">
        <f t="shared" si="39"/>
        <v>0</v>
      </c>
      <c r="W72" s="2"/>
      <c r="X72" s="2"/>
      <c r="Y72" s="2"/>
      <c r="Z72" s="1"/>
      <c r="AA72" s="94">
        <v>824000</v>
      </c>
    </row>
    <row r="73" spans="1:30">
      <c r="A73" s="1">
        <f t="shared" si="40"/>
        <v>68</v>
      </c>
      <c r="B73" s="8">
        <v>1936</v>
      </c>
      <c r="C73" s="1" t="s">
        <v>428</v>
      </c>
      <c r="D73" s="2">
        <v>6082795</v>
      </c>
      <c r="E73" s="2">
        <v>6082795</v>
      </c>
      <c r="F73" s="2">
        <f t="shared" si="32"/>
        <v>0</v>
      </c>
      <c r="G73" s="2">
        <v>700000</v>
      </c>
      <c r="H73" s="2">
        <v>37027</v>
      </c>
      <c r="I73" s="2"/>
      <c r="J73" s="2">
        <v>112971.27</v>
      </c>
      <c r="K73" s="2">
        <f t="shared" si="33"/>
        <v>112971.27</v>
      </c>
      <c r="L73" s="2">
        <f t="shared" si="30"/>
        <v>149998.27000000002</v>
      </c>
      <c r="M73" s="2">
        <f t="shared" si="31"/>
        <v>550001.73</v>
      </c>
      <c r="N73" s="2">
        <v>5382795</v>
      </c>
      <c r="O73" s="2">
        <f t="shared" si="37"/>
        <v>0</v>
      </c>
      <c r="P73" s="2">
        <f t="shared" si="38"/>
        <v>550001.73</v>
      </c>
      <c r="Q73" s="2"/>
      <c r="R73" s="2"/>
      <c r="S73" s="2">
        <f t="shared" si="34"/>
        <v>0</v>
      </c>
      <c r="T73" s="2">
        <f t="shared" si="35"/>
        <v>0</v>
      </c>
      <c r="U73" s="2">
        <f t="shared" si="36"/>
        <v>5382795</v>
      </c>
      <c r="V73" s="2">
        <f t="shared" si="39"/>
        <v>0</v>
      </c>
      <c r="W73" s="2"/>
      <c r="X73" s="2"/>
      <c r="Y73" s="2"/>
      <c r="Z73" s="2">
        <v>5382795</v>
      </c>
      <c r="AA73" s="94">
        <v>732000</v>
      </c>
      <c r="AD73" s="43"/>
    </row>
    <row r="74" spans="1:30">
      <c r="A74" s="1">
        <f t="shared" si="40"/>
        <v>69</v>
      </c>
      <c r="B74" s="8">
        <v>1940</v>
      </c>
      <c r="C74" s="1" t="s">
        <v>339</v>
      </c>
      <c r="D74" s="2">
        <v>186000</v>
      </c>
      <c r="E74" s="2">
        <v>186000</v>
      </c>
      <c r="F74" s="2">
        <f t="shared" si="32"/>
        <v>0</v>
      </c>
      <c r="G74" s="2">
        <v>186000</v>
      </c>
      <c r="H74" s="2">
        <v>37206</v>
      </c>
      <c r="I74" s="2"/>
      <c r="J74" s="2">
        <v>148793.57999999999</v>
      </c>
      <c r="K74" s="2">
        <f t="shared" si="33"/>
        <v>148793.57999999999</v>
      </c>
      <c r="L74" s="2">
        <f t="shared" si="30"/>
        <v>185999.58</v>
      </c>
      <c r="M74" s="2">
        <f t="shared" si="31"/>
        <v>0.42000000001280569</v>
      </c>
      <c r="N74" s="2"/>
      <c r="O74" s="2">
        <f t="shared" si="37"/>
        <v>0</v>
      </c>
      <c r="P74" s="2">
        <f t="shared" si="38"/>
        <v>0.42000000001280569</v>
      </c>
      <c r="Q74" s="2"/>
      <c r="R74" s="2"/>
      <c r="S74" s="2">
        <f t="shared" si="34"/>
        <v>0</v>
      </c>
      <c r="T74" s="2">
        <f t="shared" si="35"/>
        <v>0</v>
      </c>
      <c r="U74" s="2">
        <f t="shared" si="36"/>
        <v>0</v>
      </c>
      <c r="V74" s="2">
        <f t="shared" si="39"/>
        <v>0</v>
      </c>
      <c r="W74" s="2"/>
      <c r="X74" s="2"/>
      <c r="Y74" s="2"/>
      <c r="Z74" s="1"/>
      <c r="AA74" s="94">
        <v>732000</v>
      </c>
      <c r="AD74" s="43"/>
    </row>
    <row r="75" spans="1:30">
      <c r="A75" s="1">
        <f t="shared" si="40"/>
        <v>70</v>
      </c>
      <c r="B75" s="780">
        <v>1953</v>
      </c>
      <c r="C75" s="1" t="s">
        <v>1150</v>
      </c>
      <c r="D75" s="2">
        <v>5300000</v>
      </c>
      <c r="E75" s="2">
        <v>5300000</v>
      </c>
      <c r="F75" s="2">
        <f t="shared" si="32"/>
        <v>0</v>
      </c>
      <c r="G75" s="2">
        <v>1500000</v>
      </c>
      <c r="H75" s="2">
        <v>500000</v>
      </c>
      <c r="I75" s="2"/>
      <c r="J75" s="2">
        <v>99999.9</v>
      </c>
      <c r="K75" s="2">
        <f t="shared" si="33"/>
        <v>99999.9</v>
      </c>
      <c r="L75" s="2">
        <f t="shared" si="30"/>
        <v>599999.9</v>
      </c>
      <c r="M75" s="2">
        <f t="shared" si="31"/>
        <v>900000.1</v>
      </c>
      <c r="N75" s="2">
        <v>3800000</v>
      </c>
      <c r="O75" s="2">
        <f t="shared" si="37"/>
        <v>0</v>
      </c>
      <c r="P75" s="2">
        <f t="shared" si="38"/>
        <v>900000.1</v>
      </c>
      <c r="Q75" s="2"/>
      <c r="R75" s="2"/>
      <c r="S75" s="2">
        <f t="shared" si="24"/>
        <v>0</v>
      </c>
      <c r="T75" s="2">
        <f t="shared" si="25"/>
        <v>0</v>
      </c>
      <c r="U75" s="2">
        <f t="shared" ref="U75:U90" si="41">N75-T75</f>
        <v>3800000</v>
      </c>
      <c r="V75" s="2">
        <f t="shared" si="39"/>
        <v>3800000</v>
      </c>
      <c r="W75" s="2"/>
      <c r="X75" s="2"/>
      <c r="Y75" s="2"/>
      <c r="Z75" s="1"/>
      <c r="AA75" s="94">
        <v>742000</v>
      </c>
    </row>
    <row r="76" spans="1:30" s="3" customFormat="1">
      <c r="A76" s="1">
        <f t="shared" si="40"/>
        <v>71</v>
      </c>
      <c r="B76" s="1">
        <v>1954</v>
      </c>
      <c r="C76" s="1" t="s">
        <v>337</v>
      </c>
      <c r="D76" s="2">
        <v>2000000</v>
      </c>
      <c r="E76" s="2">
        <v>2000000</v>
      </c>
      <c r="F76" s="2">
        <f t="shared" si="32"/>
        <v>0</v>
      </c>
      <c r="G76" s="2">
        <v>400000</v>
      </c>
      <c r="H76" s="2">
        <v>46604</v>
      </c>
      <c r="I76" s="2"/>
      <c r="J76" s="2">
        <v>133682.94</v>
      </c>
      <c r="K76" s="2">
        <f t="shared" si="33"/>
        <v>133682.94</v>
      </c>
      <c r="L76" s="2">
        <f t="shared" si="30"/>
        <v>180286.94</v>
      </c>
      <c r="M76" s="2">
        <f t="shared" si="31"/>
        <v>1819713.06</v>
      </c>
      <c r="N76" s="2"/>
      <c r="O76" s="2">
        <f t="shared" si="37"/>
        <v>0</v>
      </c>
      <c r="P76" s="2">
        <f t="shared" si="38"/>
        <v>219713.06</v>
      </c>
      <c r="Q76" s="151">
        <v>1600000</v>
      </c>
      <c r="R76" s="2"/>
      <c r="S76" s="2">
        <f>SUM(Q76:R76)</f>
        <v>1600000</v>
      </c>
      <c r="T76" s="2">
        <f>P76-M76+S76</f>
        <v>0</v>
      </c>
      <c r="U76" s="2">
        <f t="shared" si="41"/>
        <v>0</v>
      </c>
      <c r="V76" s="2">
        <f>U76-Z76-X76-Y76</f>
        <v>0</v>
      </c>
      <c r="W76" s="2"/>
      <c r="X76" s="2"/>
      <c r="Y76" s="2"/>
      <c r="Z76" s="1"/>
      <c r="AA76" s="94">
        <v>742000</v>
      </c>
    </row>
    <row r="77" spans="1:30">
      <c r="A77" s="1">
        <f t="shared" si="40"/>
        <v>72</v>
      </c>
      <c r="B77" s="8">
        <v>1955</v>
      </c>
      <c r="C77" s="1" t="s">
        <v>338</v>
      </c>
      <c r="D77" s="2">
        <v>250000</v>
      </c>
      <c r="E77" s="2">
        <v>250000</v>
      </c>
      <c r="F77" s="2">
        <f t="shared" si="32"/>
        <v>0</v>
      </c>
      <c r="G77" s="2">
        <f>50000+200000</f>
        <v>250000</v>
      </c>
      <c r="H77" s="2">
        <v>0</v>
      </c>
      <c r="I77" s="2"/>
      <c r="J77" s="2"/>
      <c r="K77" s="2">
        <f t="shared" si="33"/>
        <v>0</v>
      </c>
      <c r="L77" s="2">
        <f t="shared" si="30"/>
        <v>0</v>
      </c>
      <c r="M77" s="2">
        <f t="shared" si="31"/>
        <v>250000</v>
      </c>
      <c r="N77" s="2"/>
      <c r="O77" s="2">
        <f t="shared" si="37"/>
        <v>0</v>
      </c>
      <c r="P77" s="2">
        <f t="shared" si="38"/>
        <v>250000</v>
      </c>
      <c r="Q77" s="2"/>
      <c r="R77" s="2"/>
      <c r="S77" s="2">
        <f t="shared" si="24"/>
        <v>0</v>
      </c>
      <c r="T77" s="2">
        <f t="shared" si="25"/>
        <v>0</v>
      </c>
      <c r="U77" s="2">
        <f t="shared" si="41"/>
        <v>0</v>
      </c>
      <c r="V77" s="2">
        <f t="shared" ref="V77:V86" si="42">U77-X77-Y77-Z77</f>
        <v>0</v>
      </c>
      <c r="W77" s="2"/>
      <c r="X77" s="2"/>
      <c r="Y77" s="2"/>
      <c r="Z77" s="1"/>
      <c r="AA77" s="94">
        <v>742000</v>
      </c>
    </row>
    <row r="78" spans="1:30">
      <c r="A78" s="1">
        <f t="shared" si="40"/>
        <v>73</v>
      </c>
      <c r="B78" s="8">
        <v>1956</v>
      </c>
      <c r="C78" s="1" t="s">
        <v>387</v>
      </c>
      <c r="D78" s="2">
        <v>1500000</v>
      </c>
      <c r="E78" s="2">
        <v>1500000</v>
      </c>
      <c r="F78" s="2">
        <f t="shared" si="32"/>
        <v>0</v>
      </c>
      <c r="G78" s="2">
        <v>750000</v>
      </c>
      <c r="H78" s="2">
        <v>0</v>
      </c>
      <c r="I78" s="2"/>
      <c r="J78" s="2"/>
      <c r="K78" s="2">
        <f t="shared" si="33"/>
        <v>0</v>
      </c>
      <c r="L78" s="2">
        <f t="shared" si="30"/>
        <v>0</v>
      </c>
      <c r="M78" s="2">
        <f t="shared" si="31"/>
        <v>750000</v>
      </c>
      <c r="N78" s="2">
        <v>750000</v>
      </c>
      <c r="O78" s="2">
        <f t="shared" si="37"/>
        <v>0</v>
      </c>
      <c r="P78" s="2">
        <f t="shared" si="38"/>
        <v>750000</v>
      </c>
      <c r="Q78" s="2"/>
      <c r="R78" s="2"/>
      <c r="S78" s="2">
        <f t="shared" si="24"/>
        <v>0</v>
      </c>
      <c r="T78" s="2">
        <f t="shared" si="25"/>
        <v>0</v>
      </c>
      <c r="U78" s="2">
        <f t="shared" si="41"/>
        <v>750000</v>
      </c>
      <c r="V78" s="2">
        <f t="shared" si="42"/>
        <v>750000</v>
      </c>
      <c r="W78" s="2"/>
      <c r="X78" s="2"/>
      <c r="Y78" s="2"/>
      <c r="Z78" s="1"/>
      <c r="AA78" s="94">
        <v>742000</v>
      </c>
    </row>
    <row r="79" spans="1:30">
      <c r="A79" s="1">
        <f t="shared" si="40"/>
        <v>74</v>
      </c>
      <c r="B79" s="8">
        <v>1957</v>
      </c>
      <c r="C79" s="1" t="s">
        <v>1181</v>
      </c>
      <c r="D79" s="2">
        <v>60000000</v>
      </c>
      <c r="E79" s="2">
        <v>60000000</v>
      </c>
      <c r="F79" s="2">
        <f t="shared" si="32"/>
        <v>0</v>
      </c>
      <c r="G79" s="2">
        <v>400000</v>
      </c>
      <c r="H79" s="2">
        <v>78669</v>
      </c>
      <c r="I79" s="2"/>
      <c r="J79" s="2">
        <v>321330.06</v>
      </c>
      <c r="K79" s="2">
        <f t="shared" si="33"/>
        <v>321330.06</v>
      </c>
      <c r="L79" s="2">
        <f t="shared" si="30"/>
        <v>399999.06</v>
      </c>
      <c r="M79" s="2">
        <f t="shared" si="31"/>
        <v>1100000.94</v>
      </c>
      <c r="N79" s="2">
        <f>20000000-5000000</f>
        <v>15000000</v>
      </c>
      <c r="O79" s="2">
        <f t="shared" si="37"/>
        <v>43500000</v>
      </c>
      <c r="P79" s="2">
        <f t="shared" si="38"/>
        <v>0.94000000000232831</v>
      </c>
      <c r="Q79" s="151">
        <v>1100000</v>
      </c>
      <c r="R79" s="2"/>
      <c r="S79" s="2">
        <f t="shared" si="24"/>
        <v>1100000</v>
      </c>
      <c r="T79" s="2">
        <f t="shared" si="25"/>
        <v>0</v>
      </c>
      <c r="U79" s="2">
        <f t="shared" si="41"/>
        <v>15000000</v>
      </c>
      <c r="V79" s="2">
        <f t="shared" si="42"/>
        <v>15000000</v>
      </c>
      <c r="W79" s="2"/>
      <c r="X79" s="2"/>
      <c r="Y79" s="2"/>
      <c r="Z79" s="1"/>
      <c r="AA79" s="94">
        <v>810000</v>
      </c>
    </row>
    <row r="80" spans="1:30">
      <c r="A80" s="1">
        <f t="shared" si="40"/>
        <v>75</v>
      </c>
      <c r="B80" s="8">
        <v>1958</v>
      </c>
      <c r="C80" s="1" t="s">
        <v>398</v>
      </c>
      <c r="D80" s="2">
        <v>850000</v>
      </c>
      <c r="E80" s="2">
        <v>850000</v>
      </c>
      <c r="F80" s="2">
        <f t="shared" si="32"/>
        <v>0</v>
      </c>
      <c r="G80" s="2">
        <v>850000</v>
      </c>
      <c r="H80" s="2">
        <v>811715</v>
      </c>
      <c r="I80" s="2"/>
      <c r="J80" s="2">
        <v>32057.200000000001</v>
      </c>
      <c r="K80" s="2">
        <f t="shared" si="33"/>
        <v>32057.200000000001</v>
      </c>
      <c r="L80" s="2">
        <f t="shared" si="30"/>
        <v>843772.2</v>
      </c>
      <c r="M80" s="2">
        <f t="shared" si="31"/>
        <v>6227.8000000000466</v>
      </c>
      <c r="N80" s="2"/>
      <c r="O80" s="2">
        <f t="shared" si="37"/>
        <v>0</v>
      </c>
      <c r="P80" s="2">
        <f t="shared" si="38"/>
        <v>6227.8000000000466</v>
      </c>
      <c r="Q80" s="2"/>
      <c r="R80" s="2"/>
      <c r="S80" s="2">
        <f t="shared" si="24"/>
        <v>0</v>
      </c>
      <c r="T80" s="2">
        <f t="shared" si="25"/>
        <v>0</v>
      </c>
      <c r="U80" s="2">
        <f t="shared" si="41"/>
        <v>0</v>
      </c>
      <c r="V80" s="2">
        <f t="shared" si="42"/>
        <v>0</v>
      </c>
      <c r="W80" s="2"/>
      <c r="X80" s="2"/>
      <c r="Y80" s="2"/>
      <c r="Z80" s="1"/>
      <c r="AA80" s="94">
        <v>829000</v>
      </c>
    </row>
    <row r="81" spans="1:30">
      <c r="A81" s="1">
        <f t="shared" si="40"/>
        <v>76</v>
      </c>
      <c r="B81" s="8">
        <v>1991</v>
      </c>
      <c r="C81" s="1" t="s">
        <v>430</v>
      </c>
      <c r="D81" s="2">
        <v>2000000</v>
      </c>
      <c r="E81" s="2">
        <v>2000000</v>
      </c>
      <c r="F81" s="2">
        <f t="shared" si="32"/>
        <v>0</v>
      </c>
      <c r="G81" s="2">
        <v>2000000</v>
      </c>
      <c r="H81" s="2">
        <v>0</v>
      </c>
      <c r="I81" s="2"/>
      <c r="J81" s="2"/>
      <c r="K81" s="2">
        <f t="shared" si="33"/>
        <v>0</v>
      </c>
      <c r="L81" s="2">
        <f t="shared" si="30"/>
        <v>0</v>
      </c>
      <c r="M81" s="2">
        <f t="shared" si="31"/>
        <v>2000000</v>
      </c>
      <c r="N81" s="2"/>
      <c r="O81" s="2">
        <f t="shared" si="37"/>
        <v>0</v>
      </c>
      <c r="P81" s="2">
        <f t="shared" si="38"/>
        <v>2000000</v>
      </c>
      <c r="Q81" s="2"/>
      <c r="R81" s="2"/>
      <c r="S81" s="2">
        <f t="shared" si="24"/>
        <v>0</v>
      </c>
      <c r="T81" s="2">
        <f t="shared" si="25"/>
        <v>0</v>
      </c>
      <c r="U81" s="2">
        <f t="shared" si="41"/>
        <v>0</v>
      </c>
      <c r="V81" s="2">
        <f t="shared" si="42"/>
        <v>0</v>
      </c>
      <c r="W81" s="2"/>
      <c r="X81" s="2"/>
      <c r="Y81" s="2"/>
      <c r="Z81" s="2"/>
      <c r="AA81" s="94">
        <v>823000</v>
      </c>
      <c r="AD81" s="43"/>
    </row>
    <row r="82" spans="1:30">
      <c r="A82" s="1">
        <f t="shared" si="40"/>
        <v>77</v>
      </c>
      <c r="B82" s="69">
        <v>2015</v>
      </c>
      <c r="C82" s="1" t="s">
        <v>929</v>
      </c>
      <c r="D82" s="2">
        <v>10500000</v>
      </c>
      <c r="E82" s="2"/>
      <c r="F82" s="2">
        <f t="shared" si="32"/>
        <v>10500000</v>
      </c>
      <c r="G82" s="2"/>
      <c r="H82" s="2"/>
      <c r="I82" s="2"/>
      <c r="J82" s="2"/>
      <c r="K82" s="2">
        <f>SUM(I82:J82)</f>
        <v>0</v>
      </c>
      <c r="L82" s="2">
        <f>K82+H82</f>
        <v>0</v>
      </c>
      <c r="M82" s="2">
        <f>P82+S82</f>
        <v>0</v>
      </c>
      <c r="N82" s="2">
        <f>10500000-5000000</f>
        <v>5500000</v>
      </c>
      <c r="O82" s="2">
        <f>D82-L82-M82-N82</f>
        <v>5000000</v>
      </c>
      <c r="P82" s="2">
        <f>G82-L82</f>
        <v>0</v>
      </c>
      <c r="Q82" s="2"/>
      <c r="R82" s="2"/>
      <c r="S82" s="2">
        <f>SUM(Q82:R82)</f>
        <v>0</v>
      </c>
      <c r="T82" s="2"/>
      <c r="U82" s="2">
        <f t="shared" si="41"/>
        <v>5500000</v>
      </c>
      <c r="V82" s="2">
        <f t="shared" si="42"/>
        <v>5500000</v>
      </c>
      <c r="W82" s="2"/>
      <c r="X82" s="2"/>
      <c r="Y82" s="2"/>
      <c r="Z82" s="1"/>
      <c r="AA82" s="94">
        <v>810000</v>
      </c>
      <c r="AD82" s="43"/>
    </row>
    <row r="83" spans="1:30">
      <c r="A83" s="1">
        <f t="shared" si="40"/>
        <v>78</v>
      </c>
      <c r="B83" s="69">
        <v>2016</v>
      </c>
      <c r="C83" s="1" t="s">
        <v>456</v>
      </c>
      <c r="D83" s="2">
        <v>7340000</v>
      </c>
      <c r="E83" s="2"/>
      <c r="F83" s="2">
        <f t="shared" si="32"/>
        <v>7340000</v>
      </c>
      <c r="G83" s="2"/>
      <c r="H83" s="2"/>
      <c r="I83" s="2"/>
      <c r="J83" s="2"/>
      <c r="K83" s="2">
        <f>SUM(I83:J83)</f>
        <v>0</v>
      </c>
      <c r="L83" s="2">
        <f>K83+H83</f>
        <v>0</v>
      </c>
      <c r="M83" s="2">
        <f>P83+S83</f>
        <v>0</v>
      </c>
      <c r="N83" s="2">
        <v>7340000</v>
      </c>
      <c r="O83" s="2">
        <f t="shared" ref="O83:O90" si="43">D83-L83-M83-N83</f>
        <v>0</v>
      </c>
      <c r="P83" s="2">
        <f>G83-L83</f>
        <v>0</v>
      </c>
      <c r="Q83" s="2"/>
      <c r="R83" s="2"/>
      <c r="S83" s="2"/>
      <c r="T83" s="2"/>
      <c r="U83" s="2">
        <f t="shared" si="41"/>
        <v>7340000</v>
      </c>
      <c r="V83" s="2">
        <f t="shared" si="42"/>
        <v>7340000</v>
      </c>
      <c r="W83" s="2"/>
      <c r="X83" s="2"/>
      <c r="Y83" s="2"/>
      <c r="Z83" s="1"/>
      <c r="AA83" s="94">
        <v>810000</v>
      </c>
      <c r="AD83" s="43"/>
    </row>
    <row r="84" spans="1:30">
      <c r="A84" s="1">
        <f t="shared" si="40"/>
        <v>79</v>
      </c>
      <c r="B84" s="69">
        <v>2017</v>
      </c>
      <c r="C84" s="1" t="s">
        <v>457</v>
      </c>
      <c r="D84" s="2">
        <v>2000000</v>
      </c>
      <c r="E84" s="2"/>
      <c r="F84" s="2">
        <f t="shared" si="32"/>
        <v>2000000</v>
      </c>
      <c r="G84" s="2"/>
      <c r="H84" s="2"/>
      <c r="I84" s="2"/>
      <c r="J84" s="2"/>
      <c r="K84" s="2">
        <f>SUM(I84:J84)</f>
        <v>0</v>
      </c>
      <c r="L84" s="2">
        <f>K84+H84</f>
        <v>0</v>
      </c>
      <c r="M84" s="2">
        <f>P84+S84</f>
        <v>0</v>
      </c>
      <c r="N84" s="2">
        <f>2000000-1000000</f>
        <v>1000000</v>
      </c>
      <c r="O84" s="2">
        <f t="shared" si="43"/>
        <v>1000000</v>
      </c>
      <c r="P84" s="2">
        <f>G84-L84</f>
        <v>0</v>
      </c>
      <c r="Q84" s="2"/>
      <c r="R84" s="2"/>
      <c r="S84" s="2"/>
      <c r="T84" s="2"/>
      <c r="U84" s="2">
        <f t="shared" si="41"/>
        <v>1000000</v>
      </c>
      <c r="V84" s="2">
        <f t="shared" si="42"/>
        <v>1000000</v>
      </c>
      <c r="W84" s="2"/>
      <c r="X84" s="2"/>
      <c r="Y84" s="2"/>
      <c r="Z84" s="1"/>
      <c r="AA84" s="94">
        <v>824000</v>
      </c>
      <c r="AD84" s="43"/>
    </row>
    <row r="85" spans="1:30">
      <c r="A85" s="1">
        <f t="shared" si="40"/>
        <v>80</v>
      </c>
      <c r="B85" s="69">
        <v>2018</v>
      </c>
      <c r="C85" s="1" t="s">
        <v>458</v>
      </c>
      <c r="D85" s="2">
        <v>10000000</v>
      </c>
      <c r="E85" s="2"/>
      <c r="F85" s="2">
        <f t="shared" si="32"/>
        <v>10000000</v>
      </c>
      <c r="G85" s="2"/>
      <c r="H85" s="2"/>
      <c r="I85" s="2"/>
      <c r="J85" s="2"/>
      <c r="K85" s="2"/>
      <c r="L85" s="2"/>
      <c r="M85" s="2"/>
      <c r="N85" s="2">
        <v>3300000</v>
      </c>
      <c r="O85" s="2">
        <f t="shared" si="43"/>
        <v>6700000</v>
      </c>
      <c r="P85" s="2"/>
      <c r="Q85" s="2"/>
      <c r="R85" s="2"/>
      <c r="S85" s="2"/>
      <c r="T85" s="2"/>
      <c r="U85" s="14">
        <f t="shared" si="41"/>
        <v>3300000</v>
      </c>
      <c r="V85" s="2">
        <f t="shared" si="42"/>
        <v>3300000</v>
      </c>
      <c r="W85" s="2"/>
      <c r="X85" s="2"/>
      <c r="Y85" s="2"/>
      <c r="Z85" s="1"/>
      <c r="AA85" s="94">
        <v>742000</v>
      </c>
    </row>
    <row r="86" spans="1:30">
      <c r="A86" s="1">
        <f t="shared" si="40"/>
        <v>81</v>
      </c>
      <c r="B86" s="69">
        <v>2019</v>
      </c>
      <c r="C86" s="1" t="s">
        <v>459</v>
      </c>
      <c r="D86" s="2">
        <v>1200000</v>
      </c>
      <c r="E86" s="2"/>
      <c r="F86" s="2">
        <f t="shared" si="32"/>
        <v>1200000</v>
      </c>
      <c r="G86" s="2"/>
      <c r="H86" s="2"/>
      <c r="I86" s="2"/>
      <c r="J86" s="2"/>
      <c r="K86" s="2"/>
      <c r="L86" s="2"/>
      <c r="M86" s="2"/>
      <c r="N86" s="2">
        <v>1200000</v>
      </c>
      <c r="O86" s="2">
        <f t="shared" si="43"/>
        <v>0</v>
      </c>
      <c r="P86" s="2"/>
      <c r="Q86" s="2"/>
      <c r="R86" s="2"/>
      <c r="S86" s="2"/>
      <c r="T86" s="2"/>
      <c r="U86" s="14">
        <f t="shared" si="41"/>
        <v>1200000</v>
      </c>
      <c r="V86" s="2">
        <f t="shared" si="42"/>
        <v>1200000</v>
      </c>
      <c r="W86" s="2"/>
      <c r="X86" s="2"/>
      <c r="Y86" s="2"/>
      <c r="Z86" s="1"/>
      <c r="AA86" s="94">
        <v>742000</v>
      </c>
    </row>
    <row r="87" spans="1:30">
      <c r="A87" s="1">
        <f t="shared" si="40"/>
        <v>82</v>
      </c>
      <c r="B87" s="69">
        <v>2020</v>
      </c>
      <c r="C87" s="1" t="s">
        <v>930</v>
      </c>
      <c r="D87" s="2">
        <v>500000</v>
      </c>
      <c r="E87" s="2"/>
      <c r="F87" s="2">
        <f t="shared" si="32"/>
        <v>500000</v>
      </c>
      <c r="G87" s="2"/>
      <c r="H87" s="2"/>
      <c r="I87" s="2"/>
      <c r="J87" s="2"/>
      <c r="K87" s="2"/>
      <c r="L87" s="2"/>
      <c r="M87" s="2"/>
      <c r="N87" s="2">
        <v>500000</v>
      </c>
      <c r="O87" s="2">
        <f t="shared" si="43"/>
        <v>0</v>
      </c>
      <c r="P87" s="2"/>
      <c r="Q87" s="2"/>
      <c r="R87" s="2"/>
      <c r="S87" s="2"/>
      <c r="T87" s="2"/>
      <c r="U87" s="14">
        <f t="shared" si="41"/>
        <v>500000</v>
      </c>
      <c r="V87" s="2">
        <f t="shared" ref="V87:V93" si="44">U87-X87-Y87-Z87</f>
        <v>500000</v>
      </c>
      <c r="W87" s="2"/>
      <c r="X87" s="2"/>
      <c r="Y87" s="2"/>
      <c r="Z87" s="1"/>
      <c r="AA87" s="94">
        <v>746000</v>
      </c>
    </row>
    <row r="88" spans="1:30">
      <c r="A88" s="1">
        <f t="shared" si="40"/>
        <v>83</v>
      </c>
      <c r="B88" s="69">
        <v>2011</v>
      </c>
      <c r="C88" s="1" t="s">
        <v>931</v>
      </c>
      <c r="D88" s="2">
        <v>500000</v>
      </c>
      <c r="E88" s="2"/>
      <c r="F88" s="2">
        <f t="shared" si="32"/>
        <v>500000</v>
      </c>
      <c r="G88" s="2"/>
      <c r="H88" s="2"/>
      <c r="I88" s="2"/>
      <c r="J88" s="2"/>
      <c r="K88" s="2"/>
      <c r="L88" s="2"/>
      <c r="M88" s="2"/>
      <c r="N88" s="2">
        <v>500000</v>
      </c>
      <c r="O88" s="2">
        <f t="shared" si="43"/>
        <v>0</v>
      </c>
      <c r="P88" s="2"/>
      <c r="Q88" s="2"/>
      <c r="R88" s="2"/>
      <c r="S88" s="2"/>
      <c r="T88" s="2"/>
      <c r="U88" s="14">
        <f t="shared" si="41"/>
        <v>500000</v>
      </c>
      <c r="V88" s="2">
        <f t="shared" si="44"/>
        <v>500000</v>
      </c>
      <c r="W88" s="2"/>
      <c r="X88" s="2"/>
      <c r="Y88" s="2"/>
      <c r="Z88" s="1"/>
      <c r="AA88" s="94">
        <v>850000</v>
      </c>
    </row>
    <row r="89" spans="1:30">
      <c r="A89" s="1">
        <f t="shared" si="40"/>
        <v>84</v>
      </c>
      <c r="B89" s="69">
        <v>2002</v>
      </c>
      <c r="C89" s="1" t="s">
        <v>460</v>
      </c>
      <c r="D89" s="2">
        <v>20000000</v>
      </c>
      <c r="E89" s="2"/>
      <c r="F89" s="2">
        <f t="shared" si="32"/>
        <v>20000000</v>
      </c>
      <c r="G89" s="2"/>
      <c r="H89" s="2"/>
      <c r="I89" s="2"/>
      <c r="J89" s="2"/>
      <c r="K89" s="2"/>
      <c r="L89" s="2"/>
      <c r="M89" s="2"/>
      <c r="N89" s="2">
        <v>2000000</v>
      </c>
      <c r="O89" s="2">
        <f t="shared" si="43"/>
        <v>18000000</v>
      </c>
      <c r="P89" s="2"/>
      <c r="Q89" s="2"/>
      <c r="R89" s="2"/>
      <c r="S89" s="2"/>
      <c r="T89" s="2"/>
      <c r="U89" s="14">
        <f t="shared" si="41"/>
        <v>2000000</v>
      </c>
      <c r="V89" s="2">
        <f t="shared" si="44"/>
        <v>2000000</v>
      </c>
      <c r="W89" s="2"/>
      <c r="X89" s="2"/>
      <c r="Y89" s="2"/>
      <c r="Z89" s="1"/>
      <c r="AA89" s="94">
        <v>829000</v>
      </c>
    </row>
    <row r="90" spans="1:30">
      <c r="A90" s="1">
        <f t="shared" si="40"/>
        <v>85</v>
      </c>
      <c r="B90" s="69">
        <v>2023</v>
      </c>
      <c r="C90" s="1" t="s">
        <v>1029</v>
      </c>
      <c r="D90" s="2">
        <v>7340000</v>
      </c>
      <c r="E90" s="2"/>
      <c r="F90" s="2">
        <f t="shared" si="32"/>
        <v>7340000</v>
      </c>
      <c r="G90" s="2"/>
      <c r="H90" s="2"/>
      <c r="I90" s="2"/>
      <c r="J90" s="2"/>
      <c r="K90" s="2"/>
      <c r="L90" s="2"/>
      <c r="M90" s="2"/>
      <c r="N90" s="2">
        <v>3000000</v>
      </c>
      <c r="O90" s="2">
        <f t="shared" si="43"/>
        <v>4340000</v>
      </c>
      <c r="P90" s="2"/>
      <c r="Q90" s="2"/>
      <c r="R90" s="2"/>
      <c r="S90" s="2"/>
      <c r="T90" s="2"/>
      <c r="U90" s="14">
        <f t="shared" si="41"/>
        <v>3000000</v>
      </c>
      <c r="V90" s="2">
        <f t="shared" si="44"/>
        <v>3000000</v>
      </c>
      <c r="W90" s="2"/>
      <c r="X90" s="2"/>
      <c r="Y90" s="2"/>
      <c r="Z90" s="1"/>
      <c r="AA90" s="94">
        <v>810000</v>
      </c>
    </row>
    <row r="91" spans="1:30">
      <c r="A91" s="1">
        <f t="shared" si="40"/>
        <v>86</v>
      </c>
      <c r="B91" s="69">
        <v>2024</v>
      </c>
      <c r="C91" s="1" t="s">
        <v>1030</v>
      </c>
      <c r="D91" s="2">
        <v>7340000</v>
      </c>
      <c r="E91" s="2"/>
      <c r="F91" s="2">
        <f t="shared" ref="F91" si="45">D91-E91</f>
        <v>7340000</v>
      </c>
      <c r="G91" s="2"/>
      <c r="H91" s="2"/>
      <c r="I91" s="2"/>
      <c r="J91" s="2"/>
      <c r="K91" s="2"/>
      <c r="L91" s="2"/>
      <c r="M91" s="2"/>
      <c r="N91" s="2">
        <v>700000</v>
      </c>
      <c r="O91" s="2">
        <f t="shared" ref="O91" si="46">D91-L91-M91-N91</f>
        <v>6640000</v>
      </c>
      <c r="P91" s="2"/>
      <c r="Q91" s="2"/>
      <c r="R91" s="2"/>
      <c r="S91" s="2"/>
      <c r="T91" s="2"/>
      <c r="U91" s="14">
        <f t="shared" ref="U91" si="47">N91-T91</f>
        <v>700000</v>
      </c>
      <c r="V91" s="2">
        <f t="shared" si="44"/>
        <v>700000</v>
      </c>
      <c r="W91" s="2"/>
      <c r="X91" s="2"/>
      <c r="Y91" s="2"/>
      <c r="Z91" s="1"/>
      <c r="AA91" s="94">
        <v>810000</v>
      </c>
    </row>
    <row r="92" spans="1:30">
      <c r="A92" s="1">
        <f t="shared" si="40"/>
        <v>87</v>
      </c>
      <c r="B92" s="69">
        <v>2025</v>
      </c>
      <c r="C92" s="1" t="s">
        <v>1031</v>
      </c>
      <c r="D92" s="2">
        <v>2600000</v>
      </c>
      <c r="E92" s="2"/>
      <c r="F92" s="2">
        <f t="shared" ref="F92:F93" si="48">D92-E92</f>
        <v>2600000</v>
      </c>
      <c r="G92" s="2"/>
      <c r="H92" s="2"/>
      <c r="I92" s="2"/>
      <c r="J92" s="2"/>
      <c r="K92" s="2"/>
      <c r="L92" s="2"/>
      <c r="M92" s="2"/>
      <c r="N92" s="2">
        <v>1300000</v>
      </c>
      <c r="O92" s="2">
        <f t="shared" ref="O92:O93" si="49">D92-L92-M92-N92</f>
        <v>1300000</v>
      </c>
      <c r="P92" s="2"/>
      <c r="Q92" s="2"/>
      <c r="R92" s="2"/>
      <c r="S92" s="2"/>
      <c r="T92" s="2"/>
      <c r="U92" s="14">
        <f t="shared" ref="U92:U93" si="50">N92-T92</f>
        <v>1300000</v>
      </c>
      <c r="V92" s="2">
        <f t="shared" si="44"/>
        <v>1300000</v>
      </c>
      <c r="W92" s="2"/>
      <c r="X92" s="2"/>
      <c r="Y92" s="2"/>
      <c r="Z92" s="1"/>
      <c r="AA92" s="94">
        <v>810000</v>
      </c>
    </row>
    <row r="93" spans="1:30">
      <c r="A93" s="1">
        <f t="shared" si="40"/>
        <v>88</v>
      </c>
      <c r="B93" s="69">
        <v>2026</v>
      </c>
      <c r="C93" s="1" t="s">
        <v>1032</v>
      </c>
      <c r="D93" s="2">
        <v>7340000</v>
      </c>
      <c r="E93" s="2"/>
      <c r="F93" s="2">
        <f t="shared" si="48"/>
        <v>7340000</v>
      </c>
      <c r="G93" s="2"/>
      <c r="H93" s="2"/>
      <c r="I93" s="2"/>
      <c r="J93" s="2"/>
      <c r="K93" s="2"/>
      <c r="L93" s="2"/>
      <c r="M93" s="2"/>
      <c r="N93" s="2">
        <v>3000000</v>
      </c>
      <c r="O93" s="2">
        <f t="shared" si="49"/>
        <v>4340000</v>
      </c>
      <c r="P93" s="2"/>
      <c r="Q93" s="2"/>
      <c r="R93" s="2"/>
      <c r="S93" s="2"/>
      <c r="T93" s="2"/>
      <c r="U93" s="14">
        <f t="shared" si="50"/>
        <v>3000000</v>
      </c>
      <c r="V93" s="2">
        <f t="shared" si="44"/>
        <v>3000000</v>
      </c>
      <c r="W93" s="2"/>
      <c r="X93" s="2"/>
      <c r="Y93" s="2"/>
      <c r="Z93" s="1"/>
      <c r="AA93" s="94">
        <v>810000</v>
      </c>
    </row>
    <row r="94" spans="1:30" s="77" customFormat="1">
      <c r="A94" s="48"/>
      <c r="B94" s="76"/>
      <c r="C94" s="48" t="s">
        <v>558</v>
      </c>
      <c r="D94" s="33">
        <f t="shared" ref="D94:Z94" si="51">SUM(D6:D93)</f>
        <v>1465427405</v>
      </c>
      <c r="E94" s="33">
        <f t="shared" si="51"/>
        <v>1207147405</v>
      </c>
      <c r="F94" s="33">
        <f t="shared" si="51"/>
        <v>258280000</v>
      </c>
      <c r="G94" s="33">
        <f t="shared" si="51"/>
        <v>725083248</v>
      </c>
      <c r="H94" s="33">
        <f t="shared" si="51"/>
        <v>549630069.54999995</v>
      </c>
      <c r="I94" s="33">
        <f t="shared" si="51"/>
        <v>1217527.7100000002</v>
      </c>
      <c r="J94" s="33">
        <f t="shared" si="51"/>
        <v>68725989.829999968</v>
      </c>
      <c r="K94" s="33">
        <f t="shared" si="51"/>
        <v>69943517.539999962</v>
      </c>
      <c r="L94" s="33">
        <f t="shared" si="51"/>
        <v>619573587.09000027</v>
      </c>
      <c r="M94" s="33">
        <f t="shared" si="51"/>
        <v>125464273.90999997</v>
      </c>
      <c r="N94" s="33">
        <f t="shared" si="51"/>
        <v>216773944</v>
      </c>
      <c r="O94" s="33">
        <f t="shared" si="51"/>
        <v>503615600</v>
      </c>
      <c r="P94" s="33">
        <f t="shared" si="51"/>
        <v>105509660.90999997</v>
      </c>
      <c r="Q94" s="33">
        <f t="shared" si="51"/>
        <v>22554613</v>
      </c>
      <c r="R94" s="33">
        <f t="shared" si="51"/>
        <v>-1200000</v>
      </c>
      <c r="S94" s="33">
        <f t="shared" si="51"/>
        <v>21354613</v>
      </c>
      <c r="T94" s="33">
        <f t="shared" si="51"/>
        <v>1400000</v>
      </c>
      <c r="U94" s="33">
        <f t="shared" si="51"/>
        <v>215373944</v>
      </c>
      <c r="V94" s="33">
        <f t="shared" si="51"/>
        <v>158809941</v>
      </c>
      <c r="W94" s="33">
        <f t="shared" si="51"/>
        <v>0</v>
      </c>
      <c r="X94" s="33">
        <f t="shared" si="51"/>
        <v>1250000</v>
      </c>
      <c r="Y94" s="33">
        <f t="shared" si="51"/>
        <v>0</v>
      </c>
      <c r="Z94" s="33">
        <f t="shared" si="51"/>
        <v>55314003</v>
      </c>
      <c r="AA94" s="95"/>
      <c r="AD94" s="43"/>
    </row>
    <row r="95" spans="1:30" s="77" customFormat="1">
      <c r="A95" s="48"/>
      <c r="B95" s="76"/>
      <c r="C95" s="48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96"/>
      <c r="AD95" s="43"/>
    </row>
    <row r="96" spans="1:30" s="77" customFormat="1">
      <c r="A96" s="48"/>
      <c r="B96" s="76"/>
      <c r="C96" s="48" t="s">
        <v>399</v>
      </c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96"/>
      <c r="AD96" s="43"/>
    </row>
    <row r="97" spans="1:30" s="3" customFormat="1">
      <c r="A97" s="1">
        <f>A93+1</f>
        <v>89</v>
      </c>
      <c r="B97" s="1">
        <v>1547</v>
      </c>
      <c r="C97" s="1" t="s">
        <v>216</v>
      </c>
      <c r="D97" s="2">
        <f>131000000+11000000+2000000</f>
        <v>144000000</v>
      </c>
      <c r="E97" s="2">
        <v>131000000</v>
      </c>
      <c r="F97" s="2">
        <f t="shared" ref="F97:F116" si="52">D97-E97</f>
        <v>13000000</v>
      </c>
      <c r="G97" s="2">
        <f>49000000+9300000</f>
        <v>58300000</v>
      </c>
      <c r="H97" s="2">
        <v>35755044.460000001</v>
      </c>
      <c r="I97" s="2">
        <v>1105773.8600000001</v>
      </c>
      <c r="J97" s="2">
        <v>5855596.3300000001</v>
      </c>
      <c r="K97" s="2">
        <f>SUM(I97:J97)</f>
        <v>6961370.1900000004</v>
      </c>
      <c r="L97" s="2">
        <f>K97+H97</f>
        <v>42716414.649999999</v>
      </c>
      <c r="M97" s="2">
        <f>P97+S97</f>
        <v>25583585.350000001</v>
      </c>
      <c r="N97" s="2">
        <v>42700000</v>
      </c>
      <c r="O97" s="2">
        <f>D97-L97-M97-N97</f>
        <v>33000000</v>
      </c>
      <c r="P97" s="2">
        <f>G97-L97</f>
        <v>15583585.350000001</v>
      </c>
      <c r="Q97" s="151">
        <f>39300000-20000000-9300000</f>
        <v>10000000</v>
      </c>
      <c r="R97" s="2"/>
      <c r="S97" s="2">
        <f t="shared" ref="S97:S116" si="53">SUM(Q97:R97)</f>
        <v>10000000</v>
      </c>
      <c r="T97" s="2">
        <f t="shared" ref="T97:T103" si="54">P97-M97+S97</f>
        <v>0</v>
      </c>
      <c r="U97" s="2">
        <f t="shared" ref="U97:U116" si="55">N97-T97</f>
        <v>42700000</v>
      </c>
      <c r="V97" s="2">
        <f>U97-X97-Y97-Z97</f>
        <v>0</v>
      </c>
      <c r="W97" s="2"/>
      <c r="X97" s="2"/>
      <c r="Y97" s="2">
        <v>21700000</v>
      </c>
      <c r="Z97" s="2">
        <v>21000000</v>
      </c>
      <c r="AA97" s="94">
        <v>742000</v>
      </c>
      <c r="AD97" s="43"/>
    </row>
    <row r="98" spans="1:30" s="7" customFormat="1">
      <c r="A98" s="1">
        <f t="shared" ref="A98:A116" si="56">A97+1</f>
        <v>90</v>
      </c>
      <c r="B98" s="1">
        <v>1797</v>
      </c>
      <c r="C98" s="1" t="s">
        <v>232</v>
      </c>
      <c r="D98" s="2">
        <v>3000000</v>
      </c>
      <c r="E98" s="2">
        <v>3000000</v>
      </c>
      <c r="F98" s="2">
        <f t="shared" si="52"/>
        <v>0</v>
      </c>
      <c r="G98" s="2">
        <v>1761262</v>
      </c>
      <c r="H98" s="2">
        <v>0</v>
      </c>
      <c r="I98" s="2"/>
      <c r="J98" s="2"/>
      <c r="K98" s="2">
        <f t="shared" ref="K98:K116" si="57">SUM(I98:J98)</f>
        <v>0</v>
      </c>
      <c r="L98" s="2">
        <f t="shared" ref="L98:L116" si="58">K98+H98</f>
        <v>0</v>
      </c>
      <c r="M98" s="2">
        <f t="shared" ref="M98:M116" si="59">P98+S98</f>
        <v>249500</v>
      </c>
      <c r="N98" s="2"/>
      <c r="O98" s="2">
        <f t="shared" ref="O98:O116" si="60">D98-L98-M98-N98</f>
        <v>2750500</v>
      </c>
      <c r="P98" s="2">
        <f t="shared" ref="P98:P116" si="61">G98-L98</f>
        <v>1761262</v>
      </c>
      <c r="Q98" s="2">
        <v>-1511762</v>
      </c>
      <c r="R98" s="2"/>
      <c r="S98" s="2">
        <f t="shared" si="53"/>
        <v>-1511762</v>
      </c>
      <c r="T98" s="2">
        <f t="shared" si="54"/>
        <v>0</v>
      </c>
      <c r="U98" s="2">
        <f t="shared" si="55"/>
        <v>0</v>
      </c>
      <c r="V98" s="2">
        <f>U98-Z98-X98-Y98</f>
        <v>0</v>
      </c>
      <c r="W98" s="2"/>
      <c r="X98" s="2"/>
      <c r="Y98" s="2"/>
      <c r="Z98" s="2"/>
      <c r="AA98" s="94">
        <v>820000</v>
      </c>
      <c r="AD98" s="43"/>
    </row>
    <row r="99" spans="1:30">
      <c r="A99" s="1">
        <f t="shared" si="56"/>
        <v>91</v>
      </c>
      <c r="B99" s="8">
        <v>1827</v>
      </c>
      <c r="C99" s="1" t="s">
        <v>266</v>
      </c>
      <c r="D99" s="2">
        <f>100000000</f>
        <v>100000000</v>
      </c>
      <c r="E99" s="2">
        <v>100000000</v>
      </c>
      <c r="F99" s="2">
        <f t="shared" si="52"/>
        <v>0</v>
      </c>
      <c r="G99" s="2">
        <v>21000000</v>
      </c>
      <c r="H99" s="2">
        <v>12313995</v>
      </c>
      <c r="I99" s="2"/>
      <c r="J99" s="2">
        <v>3765093.76</v>
      </c>
      <c r="K99" s="2">
        <f t="shared" si="57"/>
        <v>3765093.76</v>
      </c>
      <c r="L99" s="2">
        <f t="shared" si="58"/>
        <v>16079088.76</v>
      </c>
      <c r="M99" s="2">
        <f t="shared" si="59"/>
        <v>4920911.24</v>
      </c>
      <c r="N99" s="2">
        <v>62116279</v>
      </c>
      <c r="O99" s="2">
        <f t="shared" si="60"/>
        <v>16883721</v>
      </c>
      <c r="P99" s="2">
        <f t="shared" si="61"/>
        <v>4920911.24</v>
      </c>
      <c r="Q99" s="2"/>
      <c r="R99" s="2"/>
      <c r="S99" s="2">
        <f t="shared" si="53"/>
        <v>0</v>
      </c>
      <c r="T99" s="2">
        <f t="shared" si="54"/>
        <v>0</v>
      </c>
      <c r="U99" s="2">
        <f t="shared" si="55"/>
        <v>62116279</v>
      </c>
      <c r="V99" s="2">
        <f>U99-X99-Y99-Z99</f>
        <v>-6.976744532585144E-2</v>
      </c>
      <c r="W99" s="2"/>
      <c r="X99" s="2"/>
      <c r="Y99" s="2"/>
      <c r="Z99" s="2">
        <f>70000000/1.075-3000000</f>
        <v>62116279.069767445</v>
      </c>
      <c r="AA99" s="94">
        <v>746000</v>
      </c>
      <c r="AD99" s="43"/>
    </row>
    <row r="100" spans="1:30" s="3" customFormat="1">
      <c r="A100" s="1">
        <f t="shared" si="56"/>
        <v>92</v>
      </c>
      <c r="B100" s="1">
        <v>1905</v>
      </c>
      <c r="C100" s="1" t="s">
        <v>263</v>
      </c>
      <c r="D100" s="2">
        <v>3366000</v>
      </c>
      <c r="E100" s="2">
        <v>3366000</v>
      </c>
      <c r="F100" s="2">
        <f t="shared" si="52"/>
        <v>0</v>
      </c>
      <c r="G100" s="2">
        <v>3366000</v>
      </c>
      <c r="H100" s="2">
        <v>0</v>
      </c>
      <c r="I100" s="2"/>
      <c r="J100" s="2"/>
      <c r="K100" s="2">
        <f t="shared" si="57"/>
        <v>0</v>
      </c>
      <c r="L100" s="2">
        <f t="shared" si="58"/>
        <v>0</v>
      </c>
      <c r="M100" s="2">
        <f t="shared" si="59"/>
        <v>3366000</v>
      </c>
      <c r="N100" s="2"/>
      <c r="O100" s="2">
        <f t="shared" si="60"/>
        <v>0</v>
      </c>
      <c r="P100" s="2">
        <f t="shared" si="61"/>
        <v>3366000</v>
      </c>
      <c r="Q100" s="2"/>
      <c r="R100" s="2"/>
      <c r="S100" s="2">
        <f t="shared" si="53"/>
        <v>0</v>
      </c>
      <c r="T100" s="2">
        <f t="shared" si="54"/>
        <v>0</v>
      </c>
      <c r="U100" s="2">
        <f t="shared" si="55"/>
        <v>0</v>
      </c>
      <c r="V100" s="2">
        <f>U100-Z100-X100-Y100</f>
        <v>0</v>
      </c>
      <c r="W100" s="2"/>
      <c r="X100" s="2"/>
      <c r="Y100" s="2"/>
      <c r="Z100" s="1"/>
      <c r="AA100" s="94">
        <v>746000</v>
      </c>
    </row>
    <row r="101" spans="1:30" s="3" customFormat="1">
      <c r="A101" s="1">
        <f t="shared" si="56"/>
        <v>93</v>
      </c>
      <c r="B101" s="1">
        <v>1906</v>
      </c>
      <c r="C101" s="1" t="s">
        <v>704</v>
      </c>
      <c r="D101" s="2">
        <v>10000000</v>
      </c>
      <c r="E101" s="2">
        <v>10000000</v>
      </c>
      <c r="F101" s="2">
        <f t="shared" si="52"/>
        <v>0</v>
      </c>
      <c r="G101" s="2">
        <v>1650000</v>
      </c>
      <c r="H101" s="2">
        <v>11720</v>
      </c>
      <c r="I101" s="2"/>
      <c r="J101" s="2">
        <v>88278.84</v>
      </c>
      <c r="K101" s="2">
        <f t="shared" si="57"/>
        <v>88278.84</v>
      </c>
      <c r="L101" s="2">
        <f t="shared" si="58"/>
        <v>99998.84</v>
      </c>
      <c r="M101" s="2">
        <f t="shared" si="59"/>
        <v>1550001.16</v>
      </c>
      <c r="N101" s="2">
        <v>8350000</v>
      </c>
      <c r="O101" s="2">
        <f t="shared" si="60"/>
        <v>0</v>
      </c>
      <c r="P101" s="2">
        <f t="shared" si="61"/>
        <v>1550001.16</v>
      </c>
      <c r="Q101" s="2"/>
      <c r="R101" s="2"/>
      <c r="S101" s="2">
        <f t="shared" si="53"/>
        <v>0</v>
      </c>
      <c r="T101" s="2">
        <f t="shared" si="54"/>
        <v>0</v>
      </c>
      <c r="U101" s="2">
        <f t="shared" si="55"/>
        <v>8350000</v>
      </c>
      <c r="V101" s="2">
        <f>U101-Z101-X101-Y101</f>
        <v>0</v>
      </c>
      <c r="W101" s="2"/>
      <c r="X101" s="2"/>
      <c r="Y101" s="2">
        <v>5100000</v>
      </c>
      <c r="Z101" s="2">
        <v>3250000</v>
      </c>
      <c r="AA101" s="94">
        <v>810000</v>
      </c>
    </row>
    <row r="102" spans="1:30" s="3" customFormat="1">
      <c r="A102" s="1">
        <f t="shared" si="56"/>
        <v>94</v>
      </c>
      <c r="B102" s="1">
        <v>1907</v>
      </c>
      <c r="C102" s="1" t="s">
        <v>261</v>
      </c>
      <c r="D102" s="2">
        <v>10000000</v>
      </c>
      <c r="E102" s="2">
        <v>10000000</v>
      </c>
      <c r="F102" s="2">
        <f t="shared" si="52"/>
        <v>0</v>
      </c>
      <c r="G102" s="2">
        <v>1650000</v>
      </c>
      <c r="H102" s="2">
        <v>86132</v>
      </c>
      <c r="I102" s="2"/>
      <c r="J102" s="2">
        <v>13866.84</v>
      </c>
      <c r="K102" s="2">
        <f t="shared" si="57"/>
        <v>13866.84</v>
      </c>
      <c r="L102" s="2">
        <f t="shared" si="58"/>
        <v>99998.84</v>
      </c>
      <c r="M102" s="2">
        <f t="shared" si="59"/>
        <v>1550001.16</v>
      </c>
      <c r="N102" s="2">
        <v>8350000</v>
      </c>
      <c r="O102" s="2">
        <f t="shared" si="60"/>
        <v>0</v>
      </c>
      <c r="P102" s="2">
        <f t="shared" si="61"/>
        <v>1550001.16</v>
      </c>
      <c r="Q102" s="2"/>
      <c r="R102" s="2"/>
      <c r="S102" s="2">
        <f t="shared" si="53"/>
        <v>0</v>
      </c>
      <c r="T102" s="2">
        <f t="shared" si="54"/>
        <v>0</v>
      </c>
      <c r="U102" s="2">
        <f t="shared" si="55"/>
        <v>8350000</v>
      </c>
      <c r="V102" s="2">
        <f>U102-Z102-X102-Y102</f>
        <v>0</v>
      </c>
      <c r="W102" s="2"/>
      <c r="X102" s="2"/>
      <c r="Y102" s="2">
        <v>5100000</v>
      </c>
      <c r="Z102" s="2">
        <v>3250000</v>
      </c>
      <c r="AA102" s="94">
        <v>810000</v>
      </c>
    </row>
    <row r="103" spans="1:30" s="3" customFormat="1">
      <c r="A103" s="1">
        <f t="shared" si="56"/>
        <v>95</v>
      </c>
      <c r="B103" s="1">
        <v>1908</v>
      </c>
      <c r="C103" s="1" t="s">
        <v>335</v>
      </c>
      <c r="D103" s="2">
        <v>16900000</v>
      </c>
      <c r="E103" s="2">
        <v>16000000</v>
      </c>
      <c r="F103" s="2">
        <f t="shared" si="52"/>
        <v>900000</v>
      </c>
      <c r="G103" s="2">
        <f>2000000+7432067</f>
        <v>9432067</v>
      </c>
      <c r="H103" s="2">
        <v>53515</v>
      </c>
      <c r="I103" s="2"/>
      <c r="J103" s="2">
        <v>46484.1</v>
      </c>
      <c r="K103" s="2">
        <f t="shared" si="57"/>
        <v>46484.1</v>
      </c>
      <c r="L103" s="2">
        <f t="shared" si="58"/>
        <v>99999.1</v>
      </c>
      <c r="M103" s="2">
        <f t="shared" si="59"/>
        <v>10843829.9</v>
      </c>
      <c r="N103" s="2"/>
      <c r="O103" s="2">
        <f t="shared" si="60"/>
        <v>5956170.9999999981</v>
      </c>
      <c r="P103" s="2">
        <f t="shared" si="61"/>
        <v>9332067.9000000004</v>
      </c>
      <c r="Q103" s="2">
        <v>1511762</v>
      </c>
      <c r="R103" s="2"/>
      <c r="S103" s="2">
        <f t="shared" si="53"/>
        <v>1511762</v>
      </c>
      <c r="T103" s="2">
        <f t="shared" si="54"/>
        <v>0</v>
      </c>
      <c r="U103" s="2">
        <f t="shared" si="55"/>
        <v>0</v>
      </c>
      <c r="V103" s="2">
        <f>U103-Z103-X103-Y103</f>
        <v>0</v>
      </c>
      <c r="W103" s="2"/>
      <c r="X103" s="2"/>
      <c r="Y103" s="2"/>
      <c r="Z103" s="2"/>
      <c r="AA103" s="94">
        <v>810000</v>
      </c>
    </row>
    <row r="104" spans="1:30">
      <c r="A104" s="1">
        <f t="shared" si="56"/>
        <v>96</v>
      </c>
      <c r="B104" s="8">
        <v>1909</v>
      </c>
      <c r="C104" s="152" t="s">
        <v>906</v>
      </c>
      <c r="D104" s="2">
        <v>12500000</v>
      </c>
      <c r="E104" s="2">
        <v>12000000</v>
      </c>
      <c r="F104" s="2">
        <f t="shared" si="52"/>
        <v>500000</v>
      </c>
      <c r="G104" s="2">
        <v>1650000</v>
      </c>
      <c r="H104" s="2">
        <v>4341</v>
      </c>
      <c r="I104" s="2"/>
      <c r="J104" s="2">
        <v>95658.03</v>
      </c>
      <c r="K104" s="2">
        <f t="shared" si="57"/>
        <v>95658.03</v>
      </c>
      <c r="L104" s="2">
        <f t="shared" si="58"/>
        <v>99999.03</v>
      </c>
      <c r="M104" s="2">
        <f t="shared" si="59"/>
        <v>1550000.97</v>
      </c>
      <c r="N104" s="2">
        <f>4062500-4062500</f>
        <v>0</v>
      </c>
      <c r="O104" s="2">
        <f t="shared" si="60"/>
        <v>10850000</v>
      </c>
      <c r="P104" s="2">
        <f t="shared" si="61"/>
        <v>1550000.97</v>
      </c>
      <c r="Q104" s="2"/>
      <c r="R104" s="2"/>
      <c r="S104" s="2">
        <f t="shared" si="53"/>
        <v>0</v>
      </c>
      <c r="T104" s="2">
        <f t="shared" ref="T104:T116" si="62">P104-M104+S104</f>
        <v>0</v>
      </c>
      <c r="U104" s="2">
        <f t="shared" si="55"/>
        <v>0</v>
      </c>
      <c r="V104" s="2">
        <f>U104-X104-Y104-Z104</f>
        <v>0</v>
      </c>
      <c r="W104" s="2"/>
      <c r="X104" s="2"/>
      <c r="Y104" s="2"/>
      <c r="Z104" s="2"/>
      <c r="AA104" s="94">
        <v>810000</v>
      </c>
    </row>
    <row r="105" spans="1:30">
      <c r="A105" s="1">
        <f t="shared" si="56"/>
        <v>97</v>
      </c>
      <c r="B105" s="8">
        <v>1910</v>
      </c>
      <c r="C105" s="1" t="s">
        <v>272</v>
      </c>
      <c r="D105" s="2">
        <v>650000</v>
      </c>
      <c r="E105" s="2">
        <v>650000</v>
      </c>
      <c r="F105" s="2">
        <f t="shared" si="52"/>
        <v>0</v>
      </c>
      <c r="G105" s="2">
        <v>650000</v>
      </c>
      <c r="H105" s="2">
        <v>0</v>
      </c>
      <c r="I105" s="2"/>
      <c r="J105" s="2"/>
      <c r="K105" s="2">
        <f t="shared" si="57"/>
        <v>0</v>
      </c>
      <c r="L105" s="2">
        <f t="shared" si="58"/>
        <v>0</v>
      </c>
      <c r="M105" s="2">
        <f t="shared" si="59"/>
        <v>650000</v>
      </c>
      <c r="N105" s="2"/>
      <c r="O105" s="2">
        <f t="shared" si="60"/>
        <v>0</v>
      </c>
      <c r="P105" s="2">
        <f t="shared" si="61"/>
        <v>650000</v>
      </c>
      <c r="Q105" s="2"/>
      <c r="R105" s="2"/>
      <c r="S105" s="2">
        <f t="shared" si="53"/>
        <v>0</v>
      </c>
      <c r="T105" s="2">
        <f t="shared" ref="T105:T110" si="63">P105-M105+S105</f>
        <v>0</v>
      </c>
      <c r="U105" s="2">
        <f t="shared" ref="U105:U110" si="64">N105-T105</f>
        <v>0</v>
      </c>
      <c r="V105" s="2">
        <f>U105-X105-Y105-Z105</f>
        <v>0</v>
      </c>
      <c r="W105" s="2"/>
      <c r="X105" s="2"/>
      <c r="Y105" s="2"/>
      <c r="Z105" s="1"/>
      <c r="AA105" s="94">
        <v>823000</v>
      </c>
    </row>
    <row r="106" spans="1:30" ht="30">
      <c r="A106" s="1">
        <f t="shared" si="56"/>
        <v>98</v>
      </c>
      <c r="B106" s="780">
        <v>1911</v>
      </c>
      <c r="C106" s="1" t="s">
        <v>1004</v>
      </c>
      <c r="D106" s="2">
        <f>23500000+4000000</f>
        <v>27500000</v>
      </c>
      <c r="E106" s="2">
        <v>23500000</v>
      </c>
      <c r="F106" s="2">
        <f t="shared" si="52"/>
        <v>4000000</v>
      </c>
      <c r="G106" s="2">
        <f>1750000+7432067</f>
        <v>9182067</v>
      </c>
      <c r="H106" s="2">
        <v>21487</v>
      </c>
      <c r="I106" s="2"/>
      <c r="J106" s="2">
        <v>78512.22</v>
      </c>
      <c r="K106" s="2">
        <f t="shared" si="57"/>
        <v>78512.22</v>
      </c>
      <c r="L106" s="2">
        <f t="shared" si="58"/>
        <v>99999.22</v>
      </c>
      <c r="M106" s="2">
        <f t="shared" si="59"/>
        <v>9082067.7799999993</v>
      </c>
      <c r="N106" s="2">
        <v>16000000</v>
      </c>
      <c r="O106" s="2">
        <f t="shared" si="60"/>
        <v>2317933</v>
      </c>
      <c r="P106" s="2">
        <f t="shared" si="61"/>
        <v>9082067.7799999993</v>
      </c>
      <c r="Q106" s="2"/>
      <c r="R106" s="2"/>
      <c r="S106" s="2">
        <f t="shared" si="53"/>
        <v>0</v>
      </c>
      <c r="T106" s="2">
        <f t="shared" si="63"/>
        <v>0</v>
      </c>
      <c r="U106" s="2">
        <f t="shared" si="64"/>
        <v>16000000</v>
      </c>
      <c r="V106" s="2">
        <f>U106-X106-Y106-Z106</f>
        <v>0</v>
      </c>
      <c r="W106" s="2"/>
      <c r="X106" s="2"/>
      <c r="Y106" s="2">
        <v>11937500</v>
      </c>
      <c r="Z106" s="2">
        <f>812500*5</f>
        <v>4062500</v>
      </c>
      <c r="AA106" s="94">
        <v>810000</v>
      </c>
      <c r="AD106" s="43"/>
    </row>
    <row r="107" spans="1:30">
      <c r="A107" s="1">
        <f t="shared" si="56"/>
        <v>99</v>
      </c>
      <c r="B107" s="8">
        <v>1912</v>
      </c>
      <c r="C107" s="1" t="s">
        <v>1073</v>
      </c>
      <c r="D107" s="2">
        <v>100000000</v>
      </c>
      <c r="E107" s="2">
        <v>100000000</v>
      </c>
      <c r="F107" s="2">
        <f t="shared" si="52"/>
        <v>0</v>
      </c>
      <c r="G107" s="2">
        <v>2000000</v>
      </c>
      <c r="H107" s="2">
        <v>4341</v>
      </c>
      <c r="I107" s="2"/>
      <c r="J107" s="2">
        <v>95658.03</v>
      </c>
      <c r="K107" s="2">
        <f t="shared" si="57"/>
        <v>95658.03</v>
      </c>
      <c r="L107" s="2">
        <f t="shared" si="58"/>
        <v>99999.03</v>
      </c>
      <c r="M107" s="2">
        <f t="shared" si="59"/>
        <v>1900000.97</v>
      </c>
      <c r="N107" s="2">
        <v>3000000</v>
      </c>
      <c r="O107" s="2">
        <f t="shared" si="60"/>
        <v>95000000</v>
      </c>
      <c r="P107" s="2">
        <f t="shared" si="61"/>
        <v>1900000.97</v>
      </c>
      <c r="Q107" s="2"/>
      <c r="R107" s="2"/>
      <c r="S107" s="2">
        <f t="shared" si="53"/>
        <v>0</v>
      </c>
      <c r="T107" s="2">
        <f t="shared" si="63"/>
        <v>0</v>
      </c>
      <c r="U107" s="2">
        <f t="shared" si="64"/>
        <v>3000000</v>
      </c>
      <c r="V107" s="2">
        <f t="shared" ref="V107:V114" si="65">U107-Z107-X107-Y107</f>
        <v>0</v>
      </c>
      <c r="W107" s="2"/>
      <c r="X107" s="2"/>
      <c r="Y107" s="2">
        <v>3000000</v>
      </c>
      <c r="Z107" s="1"/>
      <c r="AA107" s="94">
        <v>810000</v>
      </c>
      <c r="AD107" s="43"/>
    </row>
    <row r="108" spans="1:30" ht="30">
      <c r="A108" s="1">
        <f t="shared" si="56"/>
        <v>100</v>
      </c>
      <c r="B108" s="780">
        <v>1913</v>
      </c>
      <c r="C108" s="1" t="s">
        <v>1007</v>
      </c>
      <c r="D108" s="2">
        <v>400000</v>
      </c>
      <c r="E108" s="2">
        <v>400000</v>
      </c>
      <c r="F108" s="2">
        <f t="shared" si="52"/>
        <v>0</v>
      </c>
      <c r="G108" s="2">
        <v>400000</v>
      </c>
      <c r="H108" s="2">
        <v>0</v>
      </c>
      <c r="I108" s="2"/>
      <c r="J108" s="2"/>
      <c r="K108" s="2">
        <f t="shared" si="57"/>
        <v>0</v>
      </c>
      <c r="L108" s="2">
        <f t="shared" si="58"/>
        <v>0</v>
      </c>
      <c r="M108" s="2">
        <f t="shared" si="59"/>
        <v>400000</v>
      </c>
      <c r="N108" s="2"/>
      <c r="O108" s="2">
        <f t="shared" si="60"/>
        <v>0</v>
      </c>
      <c r="P108" s="2">
        <f t="shared" si="61"/>
        <v>400000</v>
      </c>
      <c r="Q108" s="2"/>
      <c r="R108" s="2"/>
      <c r="S108" s="2">
        <f t="shared" si="53"/>
        <v>0</v>
      </c>
      <c r="T108" s="2">
        <f t="shared" si="63"/>
        <v>0</v>
      </c>
      <c r="U108" s="2">
        <f t="shared" si="64"/>
        <v>0</v>
      </c>
      <c r="V108" s="2">
        <f t="shared" si="65"/>
        <v>0</v>
      </c>
      <c r="W108" s="2"/>
      <c r="X108" s="2"/>
      <c r="Y108" s="2"/>
      <c r="Z108" s="1"/>
      <c r="AA108" s="94">
        <v>823000</v>
      </c>
      <c r="AD108" s="47"/>
    </row>
    <row r="109" spans="1:30">
      <c r="A109" s="1">
        <f t="shared" si="56"/>
        <v>101</v>
      </c>
      <c r="B109" s="8">
        <v>1914</v>
      </c>
      <c r="C109" s="1" t="s">
        <v>333</v>
      </c>
      <c r="D109" s="2">
        <f>7500000+200000</f>
        <v>7700000</v>
      </c>
      <c r="E109" s="2">
        <v>7500000</v>
      </c>
      <c r="F109" s="2">
        <f t="shared" si="52"/>
        <v>200000</v>
      </c>
      <c r="G109" s="2">
        <f>900000+400000</f>
        <v>1300000</v>
      </c>
      <c r="H109" s="2">
        <v>10852</v>
      </c>
      <c r="I109" s="2"/>
      <c r="J109" s="2">
        <v>89146.98</v>
      </c>
      <c r="K109" s="2">
        <f t="shared" si="57"/>
        <v>89146.98</v>
      </c>
      <c r="L109" s="2">
        <f t="shared" si="58"/>
        <v>99998.98</v>
      </c>
      <c r="M109" s="2">
        <f t="shared" si="59"/>
        <v>1200001.02</v>
      </c>
      <c r="N109" s="2">
        <v>3200000</v>
      </c>
      <c r="O109" s="2">
        <f t="shared" si="60"/>
        <v>3200000</v>
      </c>
      <c r="P109" s="2">
        <f t="shared" si="61"/>
        <v>1200001.02</v>
      </c>
      <c r="Q109" s="2"/>
      <c r="R109" s="2"/>
      <c r="S109" s="2">
        <f t="shared" si="53"/>
        <v>0</v>
      </c>
      <c r="T109" s="2">
        <f t="shared" si="63"/>
        <v>0</v>
      </c>
      <c r="U109" s="2">
        <f t="shared" si="64"/>
        <v>3200000</v>
      </c>
      <c r="V109" s="2">
        <f t="shared" si="65"/>
        <v>0</v>
      </c>
      <c r="W109" s="2"/>
      <c r="X109" s="2"/>
      <c r="Y109" s="2">
        <v>762500</v>
      </c>
      <c r="Z109" s="2">
        <v>2437500</v>
      </c>
      <c r="AA109" s="94">
        <v>810000</v>
      </c>
    </row>
    <row r="110" spans="1:30">
      <c r="A110" s="1">
        <f t="shared" si="56"/>
        <v>102</v>
      </c>
      <c r="B110" s="8">
        <v>1919</v>
      </c>
      <c r="C110" s="1" t="s">
        <v>273</v>
      </c>
      <c r="D110" s="2">
        <v>135100000</v>
      </c>
      <c r="E110" s="2">
        <v>135100000</v>
      </c>
      <c r="F110" s="2">
        <f t="shared" si="52"/>
        <v>0</v>
      </c>
      <c r="G110" s="2">
        <v>9098527</v>
      </c>
      <c r="H110" s="2">
        <v>1043918</v>
      </c>
      <c r="I110" s="2"/>
      <c r="J110" s="2">
        <v>6567376.96</v>
      </c>
      <c r="K110" s="2">
        <f t="shared" si="57"/>
        <v>6567376.96</v>
      </c>
      <c r="L110" s="2">
        <f t="shared" si="58"/>
        <v>7611294.96</v>
      </c>
      <c r="M110" s="2">
        <f t="shared" si="59"/>
        <v>1487232.04</v>
      </c>
      <c r="N110" s="2">
        <v>31000000</v>
      </c>
      <c r="O110" s="2">
        <f t="shared" si="60"/>
        <v>95001473</v>
      </c>
      <c r="P110" s="2">
        <f t="shared" si="61"/>
        <v>1487232.04</v>
      </c>
      <c r="Q110" s="2"/>
      <c r="R110" s="2"/>
      <c r="S110" s="2">
        <f t="shared" si="53"/>
        <v>0</v>
      </c>
      <c r="T110" s="2">
        <f t="shared" si="63"/>
        <v>0</v>
      </c>
      <c r="U110" s="2">
        <f t="shared" si="64"/>
        <v>31000000</v>
      </c>
      <c r="V110" s="2">
        <f t="shared" si="65"/>
        <v>0</v>
      </c>
      <c r="W110" s="2"/>
      <c r="X110" s="2"/>
      <c r="Y110" s="2"/>
      <c r="Z110" s="2">
        <v>31000000</v>
      </c>
      <c r="AA110" s="94">
        <v>742000</v>
      </c>
      <c r="AD110" s="47"/>
    </row>
    <row r="111" spans="1:30" ht="30">
      <c r="A111" s="1">
        <f t="shared" si="56"/>
        <v>103</v>
      </c>
      <c r="B111" s="780">
        <v>1959</v>
      </c>
      <c r="C111" s="1" t="s">
        <v>1005</v>
      </c>
      <c r="D111" s="2">
        <v>35000000</v>
      </c>
      <c r="E111" s="2">
        <v>35000000</v>
      </c>
      <c r="F111" s="2">
        <f t="shared" si="52"/>
        <v>0</v>
      </c>
      <c r="G111" s="2">
        <f>1000000+500000</f>
        <v>1500000</v>
      </c>
      <c r="H111" s="2">
        <v>0</v>
      </c>
      <c r="I111" s="2"/>
      <c r="J111" s="2"/>
      <c r="K111" s="2">
        <f t="shared" si="57"/>
        <v>0</v>
      </c>
      <c r="L111" s="2">
        <f t="shared" si="58"/>
        <v>0</v>
      </c>
      <c r="M111" s="2">
        <f t="shared" si="59"/>
        <v>1500000</v>
      </c>
      <c r="N111" s="2"/>
      <c r="O111" s="2">
        <f t="shared" si="60"/>
        <v>33500000</v>
      </c>
      <c r="P111" s="2">
        <f t="shared" si="61"/>
        <v>1500000</v>
      </c>
      <c r="Q111" s="2"/>
      <c r="R111" s="2"/>
      <c r="S111" s="2">
        <f t="shared" si="53"/>
        <v>0</v>
      </c>
      <c r="T111" s="2">
        <f t="shared" si="62"/>
        <v>0</v>
      </c>
      <c r="U111" s="2">
        <f t="shared" si="55"/>
        <v>0</v>
      </c>
      <c r="V111" s="2">
        <f t="shared" si="65"/>
        <v>0</v>
      </c>
      <c r="W111" s="2"/>
      <c r="X111" s="2"/>
      <c r="Y111" s="2"/>
      <c r="Z111" s="2"/>
      <c r="AA111" s="94">
        <v>810000</v>
      </c>
    </row>
    <row r="112" spans="1:30">
      <c r="A112" s="1">
        <f t="shared" si="56"/>
        <v>104</v>
      </c>
      <c r="B112" s="8">
        <v>1960</v>
      </c>
      <c r="C112" s="1" t="s">
        <v>1006</v>
      </c>
      <c r="D112" s="2">
        <f>7500000+200000</f>
        <v>7700000</v>
      </c>
      <c r="E112" s="2">
        <v>7500000</v>
      </c>
      <c r="F112" s="2">
        <f t="shared" si="52"/>
        <v>200000</v>
      </c>
      <c r="G112" s="2">
        <f>600000+150000</f>
        <v>750000</v>
      </c>
      <c r="H112" s="2">
        <v>0</v>
      </c>
      <c r="I112" s="2"/>
      <c r="J112" s="2"/>
      <c r="K112" s="2">
        <f t="shared" si="57"/>
        <v>0</v>
      </c>
      <c r="L112" s="2">
        <f t="shared" si="58"/>
        <v>0</v>
      </c>
      <c r="M112" s="2">
        <f t="shared" si="59"/>
        <v>750000</v>
      </c>
      <c r="N112" s="2">
        <v>3400000</v>
      </c>
      <c r="O112" s="2">
        <f t="shared" si="60"/>
        <v>3550000</v>
      </c>
      <c r="P112" s="2">
        <f t="shared" si="61"/>
        <v>750000</v>
      </c>
      <c r="Q112" s="2"/>
      <c r="R112" s="2"/>
      <c r="S112" s="2">
        <f t="shared" si="53"/>
        <v>0</v>
      </c>
      <c r="T112" s="2">
        <f t="shared" si="62"/>
        <v>0</v>
      </c>
      <c r="U112" s="2">
        <f t="shared" si="55"/>
        <v>3400000</v>
      </c>
      <c r="V112" s="2">
        <f t="shared" si="65"/>
        <v>0</v>
      </c>
      <c r="W112" s="2"/>
      <c r="X112" s="2"/>
      <c r="Y112" s="2">
        <v>962500</v>
      </c>
      <c r="Z112" s="2">
        <v>2437500</v>
      </c>
      <c r="AA112" s="94">
        <v>810000</v>
      </c>
      <c r="AD112" s="43"/>
    </row>
    <row r="113" spans="1:30">
      <c r="A113" s="1">
        <f t="shared" si="56"/>
        <v>105</v>
      </c>
      <c r="B113" s="8">
        <v>1961</v>
      </c>
      <c r="C113" s="1" t="s">
        <v>384</v>
      </c>
      <c r="D113" s="2">
        <v>3000000</v>
      </c>
      <c r="E113" s="2">
        <v>3000000</v>
      </c>
      <c r="F113" s="2">
        <f t="shared" si="52"/>
        <v>0</v>
      </c>
      <c r="G113" s="2">
        <f>500000+1000000</f>
        <v>1500000</v>
      </c>
      <c r="H113" s="2">
        <v>0</v>
      </c>
      <c r="I113" s="2"/>
      <c r="J113" s="2"/>
      <c r="K113" s="2">
        <f t="shared" si="57"/>
        <v>0</v>
      </c>
      <c r="L113" s="2">
        <f t="shared" si="58"/>
        <v>0</v>
      </c>
      <c r="M113" s="2">
        <f t="shared" si="59"/>
        <v>1500000</v>
      </c>
      <c r="N113" s="2"/>
      <c r="O113" s="2">
        <f t="shared" si="60"/>
        <v>1500000</v>
      </c>
      <c r="P113" s="2">
        <f t="shared" si="61"/>
        <v>1500000</v>
      </c>
      <c r="Q113" s="2"/>
      <c r="R113" s="2"/>
      <c r="S113" s="2">
        <f t="shared" si="53"/>
        <v>0</v>
      </c>
      <c r="T113" s="2">
        <f t="shared" si="62"/>
        <v>0</v>
      </c>
      <c r="U113" s="2">
        <f t="shared" si="55"/>
        <v>0</v>
      </c>
      <c r="V113" s="2">
        <f t="shared" si="65"/>
        <v>0</v>
      </c>
      <c r="W113" s="2"/>
      <c r="X113" s="2"/>
      <c r="Y113" s="2"/>
      <c r="Z113" s="2"/>
      <c r="AA113" s="94">
        <v>742000</v>
      </c>
      <c r="AD113" s="43"/>
    </row>
    <row r="114" spans="1:30">
      <c r="A114" s="1">
        <f t="shared" si="56"/>
        <v>106</v>
      </c>
      <c r="B114" s="8">
        <v>1962</v>
      </c>
      <c r="C114" s="1" t="s">
        <v>385</v>
      </c>
      <c r="D114" s="2">
        <v>20000000</v>
      </c>
      <c r="E114" s="2">
        <v>20000000</v>
      </c>
      <c r="F114" s="2">
        <f t="shared" si="52"/>
        <v>0</v>
      </c>
      <c r="G114" s="2">
        <f>500000+500000</f>
        <v>1000000</v>
      </c>
      <c r="H114" s="2">
        <v>0</v>
      </c>
      <c r="I114" s="2"/>
      <c r="J114" s="2"/>
      <c r="K114" s="2">
        <f t="shared" si="57"/>
        <v>0</v>
      </c>
      <c r="L114" s="2">
        <f t="shared" si="58"/>
        <v>0</v>
      </c>
      <c r="M114" s="2">
        <f t="shared" si="59"/>
        <v>1000000</v>
      </c>
      <c r="N114" s="2"/>
      <c r="O114" s="2">
        <f t="shared" si="60"/>
        <v>19000000</v>
      </c>
      <c r="P114" s="2">
        <f t="shared" si="61"/>
        <v>1000000</v>
      </c>
      <c r="Q114" s="2"/>
      <c r="R114" s="2"/>
      <c r="S114" s="2">
        <f t="shared" si="53"/>
        <v>0</v>
      </c>
      <c r="T114" s="2">
        <f t="shared" si="62"/>
        <v>0</v>
      </c>
      <c r="U114" s="2">
        <f t="shared" si="55"/>
        <v>0</v>
      </c>
      <c r="V114" s="2">
        <f t="shared" si="65"/>
        <v>0</v>
      </c>
      <c r="W114" s="2"/>
      <c r="X114" s="2"/>
      <c r="Y114" s="2"/>
      <c r="Z114" s="2"/>
      <c r="AA114" s="94">
        <v>742000</v>
      </c>
      <c r="AD114" s="47"/>
    </row>
    <row r="115" spans="1:30">
      <c r="A115" s="1">
        <f t="shared" si="56"/>
        <v>107</v>
      </c>
      <c r="B115" s="8">
        <v>1963</v>
      </c>
      <c r="C115" s="1" t="s">
        <v>404</v>
      </c>
      <c r="D115" s="2">
        <v>2800000</v>
      </c>
      <c r="E115" s="2">
        <v>2800000</v>
      </c>
      <c r="F115" s="2">
        <f t="shared" si="52"/>
        <v>0</v>
      </c>
      <c r="G115" s="2">
        <f>200000+109655</f>
        <v>309655</v>
      </c>
      <c r="H115" s="2">
        <v>0</v>
      </c>
      <c r="I115" s="2"/>
      <c r="J115" s="2"/>
      <c r="K115" s="2">
        <f t="shared" si="57"/>
        <v>0</v>
      </c>
      <c r="L115" s="2">
        <f t="shared" si="58"/>
        <v>0</v>
      </c>
      <c r="M115" s="2">
        <f t="shared" si="59"/>
        <v>309655</v>
      </c>
      <c r="N115" s="2">
        <v>2490345</v>
      </c>
      <c r="O115" s="2">
        <f t="shared" si="60"/>
        <v>0</v>
      </c>
      <c r="P115" s="2">
        <f t="shared" si="61"/>
        <v>309655</v>
      </c>
      <c r="Q115" s="2"/>
      <c r="R115" s="2"/>
      <c r="S115" s="2">
        <f t="shared" si="53"/>
        <v>0</v>
      </c>
      <c r="T115" s="2">
        <f t="shared" si="62"/>
        <v>0</v>
      </c>
      <c r="U115" s="2">
        <f t="shared" si="55"/>
        <v>2490345</v>
      </c>
      <c r="V115" s="2">
        <f>U115-X115-Y115-Z115</f>
        <v>0</v>
      </c>
      <c r="W115" s="2"/>
      <c r="X115" s="2"/>
      <c r="Y115" s="2"/>
      <c r="Z115" s="2">
        <v>2490345</v>
      </c>
      <c r="AA115" s="94">
        <v>742000</v>
      </c>
    </row>
    <row r="116" spans="1:30" ht="30">
      <c r="A116" s="1">
        <f t="shared" si="56"/>
        <v>108</v>
      </c>
      <c r="B116" s="1">
        <v>1965</v>
      </c>
      <c r="C116" s="1" t="s">
        <v>1008</v>
      </c>
      <c r="D116" s="2">
        <v>35000000</v>
      </c>
      <c r="E116" s="2">
        <v>35000000</v>
      </c>
      <c r="F116" s="2">
        <f t="shared" si="52"/>
        <v>0</v>
      </c>
      <c r="G116" s="2">
        <v>100000</v>
      </c>
      <c r="H116" s="2">
        <v>0</v>
      </c>
      <c r="I116" s="2"/>
      <c r="J116" s="2"/>
      <c r="K116" s="2">
        <f t="shared" si="57"/>
        <v>0</v>
      </c>
      <c r="L116" s="2">
        <f t="shared" si="58"/>
        <v>0</v>
      </c>
      <c r="M116" s="2">
        <f t="shared" si="59"/>
        <v>100000</v>
      </c>
      <c r="N116" s="2">
        <v>400000</v>
      </c>
      <c r="O116" s="2">
        <f t="shared" si="60"/>
        <v>34500000</v>
      </c>
      <c r="P116" s="2">
        <f t="shared" si="61"/>
        <v>100000</v>
      </c>
      <c r="Q116" s="2"/>
      <c r="R116" s="2"/>
      <c r="S116" s="2">
        <f t="shared" si="53"/>
        <v>0</v>
      </c>
      <c r="T116" s="2">
        <f t="shared" si="62"/>
        <v>0</v>
      </c>
      <c r="U116" s="2">
        <f t="shared" si="55"/>
        <v>400000</v>
      </c>
      <c r="V116" s="2">
        <f>U116-X116-Y116-Z116</f>
        <v>0</v>
      </c>
      <c r="W116" s="2"/>
      <c r="X116" s="2"/>
      <c r="Y116" s="2">
        <v>400000</v>
      </c>
      <c r="Z116" s="1"/>
      <c r="AA116" s="94">
        <v>810000</v>
      </c>
      <c r="AD116" s="47"/>
    </row>
    <row r="117" spans="1:30" s="77" customFormat="1">
      <c r="A117" s="48"/>
      <c r="B117" s="76"/>
      <c r="C117" s="48" t="s">
        <v>400</v>
      </c>
      <c r="D117" s="33">
        <f t="shared" ref="D117:Z117" si="66">SUM(D97:D116)</f>
        <v>674616000</v>
      </c>
      <c r="E117" s="33">
        <f t="shared" si="66"/>
        <v>655816000</v>
      </c>
      <c r="F117" s="33">
        <f t="shared" si="66"/>
        <v>18800000</v>
      </c>
      <c r="G117" s="33">
        <f t="shared" si="66"/>
        <v>126599578</v>
      </c>
      <c r="H117" s="33">
        <f t="shared" si="66"/>
        <v>49305345.460000001</v>
      </c>
      <c r="I117" s="33">
        <f t="shared" si="66"/>
        <v>1105773.8600000001</v>
      </c>
      <c r="J117" s="33">
        <f t="shared" si="66"/>
        <v>16695672.09</v>
      </c>
      <c r="K117" s="33">
        <f t="shared" si="66"/>
        <v>17801445.949999999</v>
      </c>
      <c r="L117" s="33">
        <f t="shared" si="66"/>
        <v>67106791.410000004</v>
      </c>
      <c r="M117" s="33">
        <f t="shared" si="66"/>
        <v>69492786.590000004</v>
      </c>
      <c r="N117" s="33">
        <f t="shared" si="66"/>
        <v>181006624</v>
      </c>
      <c r="O117" s="33">
        <f t="shared" si="66"/>
        <v>357009798</v>
      </c>
      <c r="P117" s="33">
        <f t="shared" si="66"/>
        <v>59492786.590000004</v>
      </c>
      <c r="Q117" s="33">
        <f t="shared" si="66"/>
        <v>10000000</v>
      </c>
      <c r="R117" s="33">
        <f t="shared" si="66"/>
        <v>0</v>
      </c>
      <c r="S117" s="33">
        <f t="shared" si="66"/>
        <v>10000000</v>
      </c>
      <c r="T117" s="33">
        <f t="shared" si="66"/>
        <v>0</v>
      </c>
      <c r="U117" s="33">
        <f t="shared" si="66"/>
        <v>181006624</v>
      </c>
      <c r="V117" s="33">
        <f t="shared" si="66"/>
        <v>-6.976744532585144E-2</v>
      </c>
      <c r="W117" s="33">
        <f>SUM(W97:W116)</f>
        <v>0</v>
      </c>
      <c r="X117" s="33">
        <f t="shared" si="66"/>
        <v>0</v>
      </c>
      <c r="Y117" s="33">
        <f t="shared" si="66"/>
        <v>48962500</v>
      </c>
      <c r="Z117" s="33">
        <f t="shared" si="66"/>
        <v>132044124.06976745</v>
      </c>
      <c r="AA117" s="96"/>
    </row>
    <row r="118" spans="1:30" s="77" customFormat="1">
      <c r="A118" s="48"/>
      <c r="B118" s="76"/>
      <c r="C118" s="48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96"/>
    </row>
    <row r="119" spans="1:30" s="684" customFormat="1" ht="15.75">
      <c r="A119" s="49">
        <f>A116</f>
        <v>108</v>
      </c>
      <c r="B119" s="683"/>
      <c r="C119" s="49" t="s">
        <v>180</v>
      </c>
      <c r="D119" s="34">
        <f t="shared" ref="D119:Z119" si="67">D94+D117</f>
        <v>2140043405</v>
      </c>
      <c r="E119" s="34">
        <f t="shared" si="67"/>
        <v>1862963405</v>
      </c>
      <c r="F119" s="34">
        <f t="shared" si="67"/>
        <v>277080000</v>
      </c>
      <c r="G119" s="34">
        <f t="shared" si="67"/>
        <v>851682826</v>
      </c>
      <c r="H119" s="34">
        <f t="shared" si="67"/>
        <v>598935415.00999999</v>
      </c>
      <c r="I119" s="34">
        <f t="shared" si="67"/>
        <v>2323301.5700000003</v>
      </c>
      <c r="J119" s="34">
        <f t="shared" si="67"/>
        <v>85421661.919999972</v>
      </c>
      <c r="K119" s="34">
        <f t="shared" si="67"/>
        <v>87744963.489999965</v>
      </c>
      <c r="L119" s="34">
        <f t="shared" si="67"/>
        <v>686680378.50000024</v>
      </c>
      <c r="M119" s="34">
        <f t="shared" si="67"/>
        <v>194957060.49999997</v>
      </c>
      <c r="N119" s="34">
        <f t="shared" si="67"/>
        <v>397780568</v>
      </c>
      <c r="O119" s="34">
        <f t="shared" si="67"/>
        <v>860625398</v>
      </c>
      <c r="P119" s="34">
        <f t="shared" si="67"/>
        <v>165002447.49999997</v>
      </c>
      <c r="Q119" s="34">
        <f t="shared" si="67"/>
        <v>32554613</v>
      </c>
      <c r="R119" s="34">
        <f t="shared" si="67"/>
        <v>-1200000</v>
      </c>
      <c r="S119" s="34">
        <f t="shared" si="67"/>
        <v>31354613</v>
      </c>
      <c r="T119" s="34">
        <f t="shared" si="67"/>
        <v>1400000</v>
      </c>
      <c r="U119" s="34">
        <f t="shared" si="67"/>
        <v>396380568</v>
      </c>
      <c r="V119" s="34">
        <f t="shared" si="67"/>
        <v>158809940.93023255</v>
      </c>
      <c r="W119" s="34">
        <f t="shared" si="67"/>
        <v>0</v>
      </c>
      <c r="X119" s="34">
        <f t="shared" si="67"/>
        <v>1250000</v>
      </c>
      <c r="Y119" s="34">
        <f t="shared" si="67"/>
        <v>48962500</v>
      </c>
      <c r="Z119" s="34">
        <f t="shared" si="67"/>
        <v>187358127.06976745</v>
      </c>
      <c r="AA119" s="97"/>
    </row>
    <row r="120" spans="1:30" ht="15.75">
      <c r="A120" s="76"/>
      <c r="B120" s="49"/>
      <c r="C120" s="49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97"/>
    </row>
    <row r="121" spans="1:30" ht="15.75">
      <c r="A121" s="79"/>
      <c r="B121" s="50"/>
      <c r="C121" s="50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50"/>
    </row>
    <row r="122" spans="1:30" ht="15.75">
      <c r="A122" s="79"/>
      <c r="B122" s="50"/>
      <c r="C122" s="50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50"/>
    </row>
    <row r="123" spans="1:30">
      <c r="B123" s="10"/>
      <c r="C123" s="10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10"/>
      <c r="V123" s="10"/>
      <c r="W123" s="10"/>
      <c r="X123" s="10"/>
      <c r="Y123" s="10"/>
      <c r="Z123" s="46"/>
      <c r="AA123" s="10"/>
    </row>
    <row r="124" spans="1:30">
      <c r="B124" s="10"/>
      <c r="C124" s="1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Q124" s="46" t="e">
        <f>#REF!-#REF!</f>
        <v>#REF!</v>
      </c>
      <c r="R124" s="46">
        <f>R10+R104</f>
        <v>-1200000</v>
      </c>
      <c r="S124" s="46"/>
      <c r="U124" s="10"/>
      <c r="V124" s="10"/>
      <c r="W124" s="10"/>
      <c r="X124" s="10"/>
      <c r="Y124" s="10"/>
      <c r="AA124" s="10"/>
    </row>
    <row r="125" spans="1:30">
      <c r="C125" s="71"/>
      <c r="D125" s="70"/>
      <c r="E125" s="70"/>
      <c r="F125" s="70"/>
      <c r="G125" s="70"/>
      <c r="H125" s="70"/>
      <c r="I125" s="70"/>
      <c r="J125" s="70"/>
      <c r="K125" s="70"/>
      <c r="L125" s="70"/>
      <c r="M125" s="71"/>
      <c r="P125" s="70"/>
      <c r="Q125" s="70"/>
      <c r="R125" s="70">
        <f>SUM(R124:R124)</f>
        <v>-1200000</v>
      </c>
      <c r="S125" s="70"/>
      <c r="U125" s="47"/>
    </row>
    <row r="126" spans="1:30">
      <c r="C126" s="71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P126" s="71"/>
      <c r="Q126" s="70"/>
      <c r="R126" s="70" t="e">
        <f>#REF!-R125</f>
        <v>#REF!</v>
      </c>
      <c r="S126" s="70"/>
      <c r="U126" s="47"/>
      <c r="Y126" s="47"/>
    </row>
    <row r="127" spans="1:30">
      <c r="C127" s="71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P127" s="71"/>
      <c r="Q127" s="70"/>
      <c r="R127" s="70"/>
      <c r="S127" s="70"/>
      <c r="U127" s="47"/>
      <c r="V127" s="47"/>
      <c r="Y127" s="47"/>
    </row>
    <row r="128" spans="1:30">
      <c r="C128" s="71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1"/>
      <c r="P128" s="72">
        <v>4429613</v>
      </c>
      <c r="Q128" s="70" t="s">
        <v>936</v>
      </c>
      <c r="R128" s="70"/>
      <c r="S128" s="70"/>
      <c r="U128" s="47"/>
    </row>
    <row r="129" spans="3:21">
      <c r="C129" s="71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1"/>
      <c r="O129" s="71"/>
      <c r="P129" s="70"/>
      <c r="Q129" s="70"/>
      <c r="R129" s="70"/>
      <c r="S129" s="70"/>
      <c r="U129" s="47"/>
    </row>
    <row r="130" spans="3:21">
      <c r="C130" s="71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S130" s="70"/>
    </row>
    <row r="131" spans="3:21">
      <c r="C131" s="71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</row>
    <row r="132" spans="3:21">
      <c r="C132" s="71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558"/>
      <c r="Q132" s="70"/>
      <c r="R132" s="70"/>
      <c r="S132" s="70"/>
    </row>
    <row r="133" spans="3:21">
      <c r="C133" s="71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558"/>
      <c r="Q133" s="70"/>
      <c r="R133" s="70"/>
      <c r="S133" s="70"/>
    </row>
    <row r="134" spans="3:21">
      <c r="C134" s="71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</row>
    <row r="135" spans="3:21">
      <c r="C135" s="71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</row>
    <row r="136" spans="3:21">
      <c r="C136" s="71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</row>
    <row r="137" spans="3:21">
      <c r="C137" s="71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S137" s="70"/>
    </row>
    <row r="138" spans="3:21">
      <c r="C138" s="71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1"/>
      <c r="O138" s="71"/>
      <c r="P138" s="70"/>
      <c r="Q138" s="70"/>
      <c r="R138" s="70"/>
      <c r="S138" s="70"/>
    </row>
    <row r="139" spans="3:21">
      <c r="C139" s="71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1"/>
      <c r="Q139" s="71"/>
      <c r="R139" s="70"/>
      <c r="S139" s="70"/>
    </row>
    <row r="140" spans="3:21"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1"/>
      <c r="Q140" s="71"/>
      <c r="R140" s="70"/>
      <c r="S140" s="70"/>
      <c r="T140" s="70"/>
    </row>
    <row r="141" spans="3:21"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1"/>
      <c r="S141" s="70"/>
      <c r="T141" s="70"/>
    </row>
    <row r="142" spans="3:21"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1"/>
      <c r="S142" s="70"/>
      <c r="T142" s="70"/>
    </row>
    <row r="143" spans="3:21"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1"/>
      <c r="S143" s="70"/>
      <c r="T143" s="70"/>
    </row>
    <row r="144" spans="3:21"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1"/>
      <c r="S144" s="70"/>
      <c r="T144" s="70"/>
    </row>
    <row r="145" spans="6:20"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</row>
    <row r="146" spans="6:20"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2"/>
      <c r="S146" s="70"/>
      <c r="T146" s="70"/>
    </row>
    <row r="147" spans="6:20"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</row>
    <row r="148" spans="6:20"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</row>
    <row r="149" spans="6:20"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</row>
    <row r="150" spans="6:20"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43"/>
      <c r="R150" s="70"/>
      <c r="S150" s="70"/>
      <c r="T150" s="70"/>
    </row>
    <row r="151" spans="6:20"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</row>
    <row r="152" spans="6:20"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</row>
    <row r="153" spans="6:20"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</row>
    <row r="154" spans="6:20"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43"/>
      <c r="S154" s="70"/>
      <c r="T154" s="70"/>
    </row>
    <row r="155" spans="6:20"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</row>
    <row r="156" spans="6:20"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</row>
    <row r="157" spans="6:20"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</row>
    <row r="158" spans="6:20"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</row>
  </sheetData>
  <sheetProtection formatCells="0" formatColumns="0" formatRows="0" insertColumns="0" insertRows="0" insertHyperlinks="0" deleteColumns="0" deleteRows="0" sort="0" autoFilter="0" pivotTables="0"/>
  <sortState ref="B7:AE73">
    <sortCondition ref="B7:B73"/>
  </sortState>
  <printOptions horizontalCentered="1"/>
  <pageMargins left="0" right="0" top="1.3779527559055118" bottom="0.74803149606299213" header="0.9055118110236221" footer="0.31496062992125984"/>
  <pageSetup paperSize="9" scale="8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4"/>
  <sheetViews>
    <sheetView rightToLeft="1" topLeftCell="A7" workbookViewId="0">
      <selection activeCell="T10" sqref="T10"/>
    </sheetView>
  </sheetViews>
  <sheetFormatPr defaultRowHeight="14.25"/>
  <cols>
    <col min="1" max="3" width="4.140625" style="709" customWidth="1"/>
    <col min="4" max="4" width="38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2" spans="1:17" ht="20.25">
      <c r="E2" s="710"/>
    </row>
    <row r="3" spans="1:17" ht="20.25">
      <c r="A3" s="708"/>
      <c r="C3" s="710" t="s">
        <v>469</v>
      </c>
      <c r="D3" s="708"/>
      <c r="E3" s="708"/>
      <c r="F3" s="708"/>
      <c r="G3" s="708"/>
      <c r="H3" s="708"/>
      <c r="I3" s="708"/>
      <c r="J3" s="708"/>
      <c r="K3" s="708"/>
      <c r="L3" s="708"/>
    </row>
    <row r="4" spans="1:17" ht="21" thickBot="1">
      <c r="A4" s="708"/>
      <c r="C4" s="710"/>
      <c r="D4" s="708"/>
      <c r="E4" s="708"/>
      <c r="F4" s="708"/>
      <c r="G4" s="708"/>
      <c r="H4" s="708"/>
      <c r="I4" s="708"/>
      <c r="J4" s="708"/>
      <c r="K4" s="708"/>
      <c r="L4" s="708"/>
    </row>
    <row r="5" spans="1:17" ht="16.5" thickBot="1">
      <c r="A5" s="708"/>
      <c r="B5" s="711" t="s">
        <v>455</v>
      </c>
      <c r="C5" s="708" t="s">
        <v>997</v>
      </c>
      <c r="D5" s="708"/>
      <c r="E5" s="708"/>
      <c r="F5" s="712">
        <f>'תבל  '!U77</f>
        <v>49542600</v>
      </c>
      <c r="I5" s="708"/>
      <c r="J5" s="708"/>
      <c r="K5" s="708"/>
      <c r="L5" s="708"/>
    </row>
    <row r="6" spans="1:17" ht="15" customHeight="1" thickBot="1">
      <c r="A6" s="708"/>
      <c r="C6" s="710"/>
      <c r="D6" s="708"/>
      <c r="E6" s="708"/>
      <c r="F6" s="708"/>
      <c r="H6" s="708"/>
      <c r="I6" s="708"/>
      <c r="J6" s="708"/>
      <c r="K6" s="708"/>
      <c r="L6" s="708"/>
    </row>
    <row r="7" spans="1:17" ht="16.5" thickBot="1">
      <c r="B7" s="711" t="s">
        <v>455</v>
      </c>
      <c r="C7" s="708" t="s">
        <v>996</v>
      </c>
      <c r="D7" s="708"/>
      <c r="F7" s="736">
        <f>'תבל  '!A77</f>
        <v>71</v>
      </c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/>
      <c r="C8" s="708"/>
      <c r="D8" s="708"/>
      <c r="E8" s="708"/>
      <c r="F8" s="708"/>
      <c r="H8" s="708"/>
      <c r="I8" s="708"/>
      <c r="J8" s="708"/>
      <c r="K8" s="708"/>
      <c r="L8" s="708"/>
      <c r="M8" s="708"/>
      <c r="N8" s="708"/>
      <c r="O8" s="708"/>
      <c r="P8" s="708"/>
      <c r="Q8" s="708"/>
    </row>
    <row r="9" spans="1:17" ht="15.75">
      <c r="B9" s="711" t="s">
        <v>455</v>
      </c>
      <c r="C9" s="708" t="s">
        <v>972</v>
      </c>
      <c r="D9" s="708"/>
      <c r="E9" s="708"/>
      <c r="F9" s="708"/>
      <c r="G9" s="708"/>
      <c r="H9" s="708"/>
      <c r="I9" s="708"/>
      <c r="J9" s="708"/>
      <c r="K9" s="708"/>
      <c r="L9" s="708"/>
    </row>
    <row r="10" spans="1:17" ht="16.5" thickBot="1">
      <c r="B10" s="708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D11" s="737" t="s">
        <v>973</v>
      </c>
      <c r="E11" s="738" t="s">
        <v>974</v>
      </c>
      <c r="F11" s="739" t="s">
        <v>987</v>
      </c>
      <c r="G11" s="708"/>
      <c r="H11" s="708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C12" s="711"/>
      <c r="D12" s="715" t="s">
        <v>13</v>
      </c>
      <c r="E12" s="740">
        <f>'תבל  '!V77</f>
        <v>25611300</v>
      </c>
      <c r="F12" s="782">
        <f>E12/$E$15</f>
        <v>0.51695510530331468</v>
      </c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C13" s="711"/>
      <c r="D13" s="715" t="s">
        <v>14</v>
      </c>
      <c r="E13" s="740">
        <f>'תבל  '!W77</f>
        <v>12054000</v>
      </c>
      <c r="F13" s="782">
        <f>E13/$E$15</f>
        <v>0.24330576110256627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5" t="s">
        <v>184</v>
      </c>
      <c r="E14" s="740">
        <f>'תבל  '!Z77</f>
        <v>11877300</v>
      </c>
      <c r="F14" s="782">
        <f>E14/$E$15</f>
        <v>0.239739133594119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6.5" thickBot="1">
      <c r="C15" s="711"/>
      <c r="D15" s="718" t="s">
        <v>208</v>
      </c>
      <c r="E15" s="742">
        <f>SUM(E12:E14)</f>
        <v>49542600</v>
      </c>
      <c r="F15" s="743">
        <f>SUM(F12:F14)</f>
        <v>1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/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1:17" ht="15.75">
      <c r="B17" s="711" t="s">
        <v>455</v>
      </c>
      <c r="C17" s="708" t="s">
        <v>995</v>
      </c>
      <c r="D17" s="708"/>
      <c r="E17" s="708"/>
      <c r="F17" s="708"/>
      <c r="H17" s="717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1:17" ht="16.5" thickBot="1">
      <c r="C18" s="708"/>
      <c r="D18" s="708"/>
      <c r="E18" s="708"/>
      <c r="F18" s="708"/>
      <c r="H18" s="708"/>
      <c r="I18" s="708"/>
      <c r="J18" s="708"/>
      <c r="K18" s="708"/>
      <c r="L18" s="708"/>
    </row>
    <row r="19" spans="1:17" ht="15.75">
      <c r="D19" s="737" t="s">
        <v>988</v>
      </c>
      <c r="E19" s="713" t="s">
        <v>974</v>
      </c>
      <c r="F19" s="714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1:17" ht="15.75">
      <c r="C20" s="711"/>
      <c r="D20" s="715" t="s">
        <v>470</v>
      </c>
      <c r="E20" s="716">
        <f>'תבל  '!U24</f>
        <v>4000000</v>
      </c>
      <c r="F20" s="717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1:17" ht="15.75">
      <c r="C21" s="711"/>
      <c r="D21" s="715" t="s">
        <v>286</v>
      </c>
      <c r="E21" s="716">
        <f>'תבל  '!U46</f>
        <v>7000000</v>
      </c>
      <c r="F21" s="717"/>
      <c r="G21" s="708"/>
      <c r="H21" s="708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1:17" ht="15.75">
      <c r="C22" s="711"/>
      <c r="D22" s="715" t="s">
        <v>1076</v>
      </c>
      <c r="E22" s="716">
        <f>'תבל  '!U56</f>
        <v>17000000</v>
      </c>
      <c r="F22" s="717"/>
      <c r="G22" s="708"/>
      <c r="H22" s="708"/>
      <c r="I22" s="708"/>
      <c r="J22" s="708"/>
      <c r="K22" s="708"/>
      <c r="L22" s="708"/>
      <c r="M22" s="708"/>
      <c r="N22" s="708"/>
      <c r="O22" s="708"/>
      <c r="P22" s="708"/>
      <c r="Q22" s="708"/>
    </row>
    <row r="23" spans="1:17" ht="15.75">
      <c r="C23" s="711"/>
      <c r="D23" s="715" t="s">
        <v>1077</v>
      </c>
      <c r="E23" s="716">
        <f>'תבל  '!U69</f>
        <v>3000000</v>
      </c>
      <c r="F23" s="717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1:17" ht="15.75">
      <c r="C24" s="711"/>
      <c r="D24" s="750" t="s">
        <v>1078</v>
      </c>
      <c r="E24" s="746">
        <f>'תבל  '!U71</f>
        <v>2002600</v>
      </c>
      <c r="F24" s="717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1:17" ht="15.75">
      <c r="C25" s="711"/>
      <c r="D25" s="745" t="s">
        <v>473</v>
      </c>
      <c r="E25" s="746">
        <f>'תבל  '!U76</f>
        <v>2700000</v>
      </c>
      <c r="F25" s="717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</row>
    <row r="26" spans="1:17" ht="16.5" thickBot="1">
      <c r="C26" s="711"/>
      <c r="D26" s="747" t="s">
        <v>1079</v>
      </c>
      <c r="E26" s="748">
        <f>'תבל  '!U65</f>
        <v>1700000</v>
      </c>
      <c r="F26" s="717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</row>
    <row r="27" spans="1:17" ht="15.75">
      <c r="B27" s="711"/>
      <c r="C27" s="708"/>
      <c r="D27" s="708"/>
      <c r="E27" s="708"/>
      <c r="F27" s="708"/>
      <c r="G27" s="708"/>
      <c r="H27" s="708"/>
      <c r="I27" s="708"/>
      <c r="J27" s="708"/>
      <c r="K27" s="708"/>
      <c r="L27" s="708"/>
      <c r="M27" s="708"/>
      <c r="N27" s="708"/>
      <c r="O27" s="708"/>
      <c r="P27" s="708"/>
      <c r="Q27" s="708"/>
    </row>
    <row r="28" spans="1:17" ht="15.75">
      <c r="C28" s="711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</row>
    <row r="29" spans="1:17" ht="15.75">
      <c r="A29" s="734"/>
      <c r="B29" s="751"/>
    </row>
    <row r="30" spans="1:17" ht="15.75">
      <c r="A30" s="708"/>
      <c r="B30" s="708"/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</row>
    <row r="31" spans="1:17" ht="15.75">
      <c r="A31" s="734"/>
      <c r="B31" s="751"/>
    </row>
    <row r="32" spans="1:17" ht="15.75">
      <c r="A32" s="708"/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</row>
    <row r="33" spans="2:17" ht="15.75">
      <c r="C33" s="708"/>
      <c r="D33" s="708"/>
      <c r="E33" s="708"/>
      <c r="F33" s="708"/>
      <c r="H33" s="708"/>
      <c r="I33" s="708"/>
      <c r="J33" s="708"/>
      <c r="K33" s="708"/>
      <c r="L33" s="708"/>
    </row>
    <row r="34" spans="2:17" ht="15.75">
      <c r="B34" s="711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170"/>
  <sheetViews>
    <sheetView showZeros="0" rightToLeft="1" zoomScaleNormal="100" workbookViewId="0">
      <pane xSplit="3" ySplit="4" topLeftCell="D125" activePane="bottomRight" state="frozen"/>
      <selection activeCell="E28" sqref="E28"/>
      <selection pane="topRight" activeCell="E28" sqref="E28"/>
      <selection pane="bottomLeft" activeCell="E28" sqref="E28"/>
      <selection pane="bottomRight" activeCell="W138" sqref="W138"/>
    </sheetView>
  </sheetViews>
  <sheetFormatPr defaultColWidth="9.140625" defaultRowHeight="15"/>
  <cols>
    <col min="1" max="1" width="5.28515625" style="80" customWidth="1"/>
    <col min="2" max="2" width="6.7109375" style="11" customWidth="1"/>
    <col min="3" max="3" width="31.42578125" style="11" customWidth="1"/>
    <col min="4" max="4" width="12.7109375" style="47" customWidth="1"/>
    <col min="5" max="5" width="15.85546875" style="47" hidden="1" customWidth="1"/>
    <col min="6" max="6" width="11.140625" style="47" hidden="1" customWidth="1"/>
    <col min="7" max="7" width="14" style="47" hidden="1" customWidth="1"/>
    <col min="8" max="8" width="12" style="47" hidden="1" customWidth="1"/>
    <col min="9" max="9" width="9.140625" style="47" hidden="1" customWidth="1"/>
    <col min="10" max="10" width="11.7109375" style="47" hidden="1" customWidth="1"/>
    <col min="11" max="11" width="11.28515625" style="47" hidden="1" customWidth="1"/>
    <col min="12" max="14" width="11.140625" style="47" customWidth="1"/>
    <col min="15" max="15" width="11.85546875" style="47" customWidth="1"/>
    <col min="16" max="16" width="11.140625" style="47" hidden="1" customWidth="1"/>
    <col min="17" max="18" width="11.5703125" style="47" hidden="1" customWidth="1"/>
    <col min="19" max="19" width="12" style="47" hidden="1" customWidth="1"/>
    <col min="20" max="20" width="10.140625" style="47" customWidth="1"/>
    <col min="21" max="22" width="11.140625" style="11" customWidth="1"/>
    <col min="23" max="23" width="6.7109375" style="11" customWidth="1"/>
    <col min="24" max="24" width="8.85546875" style="11" customWidth="1"/>
    <col min="25" max="25" width="11.7109375" style="11" customWidth="1"/>
    <col min="26" max="26" width="11.140625" style="11" customWidth="1"/>
    <col min="27" max="27" width="12" style="11" customWidth="1"/>
    <col min="28" max="29" width="31.140625" style="11" customWidth="1"/>
    <col min="30" max="30" width="10.140625" style="11" bestFit="1" customWidth="1"/>
    <col min="31" max="16384" width="9.140625" style="11"/>
  </cols>
  <sheetData>
    <row r="2" spans="1:32" s="73" customFormat="1" ht="18.75">
      <c r="A2" s="669" t="s">
        <v>462</v>
      </c>
      <c r="B2" s="630"/>
      <c r="C2" s="630"/>
      <c r="D2" s="630"/>
      <c r="E2" s="650"/>
      <c r="F2" s="630"/>
      <c r="G2" s="65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</row>
    <row r="3" spans="1:32">
      <c r="D3" s="640"/>
      <c r="U3" s="642"/>
      <c r="Z3" s="47"/>
    </row>
    <row r="4" spans="1:32" s="74" customFormat="1" ht="86.25" customHeight="1">
      <c r="A4" s="32" t="s">
        <v>0</v>
      </c>
      <c r="B4" s="32" t="s">
        <v>1</v>
      </c>
      <c r="C4" s="32" t="s">
        <v>2</v>
      </c>
      <c r="D4" s="32" t="s">
        <v>3</v>
      </c>
      <c r="E4" s="32" t="s">
        <v>4</v>
      </c>
      <c r="F4" s="32" t="s">
        <v>5</v>
      </c>
      <c r="G4" s="32" t="s">
        <v>6</v>
      </c>
      <c r="H4" s="32" t="s">
        <v>7</v>
      </c>
      <c r="I4" s="32" t="s">
        <v>9</v>
      </c>
      <c r="J4" s="32" t="s">
        <v>423</v>
      </c>
      <c r="K4" s="32" t="s">
        <v>10</v>
      </c>
      <c r="L4" s="32" t="s">
        <v>11</v>
      </c>
      <c r="M4" s="21" t="s">
        <v>414</v>
      </c>
      <c r="N4" s="32" t="s">
        <v>415</v>
      </c>
      <c r="O4" s="32" t="s">
        <v>416</v>
      </c>
      <c r="P4" s="32" t="s">
        <v>12</v>
      </c>
      <c r="Q4" s="32" t="s">
        <v>424</v>
      </c>
      <c r="R4" s="32" t="s">
        <v>425</v>
      </c>
      <c r="S4" s="32" t="s">
        <v>419</v>
      </c>
      <c r="T4" s="32" t="s">
        <v>420</v>
      </c>
      <c r="U4" s="32" t="s">
        <v>421</v>
      </c>
      <c r="V4" s="32" t="s">
        <v>13</v>
      </c>
      <c r="W4" s="32" t="s">
        <v>14</v>
      </c>
      <c r="X4" s="32" t="s">
        <v>15</v>
      </c>
      <c r="Y4" s="32" t="s">
        <v>914</v>
      </c>
      <c r="Z4" s="32" t="s">
        <v>184</v>
      </c>
      <c r="AA4" s="661" t="s">
        <v>16</v>
      </c>
    </row>
    <row r="5" spans="1:32" s="3" customFormat="1">
      <c r="A5" s="1"/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1"/>
      <c r="AA5" s="155"/>
    </row>
    <row r="6" spans="1:32" s="3" customFormat="1">
      <c r="A6" s="1">
        <f>A5+1</f>
        <v>1</v>
      </c>
      <c r="B6" s="1">
        <v>1402</v>
      </c>
      <c r="C6" s="1" t="s">
        <v>174</v>
      </c>
      <c r="D6" s="2">
        <f>'החברה לפיתוח'!D20</f>
        <v>7700000</v>
      </c>
      <c r="E6" s="2">
        <f>'החברה לפיתוח'!E20</f>
        <v>7700000</v>
      </c>
      <c r="F6" s="2">
        <f>'החברה לפיתוח'!F20</f>
        <v>0</v>
      </c>
      <c r="G6" s="2">
        <f>'החברה לפיתוח'!G20</f>
        <v>7700000</v>
      </c>
      <c r="H6" s="2">
        <f>'החברה לפיתוח'!H20</f>
        <v>5803120.6200000001</v>
      </c>
      <c r="I6" s="2">
        <f>'החברה לפיתוח'!I20</f>
        <v>0</v>
      </c>
      <c r="J6" s="2">
        <f>'החברה לפיתוח'!J20</f>
        <v>836963.52</v>
      </c>
      <c r="K6" s="2">
        <f>'החברה לפיתוח'!K20</f>
        <v>836963.52</v>
      </c>
      <c r="L6" s="2">
        <f>'החברה לפיתוח'!L20</f>
        <v>6640084.1400000006</v>
      </c>
      <c r="M6" s="2">
        <f>'החברה לפיתוח'!M20</f>
        <v>1059915.8599999994</v>
      </c>
      <c r="N6" s="2">
        <f>'החברה לפיתוח'!N20</f>
        <v>0</v>
      </c>
      <c r="O6" s="2">
        <f>'החברה לפיתוח'!O20</f>
        <v>0</v>
      </c>
      <c r="P6" s="2">
        <f>'החברה לפיתוח'!P20</f>
        <v>1059915.8599999994</v>
      </c>
      <c r="Q6" s="2">
        <f>'החברה לפיתוח'!Q20</f>
        <v>0</v>
      </c>
      <c r="R6" s="2">
        <f>'החברה לפיתוח'!R20</f>
        <v>0</v>
      </c>
      <c r="S6" s="2">
        <f>'החברה לפיתוח'!S20</f>
        <v>0</v>
      </c>
      <c r="T6" s="2">
        <f>'החברה לפיתוח'!T20</f>
        <v>0</v>
      </c>
      <c r="U6" s="2">
        <f>'החברה לפיתוח'!U20</f>
        <v>0</v>
      </c>
      <c r="V6" s="2">
        <f>'החברה לפיתוח'!V20</f>
        <v>0</v>
      </c>
      <c r="W6" s="2">
        <f>'החברה לפיתוח'!W20</f>
        <v>0</v>
      </c>
      <c r="X6" s="2">
        <f>'החברה לפיתוח'!X20</f>
        <v>0</v>
      </c>
      <c r="Y6" s="2">
        <f>'החברה לפיתוח'!Y20</f>
        <v>0</v>
      </c>
      <c r="Z6" s="2">
        <f>'החברה לפיתוח'!Z20</f>
        <v>0</v>
      </c>
      <c r="AA6" s="94">
        <f>'החברה לפיתוח'!AA20</f>
        <v>714000</v>
      </c>
    </row>
    <row r="7" spans="1:32" s="77" customFormat="1">
      <c r="A7" s="48"/>
      <c r="B7" s="76">
        <v>5</v>
      </c>
      <c r="C7" s="48" t="s">
        <v>1047</v>
      </c>
      <c r="D7" s="33">
        <f>SUM(D6)</f>
        <v>7700000</v>
      </c>
      <c r="E7" s="33">
        <f t="shared" ref="E7:Z7" si="0">SUM(E6)</f>
        <v>7700000</v>
      </c>
      <c r="F7" s="33">
        <f t="shared" si="0"/>
        <v>0</v>
      </c>
      <c r="G7" s="33">
        <f t="shared" si="0"/>
        <v>7700000</v>
      </c>
      <c r="H7" s="33">
        <f t="shared" si="0"/>
        <v>5803120.6200000001</v>
      </c>
      <c r="I7" s="33">
        <f t="shared" si="0"/>
        <v>0</v>
      </c>
      <c r="J7" s="33">
        <f t="shared" si="0"/>
        <v>836963.52</v>
      </c>
      <c r="K7" s="33">
        <f t="shared" si="0"/>
        <v>836963.52</v>
      </c>
      <c r="L7" s="33">
        <f t="shared" si="0"/>
        <v>6640084.1400000006</v>
      </c>
      <c r="M7" s="33">
        <f t="shared" si="0"/>
        <v>1059915.8599999994</v>
      </c>
      <c r="N7" s="33">
        <f t="shared" si="0"/>
        <v>0</v>
      </c>
      <c r="O7" s="33">
        <f t="shared" si="0"/>
        <v>0</v>
      </c>
      <c r="P7" s="33">
        <f t="shared" si="0"/>
        <v>1059915.8599999994</v>
      </c>
      <c r="Q7" s="33">
        <f t="shared" si="0"/>
        <v>0</v>
      </c>
      <c r="R7" s="33">
        <f t="shared" si="0"/>
        <v>0</v>
      </c>
      <c r="S7" s="33">
        <f t="shared" si="0"/>
        <v>0</v>
      </c>
      <c r="T7" s="33">
        <f t="shared" si="0"/>
        <v>0</v>
      </c>
      <c r="U7" s="33">
        <f t="shared" si="0"/>
        <v>0</v>
      </c>
      <c r="V7" s="33">
        <f t="shared" si="0"/>
        <v>0</v>
      </c>
      <c r="W7" s="33">
        <f t="shared" si="0"/>
        <v>0</v>
      </c>
      <c r="X7" s="33">
        <f t="shared" si="0"/>
        <v>0</v>
      </c>
      <c r="Y7" s="33">
        <f t="shared" si="0"/>
        <v>0</v>
      </c>
      <c r="Z7" s="33">
        <f t="shared" si="0"/>
        <v>0</v>
      </c>
      <c r="AA7" s="96"/>
    </row>
    <row r="8" spans="1:32" s="3" customFormat="1">
      <c r="A8" s="1"/>
      <c r="B8" s="1"/>
      <c r="C8" s="1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94"/>
    </row>
    <row r="9" spans="1:32" s="3" customFormat="1">
      <c r="A9" s="1">
        <f>A6+1</f>
        <v>2</v>
      </c>
      <c r="B9" s="1">
        <v>634</v>
      </c>
      <c r="C9" s="1" t="s">
        <v>168</v>
      </c>
      <c r="D9" s="2">
        <f>'החברה לפיתוח'!D11</f>
        <v>57250000</v>
      </c>
      <c r="E9" s="2">
        <f>'החברה לפיתוח'!E11</f>
        <v>57250000</v>
      </c>
      <c r="F9" s="2">
        <f>'החברה לפיתוח'!F11</f>
        <v>0</v>
      </c>
      <c r="G9" s="2">
        <f>'החברה לפיתוח'!G11</f>
        <v>57250000</v>
      </c>
      <c r="H9" s="2">
        <f>'החברה לפיתוח'!H11</f>
        <v>54492773.850000001</v>
      </c>
      <c r="I9" s="2">
        <f>'החברה לפיתוח'!I11</f>
        <v>0</v>
      </c>
      <c r="J9" s="2">
        <f>'החברה לפיתוח'!J11</f>
        <v>1810217.45</v>
      </c>
      <c r="K9" s="2">
        <f>'החברה לפיתוח'!K11</f>
        <v>1810217.45</v>
      </c>
      <c r="L9" s="2">
        <f>'החברה לפיתוח'!L11</f>
        <v>56302991.300000004</v>
      </c>
      <c r="M9" s="2">
        <f>'החברה לפיתוח'!M11</f>
        <v>947008.69999999553</v>
      </c>
      <c r="N9" s="2">
        <f>'החברה לפיתוח'!N11</f>
        <v>0</v>
      </c>
      <c r="O9" s="2">
        <f>'החברה לפיתוח'!O11</f>
        <v>0</v>
      </c>
      <c r="P9" s="2">
        <f>'החברה לפיתוח'!P11</f>
        <v>947008.69999999553</v>
      </c>
      <c r="Q9" s="2">
        <f>'החברה לפיתוח'!Q11</f>
        <v>0</v>
      </c>
      <c r="R9" s="2">
        <f>'החברה לפיתוח'!R11</f>
        <v>0</v>
      </c>
      <c r="S9" s="2">
        <f>'החברה לפיתוח'!S11</f>
        <v>0</v>
      </c>
      <c r="T9" s="2">
        <f>'החברה לפיתוח'!T11</f>
        <v>0</v>
      </c>
      <c r="U9" s="2">
        <f>'החברה לפיתוח'!U11</f>
        <v>0</v>
      </c>
      <c r="V9" s="2">
        <f>'החברה לפיתוח'!V11</f>
        <v>0</v>
      </c>
      <c r="W9" s="2">
        <f>'החברה לפיתוח'!W11</f>
        <v>0</v>
      </c>
      <c r="X9" s="2">
        <f>'החברה לפיתוח'!X11</f>
        <v>0</v>
      </c>
      <c r="Y9" s="2">
        <f>'החברה לפיתוח'!Y11</f>
        <v>0</v>
      </c>
      <c r="Z9" s="2">
        <f>'החברה לפיתוח'!Z11</f>
        <v>0</v>
      </c>
      <c r="AA9" s="94">
        <f>'החברה לפיתוח'!AA11</f>
        <v>732000</v>
      </c>
      <c r="AB9" s="7"/>
      <c r="AC9" s="7"/>
      <c r="AD9" s="7"/>
      <c r="AE9" s="7"/>
      <c r="AF9" s="7"/>
    </row>
    <row r="10" spans="1:32" s="7" customFormat="1">
      <c r="A10" s="1">
        <f>A9+1</f>
        <v>3</v>
      </c>
      <c r="B10" s="1">
        <v>1723</v>
      </c>
      <c r="C10" s="1" t="s">
        <v>39</v>
      </c>
      <c r="D10" s="2">
        <f>'החברה לפיתוח'!D40</f>
        <v>17500000</v>
      </c>
      <c r="E10" s="2">
        <f>'החברה לפיתוח'!E40</f>
        <v>12000000</v>
      </c>
      <c r="F10" s="2">
        <f>'החברה לפיתוח'!F40</f>
        <v>5500000</v>
      </c>
      <c r="G10" s="2">
        <f>'החברה לפיתוח'!G40</f>
        <v>2000000</v>
      </c>
      <c r="H10" s="2">
        <f>'החברה לפיתוח'!H40</f>
        <v>218113</v>
      </c>
      <c r="I10" s="2">
        <f>'החברה לפיתוח'!I40</f>
        <v>0</v>
      </c>
      <c r="J10" s="2">
        <f>'החברה לפיתוח'!J40</f>
        <v>355892.1</v>
      </c>
      <c r="K10" s="2">
        <f>'החברה לפיתוח'!K40</f>
        <v>355892.1</v>
      </c>
      <c r="L10" s="2">
        <f>'החברה לפיתוח'!L40</f>
        <v>574005.1</v>
      </c>
      <c r="M10" s="2">
        <f>'החברה לפיתוח'!M40</f>
        <v>7355607.9000000004</v>
      </c>
      <c r="N10" s="2">
        <f>'החברה לפיתוח'!N40</f>
        <v>9570387</v>
      </c>
      <c r="O10" s="2">
        <f>'החברה לפיתוח'!O40</f>
        <v>0</v>
      </c>
      <c r="P10" s="2">
        <f>'החברה לפיתוח'!P40</f>
        <v>1425994.9</v>
      </c>
      <c r="Q10" s="2">
        <f>'החברה לפיתוח'!Q40</f>
        <v>5929613</v>
      </c>
      <c r="R10" s="2">
        <f>'החברה לפיתוח'!R40</f>
        <v>0</v>
      </c>
      <c r="S10" s="2">
        <f>'החברה לפיתוח'!S40</f>
        <v>5929613</v>
      </c>
      <c r="T10" s="2">
        <f>'החברה לפיתוח'!T40</f>
        <v>0</v>
      </c>
      <c r="U10" s="2">
        <f>'החברה לפיתוח'!U40</f>
        <v>9570387</v>
      </c>
      <c r="V10" s="2">
        <f>'החברה לפיתוח'!V40</f>
        <v>825000</v>
      </c>
      <c r="W10" s="2">
        <f>'החברה לפיתוח'!W40</f>
        <v>0</v>
      </c>
      <c r="X10" s="2">
        <f>'החברה לפיתוח'!X40</f>
        <v>0</v>
      </c>
      <c r="Y10" s="2">
        <f>'החברה לפיתוח'!Y40</f>
        <v>0</v>
      </c>
      <c r="Z10" s="2">
        <f>'החברה לפיתוח'!Z40</f>
        <v>8745387</v>
      </c>
      <c r="AA10" s="94">
        <f>'החברה לפיתוח'!AA40</f>
        <v>732000</v>
      </c>
      <c r="AB10" s="3"/>
      <c r="AC10" s="3"/>
      <c r="AD10" s="3"/>
      <c r="AE10" s="3"/>
      <c r="AF10" s="3"/>
    </row>
    <row r="11" spans="1:32" s="7" customFormat="1">
      <c r="A11" s="1">
        <f t="shared" ref="A11:A16" si="1">A10+1</f>
        <v>4</v>
      </c>
      <c r="B11" s="1">
        <v>1749</v>
      </c>
      <c r="C11" s="1" t="s">
        <v>59</v>
      </c>
      <c r="D11" s="2">
        <f>'החברה לפיתוח'!D43</f>
        <v>5000000</v>
      </c>
      <c r="E11" s="2">
        <f>'החברה לפיתוח'!E43</f>
        <v>5000000</v>
      </c>
      <c r="F11" s="2">
        <f>'החברה לפיתוח'!F43</f>
        <v>0</v>
      </c>
      <c r="G11" s="2">
        <f>'החברה לפיתוח'!G43</f>
        <v>500000</v>
      </c>
      <c r="H11" s="2">
        <f>'החברה לפיתוח'!H43</f>
        <v>0</v>
      </c>
      <c r="I11" s="2">
        <f>'החברה לפיתוח'!I43</f>
        <v>0</v>
      </c>
      <c r="J11" s="2">
        <f>'החברה לפיתוח'!J43</f>
        <v>760.5</v>
      </c>
      <c r="K11" s="2">
        <f>'החברה לפיתוח'!K43</f>
        <v>760.5</v>
      </c>
      <c r="L11" s="2">
        <f>'החברה לפיתוח'!L43</f>
        <v>760.5</v>
      </c>
      <c r="M11" s="2">
        <f>'החברה לפיתוח'!M43</f>
        <v>499239.5</v>
      </c>
      <c r="N11" s="2">
        <f>'החברה לפיתוח'!N43</f>
        <v>0</v>
      </c>
      <c r="O11" s="2">
        <f>'החברה לפיתוח'!O43</f>
        <v>4500000</v>
      </c>
      <c r="P11" s="2">
        <f>'החברה לפיתוח'!P43</f>
        <v>499239.5</v>
      </c>
      <c r="Q11" s="2">
        <f>'החברה לפיתוח'!Q43</f>
        <v>0</v>
      </c>
      <c r="R11" s="2">
        <f>'החברה לפיתוח'!R43</f>
        <v>0</v>
      </c>
      <c r="S11" s="2">
        <f>'החברה לפיתוח'!S43</f>
        <v>0</v>
      </c>
      <c r="T11" s="2">
        <f>'החברה לפיתוח'!T43</f>
        <v>0</v>
      </c>
      <c r="U11" s="2">
        <f>'החברה לפיתוח'!U43</f>
        <v>0</v>
      </c>
      <c r="V11" s="2">
        <f>'החברה לפיתוח'!V43</f>
        <v>0</v>
      </c>
      <c r="W11" s="2">
        <f>'החברה לפיתוח'!W43</f>
        <v>0</v>
      </c>
      <c r="X11" s="2">
        <f>'החברה לפיתוח'!X43</f>
        <v>0</v>
      </c>
      <c r="Y11" s="2">
        <f>'החברה לפיתוח'!Y43</f>
        <v>0</v>
      </c>
      <c r="Z11" s="2">
        <f>'החברה לפיתוח'!Z43</f>
        <v>0</v>
      </c>
      <c r="AA11" s="94">
        <f>'החברה לפיתוח'!AA43</f>
        <v>732000</v>
      </c>
      <c r="AB11" s="694"/>
      <c r="AC11" s="3"/>
      <c r="AD11" s="3"/>
      <c r="AE11" s="3"/>
      <c r="AF11" s="3"/>
    </row>
    <row r="12" spans="1:32" s="7" customFormat="1" ht="30">
      <c r="A12" s="1">
        <f t="shared" si="1"/>
        <v>5</v>
      </c>
      <c r="B12" s="1">
        <v>1750</v>
      </c>
      <c r="C12" s="1" t="s">
        <v>925</v>
      </c>
      <c r="D12" s="2">
        <f>'החברה לפיתוח'!D44</f>
        <v>5000000</v>
      </c>
      <c r="E12" s="2">
        <f>'החברה לפיתוח'!E44</f>
        <v>5000000</v>
      </c>
      <c r="F12" s="2">
        <f>'החברה לפיתוח'!F44</f>
        <v>0</v>
      </c>
      <c r="G12" s="2">
        <f>'החברה לפיתוח'!G44</f>
        <v>500000</v>
      </c>
      <c r="H12" s="2">
        <f>'החברה לפיתוח'!H44</f>
        <v>0</v>
      </c>
      <c r="I12" s="2">
        <f>'החברה לפיתוח'!I44</f>
        <v>0</v>
      </c>
      <c r="J12" s="2">
        <f>'החברה לפיתוח'!J44</f>
        <v>0</v>
      </c>
      <c r="K12" s="2">
        <f>'החברה לפיתוח'!K44</f>
        <v>0</v>
      </c>
      <c r="L12" s="2">
        <f>'החברה לפיתוח'!L44</f>
        <v>0</v>
      </c>
      <c r="M12" s="2">
        <f>'החברה לפיתוח'!M44</f>
        <v>100000</v>
      </c>
      <c r="N12" s="2">
        <f>'החברה לפיתוח'!N44</f>
        <v>0</v>
      </c>
      <c r="O12" s="2">
        <f>'החברה לפיתוח'!O44</f>
        <v>4900000</v>
      </c>
      <c r="P12" s="2">
        <f>'החברה לפיתוח'!P44</f>
        <v>500000</v>
      </c>
      <c r="Q12" s="2">
        <f>'החברה לפיתוח'!Q44</f>
        <v>0</v>
      </c>
      <c r="R12" s="2">
        <f>'החברה לפיתוח'!R44</f>
        <v>0</v>
      </c>
      <c r="S12" s="2">
        <f>'החברה לפיתוח'!S44</f>
        <v>0</v>
      </c>
      <c r="T12" s="2">
        <f>'החברה לפיתוח'!T44</f>
        <v>400000</v>
      </c>
      <c r="U12" s="2">
        <f>'החברה לפיתוח'!U44</f>
        <v>-400000</v>
      </c>
      <c r="V12" s="2">
        <f>'החברה לפיתוח'!V44</f>
        <v>-400000</v>
      </c>
      <c r="W12" s="2">
        <f>'החברה לפיתוח'!W44</f>
        <v>0</v>
      </c>
      <c r="X12" s="2">
        <f>'החברה לפיתוח'!X44</f>
        <v>0</v>
      </c>
      <c r="Y12" s="2">
        <f>'החברה לפיתוח'!Y44</f>
        <v>0</v>
      </c>
      <c r="Z12" s="2">
        <f>'החברה לפיתוח'!Z44</f>
        <v>0</v>
      </c>
      <c r="AA12" s="94">
        <f>'החברה לפיתוח'!AA44</f>
        <v>732000</v>
      </c>
      <c r="AB12" s="694"/>
      <c r="AC12" s="3"/>
      <c r="AD12" s="3"/>
      <c r="AE12" s="3"/>
      <c r="AF12" s="3"/>
    </row>
    <row r="13" spans="1:32" s="7" customFormat="1" ht="15" customHeight="1">
      <c r="A13" s="1">
        <f t="shared" si="1"/>
        <v>6</v>
      </c>
      <c r="B13" s="1">
        <v>1806</v>
      </c>
      <c r="C13" s="1" t="s">
        <v>278</v>
      </c>
      <c r="D13" s="2">
        <f>'החברה לפיתוח'!D51</f>
        <v>500000</v>
      </c>
      <c r="E13" s="2">
        <f>'החברה לפיתוח'!E51</f>
        <v>500000</v>
      </c>
      <c r="F13" s="2">
        <f>'החברה לפיתוח'!F51</f>
        <v>0</v>
      </c>
      <c r="G13" s="2">
        <f>'החברה לפיתוח'!G51</f>
        <v>350000</v>
      </c>
      <c r="H13" s="2">
        <f>'החברה לפיתוח'!H51</f>
        <v>55809</v>
      </c>
      <c r="I13" s="2">
        <f>'החברה לפיתוח'!I51</f>
        <v>0</v>
      </c>
      <c r="J13" s="2">
        <f>'החברה לפיתוח'!J51</f>
        <v>143325</v>
      </c>
      <c r="K13" s="2">
        <f>'החברה לפיתוח'!K51</f>
        <v>143325</v>
      </c>
      <c r="L13" s="2">
        <f>'החברה לפיתוח'!L51</f>
        <v>199134</v>
      </c>
      <c r="M13" s="2">
        <f>'החברה לפיתוח'!M51</f>
        <v>150866</v>
      </c>
      <c r="N13" s="2">
        <f>'החברה לפיתוח'!N51</f>
        <v>0</v>
      </c>
      <c r="O13" s="2">
        <f>'החברה לפיתוח'!O51</f>
        <v>150000</v>
      </c>
      <c r="P13" s="2">
        <f>'החברה לפיתוח'!P51</f>
        <v>150866</v>
      </c>
      <c r="Q13" s="2">
        <f>'החברה לפיתוח'!Q51</f>
        <v>0</v>
      </c>
      <c r="R13" s="2">
        <f>'החברה לפיתוח'!R51</f>
        <v>0</v>
      </c>
      <c r="S13" s="2">
        <f>'החברה לפיתוח'!S51</f>
        <v>0</v>
      </c>
      <c r="T13" s="2">
        <f>'החברה לפיתוח'!T51</f>
        <v>0</v>
      </c>
      <c r="U13" s="2">
        <f>'החברה לפיתוח'!U51</f>
        <v>0</v>
      </c>
      <c r="V13" s="2">
        <f>'החברה לפיתוח'!V51</f>
        <v>0</v>
      </c>
      <c r="W13" s="2">
        <f>'החברה לפיתוח'!W51</f>
        <v>0</v>
      </c>
      <c r="X13" s="2">
        <f>'החברה לפיתוח'!X51</f>
        <v>0</v>
      </c>
      <c r="Y13" s="2">
        <f>'החברה לפיתוח'!Y51</f>
        <v>0</v>
      </c>
      <c r="Z13" s="2">
        <f>'החברה לפיתוח'!Z51</f>
        <v>0</v>
      </c>
      <c r="AA13" s="94">
        <f>'החברה לפיתוח'!AA51</f>
        <v>732000</v>
      </c>
      <c r="AB13" s="695"/>
      <c r="AC13" s="10"/>
      <c r="AD13" s="10"/>
      <c r="AE13" s="10"/>
      <c r="AF13" s="10"/>
    </row>
    <row r="14" spans="1:32" s="7" customFormat="1" ht="15" customHeight="1">
      <c r="A14" s="1">
        <f t="shared" si="1"/>
        <v>7</v>
      </c>
      <c r="B14" s="8">
        <v>1846</v>
      </c>
      <c r="C14" s="1" t="s">
        <v>270</v>
      </c>
      <c r="D14" s="2">
        <f>'החברה לפיתוח'!D63</f>
        <v>2500000</v>
      </c>
      <c r="E14" s="2">
        <f>'החברה לפיתוח'!E63</f>
        <v>2500000</v>
      </c>
      <c r="F14" s="2">
        <f>'החברה לפיתוח'!F63</f>
        <v>0</v>
      </c>
      <c r="G14" s="2">
        <f>'החברה לפיתוח'!G63</f>
        <v>2500000</v>
      </c>
      <c r="H14" s="2">
        <f>'החברה לפיתוח'!H63</f>
        <v>108356</v>
      </c>
      <c r="I14" s="2">
        <f>'החברה לפיתוח'!I63</f>
        <v>0</v>
      </c>
      <c r="J14" s="2">
        <f>'החברה לפיתוח'!J63</f>
        <v>391643.23</v>
      </c>
      <c r="K14" s="2">
        <f>'החברה לפיתוח'!K63</f>
        <v>391643.23</v>
      </c>
      <c r="L14" s="2">
        <f>'החברה לפיתוח'!L63</f>
        <v>499999.23</v>
      </c>
      <c r="M14" s="2">
        <f>'החברה לפיתוח'!M63</f>
        <v>1000000.77</v>
      </c>
      <c r="N14" s="2">
        <f>'החברה לפיתוח'!N63</f>
        <v>0</v>
      </c>
      <c r="O14" s="2">
        <f>'החברה לפיתוח'!O63</f>
        <v>1000000</v>
      </c>
      <c r="P14" s="2">
        <f>'החברה לפיתוח'!P63</f>
        <v>2000000.77</v>
      </c>
      <c r="Q14" s="2">
        <f>'החברה לפיתוח'!Q63</f>
        <v>0</v>
      </c>
      <c r="R14" s="2">
        <f>'החברה לפיתוח'!R63</f>
        <v>0</v>
      </c>
      <c r="S14" s="2">
        <f>'החברה לפיתוח'!S63</f>
        <v>0</v>
      </c>
      <c r="T14" s="2">
        <f>'החברה לפיתוח'!T63</f>
        <v>1000000</v>
      </c>
      <c r="U14" s="2">
        <f>'החברה לפיתוח'!U63</f>
        <v>-1000000</v>
      </c>
      <c r="V14" s="2">
        <f>'החברה לפיתוח'!V63</f>
        <v>-1000000</v>
      </c>
      <c r="W14" s="2">
        <f>'החברה לפיתוח'!W63</f>
        <v>0</v>
      </c>
      <c r="X14" s="2">
        <f>'החברה לפיתוח'!X63</f>
        <v>0</v>
      </c>
      <c r="Y14" s="2">
        <f>'החברה לפיתוח'!Y63</f>
        <v>0</v>
      </c>
      <c r="Z14" s="2">
        <f>'החברה לפיתוח'!Z63</f>
        <v>0</v>
      </c>
      <c r="AA14" s="94">
        <f>'החברה לפיתוח'!AA63</f>
        <v>732000</v>
      </c>
      <c r="AB14" s="11"/>
      <c r="AC14" s="11"/>
      <c r="AD14" s="11"/>
      <c r="AE14" s="11"/>
      <c r="AF14" s="11"/>
    </row>
    <row r="15" spans="1:32" s="3" customFormat="1" ht="15" customHeight="1">
      <c r="A15" s="1">
        <f t="shared" si="1"/>
        <v>8</v>
      </c>
      <c r="B15" s="8">
        <v>1936</v>
      </c>
      <c r="C15" s="1" t="s">
        <v>428</v>
      </c>
      <c r="D15" s="2">
        <f>'החברה לפיתוח'!D73</f>
        <v>6082795</v>
      </c>
      <c r="E15" s="2">
        <f>'החברה לפיתוח'!E73</f>
        <v>6082795</v>
      </c>
      <c r="F15" s="2">
        <f>'החברה לפיתוח'!F73</f>
        <v>0</v>
      </c>
      <c r="G15" s="2">
        <f>'החברה לפיתוח'!G73</f>
        <v>700000</v>
      </c>
      <c r="H15" s="2">
        <f>'החברה לפיתוח'!H73</f>
        <v>37027</v>
      </c>
      <c r="I15" s="2">
        <f>'החברה לפיתוח'!I73</f>
        <v>0</v>
      </c>
      <c r="J15" s="2">
        <f>'החברה לפיתוח'!J73</f>
        <v>112971.27</v>
      </c>
      <c r="K15" s="2">
        <f>'החברה לפיתוח'!K73</f>
        <v>112971.27</v>
      </c>
      <c r="L15" s="2">
        <f>'החברה לפיתוח'!L73</f>
        <v>149998.27000000002</v>
      </c>
      <c r="M15" s="2">
        <f>'החברה לפיתוח'!M73</f>
        <v>550001.73</v>
      </c>
      <c r="N15" s="2">
        <f>'החברה לפיתוח'!N73</f>
        <v>5382795</v>
      </c>
      <c r="O15" s="2">
        <f>'החברה לפיתוח'!O73</f>
        <v>0</v>
      </c>
      <c r="P15" s="2">
        <f>'החברה לפיתוח'!P73</f>
        <v>550001.73</v>
      </c>
      <c r="Q15" s="2">
        <f>'החברה לפיתוח'!Q73</f>
        <v>0</v>
      </c>
      <c r="R15" s="2">
        <f>'החברה לפיתוח'!R73</f>
        <v>0</v>
      </c>
      <c r="S15" s="2">
        <f>'החברה לפיתוח'!S73</f>
        <v>0</v>
      </c>
      <c r="T15" s="2">
        <f>'החברה לפיתוח'!T73</f>
        <v>0</v>
      </c>
      <c r="U15" s="2">
        <f>'החברה לפיתוח'!U73</f>
        <v>5382795</v>
      </c>
      <c r="V15" s="2">
        <f>'החברה לפיתוח'!V73</f>
        <v>0</v>
      </c>
      <c r="W15" s="2">
        <f>'החברה לפיתוח'!W73</f>
        <v>0</v>
      </c>
      <c r="X15" s="2">
        <f>'החברה לפיתוח'!X73</f>
        <v>0</v>
      </c>
      <c r="Y15" s="2">
        <f>'החברה לפיתוח'!Y73</f>
        <v>0</v>
      </c>
      <c r="Z15" s="2">
        <f>'החברה לפיתוח'!Z73</f>
        <v>5382795</v>
      </c>
      <c r="AA15" s="94">
        <f>'החברה לפיתוח'!AA73</f>
        <v>732000</v>
      </c>
      <c r="AB15" s="11"/>
      <c r="AC15" s="11"/>
      <c r="AD15" s="43"/>
      <c r="AE15" s="11"/>
      <c r="AF15" s="11"/>
    </row>
    <row r="16" spans="1:32" s="7" customFormat="1" ht="15" customHeight="1">
      <c r="A16" s="1">
        <f t="shared" si="1"/>
        <v>9</v>
      </c>
      <c r="B16" s="8">
        <v>1940</v>
      </c>
      <c r="C16" s="1" t="s">
        <v>339</v>
      </c>
      <c r="D16" s="2">
        <f>'החברה לפיתוח'!D74</f>
        <v>186000</v>
      </c>
      <c r="E16" s="2">
        <f>'החברה לפיתוח'!E74</f>
        <v>186000</v>
      </c>
      <c r="F16" s="2">
        <f>'החברה לפיתוח'!F74</f>
        <v>0</v>
      </c>
      <c r="G16" s="2">
        <f>'החברה לפיתוח'!G74</f>
        <v>186000</v>
      </c>
      <c r="H16" s="2">
        <f>'החברה לפיתוח'!H74</f>
        <v>37206</v>
      </c>
      <c r="I16" s="2">
        <f>'החברה לפיתוח'!I74</f>
        <v>0</v>
      </c>
      <c r="J16" s="2">
        <f>'החברה לפיתוח'!J74</f>
        <v>148793.57999999999</v>
      </c>
      <c r="K16" s="2">
        <f>'החברה לפיתוח'!K74</f>
        <v>148793.57999999999</v>
      </c>
      <c r="L16" s="2">
        <f>'החברה לפיתוח'!L74</f>
        <v>185999.58</v>
      </c>
      <c r="M16" s="2">
        <f>'החברה לפיתוח'!M74</f>
        <v>0.42000000001280569</v>
      </c>
      <c r="N16" s="2">
        <f>'החברה לפיתוח'!N74</f>
        <v>0</v>
      </c>
      <c r="O16" s="2">
        <f>'החברה לפיתוח'!O74</f>
        <v>0</v>
      </c>
      <c r="P16" s="2">
        <f>'החברה לפיתוח'!P74</f>
        <v>0.42000000001280569</v>
      </c>
      <c r="Q16" s="2">
        <f>'החברה לפיתוח'!Q74</f>
        <v>0</v>
      </c>
      <c r="R16" s="2">
        <f>'החברה לפיתוח'!R74</f>
        <v>0</v>
      </c>
      <c r="S16" s="2">
        <f>'החברה לפיתוח'!S74</f>
        <v>0</v>
      </c>
      <c r="T16" s="2">
        <f>'החברה לפיתוח'!T74</f>
        <v>0</v>
      </c>
      <c r="U16" s="2">
        <f>'החברה לפיתוח'!U74</f>
        <v>0</v>
      </c>
      <c r="V16" s="2">
        <f>'החברה לפיתוח'!V74</f>
        <v>0</v>
      </c>
      <c r="W16" s="2">
        <f>'החברה לפיתוח'!W74</f>
        <v>0</v>
      </c>
      <c r="X16" s="2">
        <f>'החברה לפיתוח'!X74</f>
        <v>0</v>
      </c>
      <c r="Y16" s="2">
        <f>'החברה לפיתוח'!Y74</f>
        <v>0</v>
      </c>
      <c r="Z16" s="2">
        <f>'החברה לפיתוח'!Z74</f>
        <v>0</v>
      </c>
      <c r="AA16" s="94">
        <f>'החברה לפיתוח'!AA74</f>
        <v>732000</v>
      </c>
      <c r="AB16" s="11"/>
      <c r="AC16" s="11"/>
      <c r="AD16" s="43"/>
      <c r="AE16" s="11"/>
      <c r="AF16" s="11"/>
    </row>
    <row r="17" spans="1:32" s="77" customFormat="1">
      <c r="A17" s="48"/>
      <c r="B17" s="76">
        <v>2</v>
      </c>
      <c r="C17" s="48" t="s">
        <v>1037</v>
      </c>
      <c r="D17" s="33">
        <f>SUM(D9:D16)</f>
        <v>94018795</v>
      </c>
      <c r="E17" s="33">
        <f t="shared" ref="E17:Z17" si="2">SUM(E9:E16)</f>
        <v>88518795</v>
      </c>
      <c r="F17" s="33">
        <f t="shared" si="2"/>
        <v>5500000</v>
      </c>
      <c r="G17" s="33">
        <f t="shared" si="2"/>
        <v>63986000</v>
      </c>
      <c r="H17" s="33">
        <f t="shared" si="2"/>
        <v>54949284.850000001</v>
      </c>
      <c r="I17" s="33">
        <f t="shared" si="2"/>
        <v>0</v>
      </c>
      <c r="J17" s="33">
        <f t="shared" si="2"/>
        <v>2963603.13</v>
      </c>
      <c r="K17" s="33">
        <f t="shared" si="2"/>
        <v>2963603.13</v>
      </c>
      <c r="L17" s="33">
        <f t="shared" si="2"/>
        <v>57912887.980000004</v>
      </c>
      <c r="M17" s="33">
        <f t="shared" si="2"/>
        <v>10602725.019999996</v>
      </c>
      <c r="N17" s="33">
        <f t="shared" si="2"/>
        <v>14953182</v>
      </c>
      <c r="O17" s="33">
        <f t="shared" si="2"/>
        <v>10550000</v>
      </c>
      <c r="P17" s="33">
        <f t="shared" si="2"/>
        <v>6073112.0199999958</v>
      </c>
      <c r="Q17" s="33">
        <f t="shared" si="2"/>
        <v>5929613</v>
      </c>
      <c r="R17" s="33">
        <f t="shared" si="2"/>
        <v>0</v>
      </c>
      <c r="S17" s="33">
        <f t="shared" si="2"/>
        <v>5929613</v>
      </c>
      <c r="T17" s="33">
        <f t="shared" si="2"/>
        <v>1400000</v>
      </c>
      <c r="U17" s="33">
        <f t="shared" si="2"/>
        <v>13553182</v>
      </c>
      <c r="V17" s="33">
        <f t="shared" si="2"/>
        <v>-575000</v>
      </c>
      <c r="W17" s="33">
        <f t="shared" si="2"/>
        <v>0</v>
      </c>
      <c r="X17" s="33">
        <f t="shared" si="2"/>
        <v>0</v>
      </c>
      <c r="Y17" s="33">
        <f t="shared" si="2"/>
        <v>0</v>
      </c>
      <c r="Z17" s="33">
        <f t="shared" si="2"/>
        <v>14128182</v>
      </c>
      <c r="AA17" s="96"/>
    </row>
    <row r="18" spans="1:32" s="7" customFormat="1" ht="15" customHeight="1">
      <c r="A18" s="1"/>
      <c r="B18" s="8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94"/>
      <c r="AB18" s="11"/>
      <c r="AC18" s="11"/>
      <c r="AD18" s="43"/>
      <c r="AE18" s="11"/>
      <c r="AF18" s="11"/>
    </row>
    <row r="19" spans="1:32" s="7" customFormat="1">
      <c r="A19" s="1">
        <f>A16+1</f>
        <v>10</v>
      </c>
      <c r="B19" s="1">
        <v>382</v>
      </c>
      <c r="C19" s="1" t="s">
        <v>163</v>
      </c>
      <c r="D19" s="2">
        <f>'החברה לפיתוח'!D6</f>
        <v>49581930</v>
      </c>
      <c r="E19" s="2">
        <f>'החברה לפיתוח'!E6</f>
        <v>45781930</v>
      </c>
      <c r="F19" s="2">
        <f>'החברה לפיתוח'!F6</f>
        <v>3800000</v>
      </c>
      <c r="G19" s="2">
        <f>'החברה לפיתוח'!G6</f>
        <v>36881330</v>
      </c>
      <c r="H19" s="2">
        <f>'החברה לפיתוח'!H6</f>
        <v>31771988.18</v>
      </c>
      <c r="I19" s="2">
        <f>'החברה לפיתוח'!I6</f>
        <v>0</v>
      </c>
      <c r="J19" s="2">
        <f>'החברה לפיתוח'!J6</f>
        <v>492304.91</v>
      </c>
      <c r="K19" s="2">
        <f>'החברה לפיתוח'!K6</f>
        <v>492304.91</v>
      </c>
      <c r="L19" s="2">
        <f>'החברה לפיתוח'!L6</f>
        <v>32264293.09</v>
      </c>
      <c r="M19" s="2">
        <f>'החברה לפיתוח'!M6</f>
        <v>4617036.91</v>
      </c>
      <c r="N19" s="2">
        <f>'החברה לפיתוח'!N6</f>
        <v>10000000</v>
      </c>
      <c r="O19" s="2">
        <f>'החברה לפיתוח'!O6</f>
        <v>2700600</v>
      </c>
      <c r="P19" s="2">
        <f>'החברה לפיתוח'!P6</f>
        <v>4617036.91</v>
      </c>
      <c r="Q19" s="2">
        <f>'החברה לפיתוח'!Q6</f>
        <v>0</v>
      </c>
      <c r="R19" s="2">
        <f>'החברה לפיתוח'!R6</f>
        <v>0</v>
      </c>
      <c r="S19" s="2">
        <f>'החברה לפיתוח'!S6</f>
        <v>0</v>
      </c>
      <c r="T19" s="2">
        <f>'החברה לפיתוח'!T6</f>
        <v>0</v>
      </c>
      <c r="U19" s="2">
        <f>'החברה לפיתוח'!U6</f>
        <v>10000000</v>
      </c>
      <c r="V19" s="2">
        <f>'החברה לפיתוח'!V6</f>
        <v>10000000</v>
      </c>
      <c r="W19" s="2">
        <f>'החברה לפיתוח'!W6</f>
        <v>0</v>
      </c>
      <c r="X19" s="2">
        <f>'החברה לפיתוח'!X6</f>
        <v>0</v>
      </c>
      <c r="Y19" s="2">
        <f>'החברה לפיתוח'!Y6</f>
        <v>0</v>
      </c>
      <c r="Z19" s="2">
        <f>'החברה לפיתוח'!Z6</f>
        <v>0</v>
      </c>
      <c r="AA19" s="94">
        <f>'החברה לפיתוח'!AA6</f>
        <v>742000</v>
      </c>
      <c r="AB19" s="3"/>
      <c r="AC19" s="3"/>
      <c r="AD19" s="3"/>
      <c r="AE19" s="3"/>
      <c r="AF19" s="3"/>
    </row>
    <row r="20" spans="1:32" s="7" customFormat="1">
      <c r="A20" s="1">
        <f>A19+1</f>
        <v>11</v>
      </c>
      <c r="B20" s="1">
        <v>437</v>
      </c>
      <c r="C20" s="1" t="s">
        <v>164</v>
      </c>
      <c r="D20" s="2">
        <f>'החברה לפיתוח'!D7</f>
        <v>11000000</v>
      </c>
      <c r="E20" s="2">
        <f>'החברה לפיתוח'!E7</f>
        <v>11000000</v>
      </c>
      <c r="F20" s="2">
        <f>'החברה לפיתוח'!F7</f>
        <v>0</v>
      </c>
      <c r="G20" s="2">
        <f>'החברה לפיתוח'!G7</f>
        <v>11000000</v>
      </c>
      <c r="H20" s="2">
        <f>'החברה לפיתוח'!H7</f>
        <v>9417219.4100000001</v>
      </c>
      <c r="I20" s="2">
        <f>'החברה לפיתוח'!I7</f>
        <v>0</v>
      </c>
      <c r="J20" s="2">
        <f>'החברה לפיתוח'!J7</f>
        <v>1582779.12</v>
      </c>
      <c r="K20" s="2">
        <f>'החברה לפיתוח'!K7</f>
        <v>1582779.12</v>
      </c>
      <c r="L20" s="2">
        <f>'החברה לפיתוח'!L7</f>
        <v>10999998.530000001</v>
      </c>
      <c r="M20" s="2">
        <f>'החברה לפיתוח'!M7</f>
        <v>1.4699999988079071</v>
      </c>
      <c r="N20" s="2">
        <f>'החברה לפיתוח'!N7</f>
        <v>0</v>
      </c>
      <c r="O20" s="2">
        <f>'החברה לפיתוח'!O7</f>
        <v>0</v>
      </c>
      <c r="P20" s="2">
        <f>'החברה לפיתוח'!P7</f>
        <v>1.4699999988079071</v>
      </c>
      <c r="Q20" s="2">
        <f>'החברה לפיתוח'!Q7</f>
        <v>0</v>
      </c>
      <c r="R20" s="2">
        <f>'החברה לפיתוח'!R7</f>
        <v>0</v>
      </c>
      <c r="S20" s="2">
        <f>'החברה לפיתוח'!S7</f>
        <v>0</v>
      </c>
      <c r="T20" s="2">
        <f>'החברה לפיתוח'!T7</f>
        <v>0</v>
      </c>
      <c r="U20" s="2">
        <f>'החברה לפיתוח'!U7</f>
        <v>0</v>
      </c>
      <c r="V20" s="2">
        <f>'החברה לפיתוח'!V7</f>
        <v>0</v>
      </c>
      <c r="W20" s="2">
        <f>'החברה לפיתוח'!W7</f>
        <v>0</v>
      </c>
      <c r="X20" s="2">
        <f>'החברה לפיתוח'!X7</f>
        <v>0</v>
      </c>
      <c r="Y20" s="2">
        <f>'החברה לפיתוח'!Y7</f>
        <v>0</v>
      </c>
      <c r="Z20" s="2">
        <f>'החברה לפיתוח'!Z7</f>
        <v>0</v>
      </c>
      <c r="AA20" s="94">
        <f>'החברה לפיתוח'!AA7</f>
        <v>742000</v>
      </c>
      <c r="AB20" s="3"/>
      <c r="AC20" s="3"/>
      <c r="AD20" s="3"/>
      <c r="AE20" s="3"/>
      <c r="AF20" s="3"/>
    </row>
    <row r="21" spans="1:32" s="3" customFormat="1">
      <c r="A21" s="1">
        <f t="shared" ref="A21:A66" si="3">A20+1</f>
        <v>12</v>
      </c>
      <c r="B21" s="1">
        <v>439</v>
      </c>
      <c r="C21" s="1" t="s">
        <v>165</v>
      </c>
      <c r="D21" s="2">
        <f>'החברה לפיתוח'!D8</f>
        <v>17090803</v>
      </c>
      <c r="E21" s="2">
        <f>'החברה לפיתוח'!E8</f>
        <v>17090803</v>
      </c>
      <c r="F21" s="2">
        <f>'החברה לפיתוח'!F8</f>
        <v>0</v>
      </c>
      <c r="G21" s="2">
        <f>'החברה לפיתוח'!G8</f>
        <v>17090803</v>
      </c>
      <c r="H21" s="2">
        <f>'החברה לפיתוח'!H8</f>
        <v>16323383</v>
      </c>
      <c r="I21" s="2">
        <f>'החברה לפיתוח'!I8</f>
        <v>0</v>
      </c>
      <c r="J21" s="2">
        <f>'החברה לפיתוח'!J8</f>
        <v>67420.12</v>
      </c>
      <c r="K21" s="2">
        <f>'החברה לפיתוח'!K8</f>
        <v>67420.12</v>
      </c>
      <c r="L21" s="2">
        <f>'החברה לפיתוח'!L8</f>
        <v>16390803.119999999</v>
      </c>
      <c r="M21" s="2">
        <f>'החברה לפיתוח'!M8</f>
        <v>699999.88000000082</v>
      </c>
      <c r="N21" s="2">
        <f>'החברה לפיתוח'!N8</f>
        <v>0</v>
      </c>
      <c r="O21" s="2">
        <f>'החברה לפיתוח'!O8</f>
        <v>0</v>
      </c>
      <c r="P21" s="2">
        <f>'החברה לפיתוח'!P8</f>
        <v>699999.88000000082</v>
      </c>
      <c r="Q21" s="2">
        <f>'החברה לפיתוח'!Q8</f>
        <v>0</v>
      </c>
      <c r="R21" s="2">
        <f>'החברה לפיתוח'!R8</f>
        <v>0</v>
      </c>
      <c r="S21" s="2">
        <f>'החברה לפיתוח'!S8</f>
        <v>0</v>
      </c>
      <c r="T21" s="2">
        <f>'החברה לפיתוח'!T8</f>
        <v>0</v>
      </c>
      <c r="U21" s="2">
        <f>'החברה לפיתוח'!U8</f>
        <v>0</v>
      </c>
      <c r="V21" s="2">
        <f>'החברה לפיתוח'!V8</f>
        <v>0</v>
      </c>
      <c r="W21" s="2">
        <f>'החברה לפיתוח'!W8</f>
        <v>0</v>
      </c>
      <c r="X21" s="2">
        <f>'החברה לפיתוח'!X8</f>
        <v>0</v>
      </c>
      <c r="Y21" s="2">
        <f>'החברה לפיתוח'!Y8</f>
        <v>0</v>
      </c>
      <c r="Z21" s="2">
        <f>'החברה לפיתוח'!Z8</f>
        <v>0</v>
      </c>
      <c r="AA21" s="94">
        <f>'החברה לפיתוח'!AA8</f>
        <v>742000</v>
      </c>
      <c r="AB21" s="7"/>
      <c r="AC21" s="7"/>
      <c r="AD21" s="7"/>
      <c r="AE21" s="7"/>
      <c r="AF21" s="7"/>
    </row>
    <row r="22" spans="1:32" s="3" customFormat="1">
      <c r="A22" s="1">
        <f t="shared" si="3"/>
        <v>13</v>
      </c>
      <c r="B22" s="1">
        <v>532</v>
      </c>
      <c r="C22" s="1" t="s">
        <v>166</v>
      </c>
      <c r="D22" s="2">
        <f>'החברה לפיתוח'!D9</f>
        <v>80090000</v>
      </c>
      <c r="E22" s="2">
        <f>'החברה לפיתוח'!E9</f>
        <v>80090000</v>
      </c>
      <c r="F22" s="2">
        <f>'החברה לפיתוח'!F9</f>
        <v>0</v>
      </c>
      <c r="G22" s="2">
        <f>'החברה לפיתוח'!G9</f>
        <v>75090000</v>
      </c>
      <c r="H22" s="2">
        <f>'החברה לפיתוח'!H9</f>
        <v>58868690.310000002</v>
      </c>
      <c r="I22" s="2">
        <f>'החברה לפיתוח'!I9</f>
        <v>0</v>
      </c>
      <c r="J22" s="2">
        <f>'החברה לפיתוח'!J9</f>
        <v>765919.28</v>
      </c>
      <c r="K22" s="2">
        <f>'החברה לפיתוח'!K9</f>
        <v>765919.28</v>
      </c>
      <c r="L22" s="2">
        <f>'החברה לפיתוח'!L9</f>
        <v>59634609.590000004</v>
      </c>
      <c r="M22" s="2">
        <f>'החברה לפיתוח'!M9</f>
        <v>15455390.409999996</v>
      </c>
      <c r="N22" s="2">
        <f>'החברה לפיתוח'!N9</f>
        <v>5000000</v>
      </c>
      <c r="O22" s="2">
        <f>'החברה לפיתוח'!O9</f>
        <v>0</v>
      </c>
      <c r="P22" s="2">
        <f>'החברה לפיתוח'!P9</f>
        <v>15455390.409999996</v>
      </c>
      <c r="Q22" s="2">
        <f>'החברה לפיתוח'!Q9</f>
        <v>0</v>
      </c>
      <c r="R22" s="2">
        <f>'החברה לפיתוח'!R9</f>
        <v>0</v>
      </c>
      <c r="S22" s="2">
        <f>'החברה לפיתוח'!S9</f>
        <v>0</v>
      </c>
      <c r="T22" s="2">
        <f>'החברה לפיתוח'!T9</f>
        <v>0</v>
      </c>
      <c r="U22" s="2">
        <f>'החברה לפיתוח'!U9</f>
        <v>5000000</v>
      </c>
      <c r="V22" s="2">
        <f>'החברה לפיתוח'!V9</f>
        <v>5000000</v>
      </c>
      <c r="W22" s="2">
        <f>'החברה לפיתוח'!W9</f>
        <v>0</v>
      </c>
      <c r="X22" s="2">
        <f>'החברה לפיתוח'!X9</f>
        <v>0</v>
      </c>
      <c r="Y22" s="2">
        <f>'החברה לפיתוח'!Y9</f>
        <v>0</v>
      </c>
      <c r="Z22" s="2">
        <f>'החברה לפיתוח'!Z9</f>
        <v>0</v>
      </c>
      <c r="AA22" s="94">
        <f>'החברה לפיתוח'!AA9</f>
        <v>742000</v>
      </c>
      <c r="AB22" s="7"/>
      <c r="AC22" s="7"/>
      <c r="AD22" s="7"/>
      <c r="AE22" s="7"/>
      <c r="AF22" s="7"/>
    </row>
    <row r="23" spans="1:32" s="7" customFormat="1">
      <c r="A23" s="1">
        <f t="shared" si="3"/>
        <v>14</v>
      </c>
      <c r="B23" s="1">
        <v>642</v>
      </c>
      <c r="C23" s="1" t="s">
        <v>169</v>
      </c>
      <c r="D23" s="2">
        <f>'החברה לפיתוח'!D12</f>
        <v>15780000</v>
      </c>
      <c r="E23" s="2">
        <f>'החברה לפיתוח'!E12</f>
        <v>15780000</v>
      </c>
      <c r="F23" s="2">
        <f>'החברה לפיתוח'!F12</f>
        <v>0</v>
      </c>
      <c r="G23" s="2">
        <f>'החברה לפיתוח'!G12</f>
        <v>15780000</v>
      </c>
      <c r="H23" s="2">
        <f>'החברה לפיתוח'!H12</f>
        <v>15562441.880000001</v>
      </c>
      <c r="I23" s="2">
        <f>'החברה לפיתוח'!I12</f>
        <v>0</v>
      </c>
      <c r="J23" s="2">
        <f>'החברה לפיתוח'!J12</f>
        <v>120227.98</v>
      </c>
      <c r="K23" s="2">
        <f>'החברה לפיתוח'!K12</f>
        <v>120227.98</v>
      </c>
      <c r="L23" s="2">
        <f>'החברה לפיתוח'!L12</f>
        <v>15682669.860000001</v>
      </c>
      <c r="M23" s="2">
        <f>'החברה לפיתוח'!M12</f>
        <v>97330.139999998733</v>
      </c>
      <c r="N23" s="2">
        <f>'החברה לפיתוח'!N12</f>
        <v>0</v>
      </c>
      <c r="O23" s="2">
        <f>'החברה לפיתוח'!O12</f>
        <v>0</v>
      </c>
      <c r="P23" s="2">
        <f>'החברה לפיתוח'!P12</f>
        <v>97330.139999998733</v>
      </c>
      <c r="Q23" s="2">
        <f>'החברה לפיתוח'!Q12</f>
        <v>0</v>
      </c>
      <c r="R23" s="2">
        <f>'החברה לפיתוח'!R12</f>
        <v>0</v>
      </c>
      <c r="S23" s="2">
        <f>'החברה לפיתוח'!S12</f>
        <v>0</v>
      </c>
      <c r="T23" s="2">
        <f>'החברה לפיתוח'!T12</f>
        <v>0</v>
      </c>
      <c r="U23" s="2">
        <f>'החברה לפיתוח'!U12</f>
        <v>0</v>
      </c>
      <c r="V23" s="2">
        <f>'החברה לפיתוח'!V12</f>
        <v>0</v>
      </c>
      <c r="W23" s="2">
        <f>'החברה לפיתוח'!W12</f>
        <v>0</v>
      </c>
      <c r="X23" s="2">
        <f>'החברה לפיתוח'!X12</f>
        <v>0</v>
      </c>
      <c r="Y23" s="2">
        <f>'החברה לפיתוח'!Y12</f>
        <v>0</v>
      </c>
      <c r="Z23" s="2">
        <f>'החברה לפיתוח'!Z12</f>
        <v>0</v>
      </c>
      <c r="AA23" s="94">
        <f>'החברה לפיתוח'!AA12</f>
        <v>742000</v>
      </c>
    </row>
    <row r="24" spans="1:32" s="3" customFormat="1">
      <c r="A24" s="1">
        <f t="shared" si="3"/>
        <v>15</v>
      </c>
      <c r="B24" s="1">
        <v>1067</v>
      </c>
      <c r="C24" s="1" t="s">
        <v>170</v>
      </c>
      <c r="D24" s="2">
        <f>'החברה לפיתוח'!D13</f>
        <v>3725000</v>
      </c>
      <c r="E24" s="2">
        <f>'החברה לפיתוח'!E13</f>
        <v>3575000</v>
      </c>
      <c r="F24" s="2">
        <f>'החברה לפיתוח'!F13</f>
        <v>150000</v>
      </c>
      <c r="G24" s="2">
        <f>'החברה לפיתוח'!G13</f>
        <v>3575000</v>
      </c>
      <c r="H24" s="2">
        <f>'החברה לפיתוח'!H13</f>
        <v>2460319.44</v>
      </c>
      <c r="I24" s="2">
        <f>'החברה לפיתוח'!I13</f>
        <v>0</v>
      </c>
      <c r="J24" s="2">
        <f>'החברה לפיתוח'!J13</f>
        <v>128997.98</v>
      </c>
      <c r="K24" s="2">
        <f>'החברה לפיתוח'!K13</f>
        <v>128997.98</v>
      </c>
      <c r="L24" s="2">
        <f>'החברה לפיתוח'!L13</f>
        <v>2589317.42</v>
      </c>
      <c r="M24" s="2">
        <f>'החברה לפיתוח'!M13</f>
        <v>985682.58000000007</v>
      </c>
      <c r="N24" s="2">
        <f>'החברה לפיתוח'!N13</f>
        <v>150000</v>
      </c>
      <c r="O24" s="2">
        <f>'החברה לפיתוח'!O13</f>
        <v>0</v>
      </c>
      <c r="P24" s="2">
        <f>'החברה לפיתוח'!P13</f>
        <v>985682.58000000007</v>
      </c>
      <c r="Q24" s="2">
        <f>'החברה לפיתוח'!Q13</f>
        <v>0</v>
      </c>
      <c r="R24" s="2">
        <f>'החברה לפיתוח'!R13</f>
        <v>0</v>
      </c>
      <c r="S24" s="2">
        <f>'החברה לפיתוח'!S13</f>
        <v>0</v>
      </c>
      <c r="T24" s="2">
        <f>'החברה לפיתוח'!T13</f>
        <v>0</v>
      </c>
      <c r="U24" s="2">
        <f>'החברה לפיתוח'!U13</f>
        <v>150000</v>
      </c>
      <c r="V24" s="2">
        <f>'החברה לפיתוח'!V13</f>
        <v>150000</v>
      </c>
      <c r="W24" s="2">
        <f>'החברה לפיתוח'!W13</f>
        <v>0</v>
      </c>
      <c r="X24" s="2">
        <f>'החברה לפיתוח'!X13</f>
        <v>0</v>
      </c>
      <c r="Y24" s="2">
        <f>'החברה לפיתוח'!Y13</f>
        <v>0</v>
      </c>
      <c r="Z24" s="2">
        <f>'החברה לפיתוח'!Z13</f>
        <v>0</v>
      </c>
      <c r="AA24" s="94">
        <f>'החברה לפיתוח'!AA13</f>
        <v>742000</v>
      </c>
    </row>
    <row r="25" spans="1:32" s="3" customFormat="1">
      <c r="A25" s="1">
        <f t="shared" si="3"/>
        <v>16</v>
      </c>
      <c r="B25" s="1">
        <v>1207</v>
      </c>
      <c r="C25" s="1" t="s">
        <v>171</v>
      </c>
      <c r="D25" s="2">
        <f>'החברה לפיתוח'!D14</f>
        <v>50650000</v>
      </c>
      <c r="E25" s="2">
        <f>'החברה לפיתוח'!E14</f>
        <v>32500000</v>
      </c>
      <c r="F25" s="2">
        <f>'החברה לפיתוח'!F14</f>
        <v>18150000</v>
      </c>
      <c r="G25" s="2">
        <f>'החברה לפיתוח'!G14</f>
        <v>21650000</v>
      </c>
      <c r="H25" s="2">
        <f>'החברה לפיתוח'!H14</f>
        <v>17799797.899999999</v>
      </c>
      <c r="I25" s="2">
        <f>'החברה לפיתוח'!I14</f>
        <v>0</v>
      </c>
      <c r="J25" s="2">
        <f>'החברה לפיתוח'!J14</f>
        <v>0</v>
      </c>
      <c r="K25" s="2">
        <f>'החברה לפיתוח'!K14</f>
        <v>0</v>
      </c>
      <c r="L25" s="2">
        <f>'החברה לפיתוח'!L14</f>
        <v>17799797.899999999</v>
      </c>
      <c r="M25" s="2">
        <f>'החברה לפיתוח'!M14</f>
        <v>3850202.1000000015</v>
      </c>
      <c r="N25" s="2">
        <f>'החברה לפיתוח'!N14</f>
        <v>14000000</v>
      </c>
      <c r="O25" s="2">
        <f>'החברה לפיתוח'!O14</f>
        <v>15000000</v>
      </c>
      <c r="P25" s="2">
        <f>'החברה לפיתוח'!P14</f>
        <v>3850202.1000000015</v>
      </c>
      <c r="Q25" s="2">
        <f>'החברה לפיתוח'!Q14</f>
        <v>0</v>
      </c>
      <c r="R25" s="2">
        <f>'החברה לפיתוח'!R14</f>
        <v>0</v>
      </c>
      <c r="S25" s="2">
        <f>'החברה לפיתוח'!S14</f>
        <v>0</v>
      </c>
      <c r="T25" s="2">
        <f>'החברה לפיתוח'!T14</f>
        <v>0</v>
      </c>
      <c r="U25" s="2">
        <f>'החברה לפיתוח'!U14</f>
        <v>14000000</v>
      </c>
      <c r="V25" s="2">
        <f>'החברה לפיתוח'!V14</f>
        <v>14000000</v>
      </c>
      <c r="W25" s="2">
        <f>'החברה לפיתוח'!W14</f>
        <v>0</v>
      </c>
      <c r="X25" s="2">
        <f>'החברה לפיתוח'!X14</f>
        <v>0</v>
      </c>
      <c r="Y25" s="2">
        <f>'החברה לפיתוח'!Y14</f>
        <v>0</v>
      </c>
      <c r="Z25" s="2">
        <f>'החברה לפיתוח'!Z14</f>
        <v>0</v>
      </c>
      <c r="AA25" s="94">
        <f>'החברה לפיתוח'!AA14</f>
        <v>742000</v>
      </c>
      <c r="AB25" s="7"/>
      <c r="AC25" s="7"/>
      <c r="AD25" s="7"/>
      <c r="AE25" s="7"/>
      <c r="AF25" s="7"/>
    </row>
    <row r="26" spans="1:32" s="3" customFormat="1">
      <c r="A26" s="1">
        <f t="shared" si="3"/>
        <v>17</v>
      </c>
      <c r="B26" s="1">
        <v>1238</v>
      </c>
      <c r="C26" s="1" t="s">
        <v>172</v>
      </c>
      <c r="D26" s="2">
        <f>'החברה לפיתוח'!D15</f>
        <v>32940000</v>
      </c>
      <c r="E26" s="2">
        <f>'החברה לפיתוח'!E15</f>
        <v>32940000</v>
      </c>
      <c r="F26" s="2">
        <f>'החברה לפיתוח'!F15</f>
        <v>0</v>
      </c>
      <c r="G26" s="2">
        <f>'החברה לפיתוח'!G15</f>
        <v>26440000</v>
      </c>
      <c r="H26" s="2">
        <f>'החברה לפיתוח'!H15</f>
        <v>24923061.199999999</v>
      </c>
      <c r="I26" s="2">
        <f>'החברה לפיתוח'!I15</f>
        <v>0</v>
      </c>
      <c r="J26" s="2">
        <f>'החברה לפיתוח'!J15</f>
        <v>1151575.6499999999</v>
      </c>
      <c r="K26" s="2">
        <f>'החברה לפיתוח'!K15</f>
        <v>1151575.6499999999</v>
      </c>
      <c r="L26" s="2">
        <f>'החברה לפיתוח'!L15</f>
        <v>26074636.849999998</v>
      </c>
      <c r="M26" s="2">
        <f>'החברה לפיתוח'!M15</f>
        <v>365363.15000000224</v>
      </c>
      <c r="N26" s="2">
        <f>'החברה לפיתוח'!N15</f>
        <v>0</v>
      </c>
      <c r="O26" s="2">
        <f>'החברה לפיתוח'!O15</f>
        <v>6500000</v>
      </c>
      <c r="P26" s="2">
        <f>'החברה לפיתוח'!P15</f>
        <v>365363.15000000224</v>
      </c>
      <c r="Q26" s="2">
        <f>'החברה לפיתוח'!Q15</f>
        <v>0</v>
      </c>
      <c r="R26" s="2">
        <f>'החברה לפיתוח'!R15</f>
        <v>0</v>
      </c>
      <c r="S26" s="2">
        <f>'החברה לפיתוח'!S15</f>
        <v>0</v>
      </c>
      <c r="T26" s="2">
        <f>'החברה לפיתוח'!T15</f>
        <v>0</v>
      </c>
      <c r="U26" s="2">
        <f>'החברה לפיתוח'!U15</f>
        <v>0</v>
      </c>
      <c r="V26" s="2">
        <f>'החברה לפיתוח'!V15</f>
        <v>0</v>
      </c>
      <c r="W26" s="2">
        <f>'החברה לפיתוח'!W15</f>
        <v>0</v>
      </c>
      <c r="X26" s="2">
        <f>'החברה לפיתוח'!X15</f>
        <v>0</v>
      </c>
      <c r="Y26" s="2">
        <f>'החברה לפיתוח'!Y15</f>
        <v>0</v>
      </c>
      <c r="Z26" s="2">
        <f>'החברה לפיתוח'!Z15</f>
        <v>0</v>
      </c>
      <c r="AA26" s="94">
        <f>'החברה לפיתוח'!AA15</f>
        <v>742000</v>
      </c>
      <c r="AB26" s="7"/>
      <c r="AC26" s="7"/>
      <c r="AD26" s="7"/>
      <c r="AE26" s="7"/>
      <c r="AF26" s="7"/>
    </row>
    <row r="27" spans="1:32" s="3" customFormat="1">
      <c r="A27" s="1">
        <f t="shared" si="3"/>
        <v>18</v>
      </c>
      <c r="B27" s="1">
        <v>1298</v>
      </c>
      <c r="C27" s="1" t="s">
        <v>45</v>
      </c>
      <c r="D27" s="2">
        <f>'החברה לפיתוח'!D16</f>
        <v>4100000</v>
      </c>
      <c r="E27" s="2">
        <f>'החברה לפיתוח'!E16</f>
        <v>3600000</v>
      </c>
      <c r="F27" s="2">
        <f>'החברה לפיתוח'!F16</f>
        <v>500000</v>
      </c>
      <c r="G27" s="2">
        <f>'החברה לפיתוח'!G16</f>
        <v>3600000</v>
      </c>
      <c r="H27" s="2">
        <f>'החברה לפיתוח'!H16</f>
        <v>2954710.87</v>
      </c>
      <c r="I27" s="2">
        <f>'החברה לפיתוח'!I16</f>
        <v>0</v>
      </c>
      <c r="J27" s="2">
        <f>'החברה לפיתוח'!J16</f>
        <v>130265.74</v>
      </c>
      <c r="K27" s="2">
        <f>'החברה לפיתוח'!K16</f>
        <v>130265.74</v>
      </c>
      <c r="L27" s="2">
        <f>'החברה לפיתוח'!L16</f>
        <v>3084976.6100000003</v>
      </c>
      <c r="M27" s="2">
        <f>'החברה לפיתוח'!M16</f>
        <v>515023.38999999966</v>
      </c>
      <c r="N27" s="2">
        <f>'החברה לפיתוח'!N16</f>
        <v>500000</v>
      </c>
      <c r="O27" s="2">
        <f>'החברה לפיתוח'!O16</f>
        <v>0</v>
      </c>
      <c r="P27" s="2">
        <f>'החברה לפיתוח'!P16</f>
        <v>515023.38999999966</v>
      </c>
      <c r="Q27" s="2">
        <f>'החברה לפיתוח'!Q16</f>
        <v>0</v>
      </c>
      <c r="R27" s="2">
        <f>'החברה לפיתוח'!R16</f>
        <v>0</v>
      </c>
      <c r="S27" s="2">
        <f>'החברה לפיתוח'!S16</f>
        <v>0</v>
      </c>
      <c r="T27" s="2">
        <f>'החברה לפיתוח'!T16</f>
        <v>0</v>
      </c>
      <c r="U27" s="2">
        <f>'החברה לפיתוח'!U16</f>
        <v>500000</v>
      </c>
      <c r="V27" s="2">
        <f>'החברה לפיתוח'!V16</f>
        <v>500000</v>
      </c>
      <c r="W27" s="2">
        <f>'החברה לפיתוח'!W16</f>
        <v>0</v>
      </c>
      <c r="X27" s="2">
        <f>'החברה לפיתוח'!X16</f>
        <v>0</v>
      </c>
      <c r="Y27" s="2">
        <f>'החברה לפיתוח'!Y16</f>
        <v>0</v>
      </c>
      <c r="Z27" s="2">
        <f>'החברה לפיתוח'!Z16</f>
        <v>0</v>
      </c>
      <c r="AA27" s="94">
        <f>'החברה לפיתוח'!AA16</f>
        <v>742000</v>
      </c>
      <c r="AB27" s="7"/>
      <c r="AC27" s="7"/>
      <c r="AD27" s="7"/>
      <c r="AE27" s="7"/>
      <c r="AF27" s="7"/>
    </row>
    <row r="28" spans="1:32" s="3" customFormat="1">
      <c r="A28" s="1">
        <f t="shared" si="3"/>
        <v>19</v>
      </c>
      <c r="B28" s="1">
        <v>1375</v>
      </c>
      <c r="C28" s="1" t="s">
        <v>173</v>
      </c>
      <c r="D28" s="2">
        <f>'החברה לפיתוח'!D18</f>
        <v>39800000</v>
      </c>
      <c r="E28" s="2">
        <f>'החברה לפיתוח'!E18</f>
        <v>39800000</v>
      </c>
      <c r="F28" s="2">
        <f>'החברה לפיתוח'!F18</f>
        <v>0</v>
      </c>
      <c r="G28" s="2">
        <f>'החברה לפיתוח'!G18</f>
        <v>28950000</v>
      </c>
      <c r="H28" s="2">
        <f>'החברה לפיתוח'!H18</f>
        <v>26650448.710000001</v>
      </c>
      <c r="I28" s="2">
        <f>'החברה לפיתוח'!I18</f>
        <v>0</v>
      </c>
      <c r="J28" s="2">
        <f>'החברה לפיתוח'!J18</f>
        <v>903370.19</v>
      </c>
      <c r="K28" s="2">
        <f>'החברה לפיתוח'!K18</f>
        <v>903370.19</v>
      </c>
      <c r="L28" s="2">
        <f>'החברה לפיתוח'!L18</f>
        <v>27553818.900000002</v>
      </c>
      <c r="M28" s="2">
        <f>'החברה לפיתוח'!M18</f>
        <v>1946181.0999999978</v>
      </c>
      <c r="N28" s="2">
        <f>'החברה לפיתוח'!N18</f>
        <v>0</v>
      </c>
      <c r="O28" s="2">
        <f>'החברה לפיתוח'!O18</f>
        <v>10300000</v>
      </c>
      <c r="P28" s="2">
        <f>'החברה לפיתוח'!P18</f>
        <v>1396181.0999999978</v>
      </c>
      <c r="Q28" s="2">
        <f>'החברה לפיתוח'!Q18</f>
        <v>550000</v>
      </c>
      <c r="R28" s="2">
        <f>'החברה לפיתוח'!R18</f>
        <v>0</v>
      </c>
      <c r="S28" s="2">
        <f>'החברה לפיתוח'!S18</f>
        <v>550000</v>
      </c>
      <c r="T28" s="2">
        <f>'החברה לפיתוח'!T18</f>
        <v>0</v>
      </c>
      <c r="U28" s="2">
        <f>'החברה לפיתוח'!U18</f>
        <v>0</v>
      </c>
      <c r="V28" s="2">
        <f>'החברה לפיתוח'!V18</f>
        <v>0</v>
      </c>
      <c r="W28" s="2">
        <f>'החברה לפיתוח'!W18</f>
        <v>0</v>
      </c>
      <c r="X28" s="2">
        <f>'החברה לפיתוח'!X18</f>
        <v>0</v>
      </c>
      <c r="Y28" s="2">
        <f>'החברה לפיתוח'!Y18</f>
        <v>0</v>
      </c>
      <c r="Z28" s="2">
        <f>'החברה לפיתוח'!Z18</f>
        <v>0</v>
      </c>
      <c r="AA28" s="94">
        <f>'החברה לפיתוח'!AA18</f>
        <v>747000</v>
      </c>
    </row>
    <row r="29" spans="1:32" s="3" customFormat="1">
      <c r="A29" s="1">
        <f t="shared" si="3"/>
        <v>20</v>
      </c>
      <c r="B29" s="1">
        <v>1443</v>
      </c>
      <c r="C29" s="1" t="s">
        <v>176</v>
      </c>
      <c r="D29" s="2">
        <f>'החברה לפיתוח'!D22</f>
        <v>78500000</v>
      </c>
      <c r="E29" s="2">
        <f>'החברה לפיתוח'!E22</f>
        <v>78500000</v>
      </c>
      <c r="F29" s="2">
        <f>'החברה לפיתוח'!F22</f>
        <v>0</v>
      </c>
      <c r="G29" s="2">
        <f>'החברה לפיתוח'!G22</f>
        <v>50840000</v>
      </c>
      <c r="H29" s="2">
        <f>'החברה לפיתוח'!H22</f>
        <v>50824299</v>
      </c>
      <c r="I29" s="2">
        <f>'החברה לפיתוח'!I22</f>
        <v>0</v>
      </c>
      <c r="J29" s="2">
        <f>'החברה לפיתוח'!J22</f>
        <v>0</v>
      </c>
      <c r="K29" s="2">
        <f>'החברה לפיתוח'!K22</f>
        <v>0</v>
      </c>
      <c r="L29" s="2">
        <f>'החברה לפיתוח'!L22</f>
        <v>50824299</v>
      </c>
      <c r="M29" s="2">
        <f>'החברה לפיתוח'!M22</f>
        <v>15701</v>
      </c>
      <c r="N29" s="2">
        <f>'החברה לפיתוח'!N22</f>
        <v>0</v>
      </c>
      <c r="O29" s="2">
        <f>'החברה לפיתוח'!O22</f>
        <v>27660000</v>
      </c>
      <c r="P29" s="2">
        <f>'החברה לפיתוח'!P22</f>
        <v>15701</v>
      </c>
      <c r="Q29" s="2">
        <f>'החברה לפיתוח'!Q22</f>
        <v>0</v>
      </c>
      <c r="R29" s="2">
        <f>'החברה לפיתוח'!R22</f>
        <v>0</v>
      </c>
      <c r="S29" s="2">
        <f>'החברה לפיתוח'!S22</f>
        <v>0</v>
      </c>
      <c r="T29" s="2">
        <f>'החברה לפיתוח'!T22</f>
        <v>0</v>
      </c>
      <c r="U29" s="2">
        <f>'החברה לפיתוח'!U22</f>
        <v>0</v>
      </c>
      <c r="V29" s="2">
        <f>'החברה לפיתוח'!V22</f>
        <v>0</v>
      </c>
      <c r="W29" s="2">
        <f>'החברה לפיתוח'!W22</f>
        <v>0</v>
      </c>
      <c r="X29" s="2">
        <f>'החברה לפיתוח'!X22</f>
        <v>0</v>
      </c>
      <c r="Y29" s="2">
        <f>'החברה לפיתוח'!Y22</f>
        <v>0</v>
      </c>
      <c r="Z29" s="2">
        <f>'החברה לפיתוח'!Z22</f>
        <v>0</v>
      </c>
      <c r="AA29" s="94">
        <f>'החברה לפיתוח'!AA22</f>
        <v>749000</v>
      </c>
    </row>
    <row r="30" spans="1:32" s="3" customFormat="1">
      <c r="A30" s="1">
        <f t="shared" si="3"/>
        <v>21</v>
      </c>
      <c r="B30" s="1">
        <v>1446</v>
      </c>
      <c r="C30" s="1" t="s">
        <v>426</v>
      </c>
      <c r="D30" s="2">
        <f>'החברה לפיתוח'!D23</f>
        <v>14250000</v>
      </c>
      <c r="E30" s="2">
        <f>'החברה לפיתוח'!E23</f>
        <v>14250000</v>
      </c>
      <c r="F30" s="2">
        <f>'החברה לפיתוח'!F23</f>
        <v>0</v>
      </c>
      <c r="G30" s="2">
        <f>'החברה לפיתוח'!G23</f>
        <v>5000000</v>
      </c>
      <c r="H30" s="2">
        <f>'החברה לפיתוח'!H23</f>
        <v>2758381.42</v>
      </c>
      <c r="I30" s="2">
        <f>'החברה לפיתוח'!I23</f>
        <v>1.1599999999999999</v>
      </c>
      <c r="J30" s="2">
        <f>'החברה לפיתוח'!J23</f>
        <v>2142767.17</v>
      </c>
      <c r="K30" s="2">
        <f>'החברה לפיתוח'!K23</f>
        <v>2142768.33</v>
      </c>
      <c r="L30" s="2">
        <f>'החברה לפיתוח'!L23</f>
        <v>4901149.75</v>
      </c>
      <c r="M30" s="2">
        <f>'החברה לפיתוח'!M23</f>
        <v>98850.25</v>
      </c>
      <c r="N30" s="2">
        <f>'החברה לפיתוח'!N23</f>
        <v>3000000</v>
      </c>
      <c r="O30" s="2">
        <f>'החברה לפיתוח'!O23</f>
        <v>6250000</v>
      </c>
      <c r="P30" s="2">
        <f>'החברה לפיתוח'!P23</f>
        <v>98850.25</v>
      </c>
      <c r="Q30" s="2">
        <f>'החברה לפיתוח'!Q23</f>
        <v>0</v>
      </c>
      <c r="R30" s="2">
        <f>'החברה לפיתוח'!R23</f>
        <v>0</v>
      </c>
      <c r="S30" s="2">
        <f>'החברה לפיתוח'!S23</f>
        <v>0</v>
      </c>
      <c r="T30" s="2">
        <f>'החברה לפיתוח'!T23</f>
        <v>0</v>
      </c>
      <c r="U30" s="2">
        <f>'החברה לפיתוח'!U23</f>
        <v>3000000</v>
      </c>
      <c r="V30" s="2">
        <f>'החברה לפיתוח'!V23</f>
        <v>3000000</v>
      </c>
      <c r="W30" s="2">
        <f>'החברה לפיתוח'!W23</f>
        <v>0</v>
      </c>
      <c r="X30" s="2">
        <f>'החברה לפיתוח'!X23</f>
        <v>0</v>
      </c>
      <c r="Y30" s="2">
        <f>'החברה לפיתוח'!Y23</f>
        <v>0</v>
      </c>
      <c r="Z30" s="2">
        <f>'החברה לפיתוח'!Z23</f>
        <v>0</v>
      </c>
      <c r="AA30" s="94">
        <f>'החברה לפיתוח'!AA23</f>
        <v>742000</v>
      </c>
    </row>
    <row r="31" spans="1:32" s="3" customFormat="1">
      <c r="A31" s="1">
        <f t="shared" si="3"/>
        <v>22</v>
      </c>
      <c r="B31" s="1">
        <v>1455</v>
      </c>
      <c r="C31" s="1" t="s">
        <v>50</v>
      </c>
      <c r="D31" s="2">
        <f>'החברה לפיתוח'!D25</f>
        <v>4500000</v>
      </c>
      <c r="E31" s="2">
        <f>'החברה לפיתוח'!E25</f>
        <v>4500000</v>
      </c>
      <c r="F31" s="2">
        <f>'החברה לפיתוח'!F25</f>
        <v>0</v>
      </c>
      <c r="G31" s="2">
        <f>'החברה לפיתוח'!G25</f>
        <v>4500000</v>
      </c>
      <c r="H31" s="2">
        <f>'החברה לפיתוח'!H25</f>
        <v>1012824.7</v>
      </c>
      <c r="I31" s="2">
        <f>'החברה לפיתוח'!I25</f>
        <v>0</v>
      </c>
      <c r="J31" s="2">
        <f>'החברה לפיתוח'!J25</f>
        <v>3358103.86</v>
      </c>
      <c r="K31" s="2">
        <f>'החברה לפיתוח'!K25</f>
        <v>3358103.86</v>
      </c>
      <c r="L31" s="2">
        <f>'החברה לפיתוח'!L25</f>
        <v>4370928.5599999996</v>
      </c>
      <c r="M31" s="2">
        <f>'החברה לפיתוח'!M25</f>
        <v>129071.44000000041</v>
      </c>
      <c r="N31" s="2">
        <f>'החברה לפיתוח'!N25</f>
        <v>0</v>
      </c>
      <c r="O31" s="2">
        <f>'החברה לפיתוח'!O25</f>
        <v>0</v>
      </c>
      <c r="P31" s="2">
        <f>'החברה לפיתוח'!P25</f>
        <v>129071.44000000041</v>
      </c>
      <c r="Q31" s="2">
        <f>'החברה לפיתוח'!Q25</f>
        <v>0</v>
      </c>
      <c r="R31" s="2">
        <f>'החברה לפיתוח'!R25</f>
        <v>0</v>
      </c>
      <c r="S31" s="2">
        <f>'החברה לפיתוח'!S25</f>
        <v>0</v>
      </c>
      <c r="T31" s="2">
        <f>'החברה לפיתוח'!T25</f>
        <v>0</v>
      </c>
      <c r="U31" s="2">
        <f>'החברה לפיתוח'!U25</f>
        <v>0</v>
      </c>
      <c r="V31" s="2">
        <f>'החברה לפיתוח'!V25</f>
        <v>0</v>
      </c>
      <c r="W31" s="2">
        <f>'החברה לפיתוח'!W25</f>
        <v>0</v>
      </c>
      <c r="X31" s="2">
        <f>'החברה לפיתוח'!X25</f>
        <v>0</v>
      </c>
      <c r="Y31" s="2">
        <f>'החברה לפיתוח'!Y25</f>
        <v>0</v>
      </c>
      <c r="Z31" s="2">
        <f>'החברה לפיתוח'!Z25</f>
        <v>0</v>
      </c>
      <c r="AA31" s="94">
        <f>'החברה לפיתוח'!AA25</f>
        <v>742000</v>
      </c>
    </row>
    <row r="32" spans="1:32" s="7" customFormat="1">
      <c r="A32" s="1">
        <f t="shared" si="3"/>
        <v>23</v>
      </c>
      <c r="B32" s="1">
        <v>1462</v>
      </c>
      <c r="C32" s="1" t="s">
        <v>964</v>
      </c>
      <c r="D32" s="2">
        <f>'החברה לפיתוח'!D26</f>
        <v>7500000</v>
      </c>
      <c r="E32" s="2">
        <f>'החברה לפיתוח'!E26</f>
        <v>7500000</v>
      </c>
      <c r="F32" s="2">
        <f>'החברה לפיתוח'!F26</f>
        <v>0</v>
      </c>
      <c r="G32" s="2">
        <f>'החברה לפיתוח'!G26</f>
        <v>4600000</v>
      </c>
      <c r="H32" s="2">
        <f>'החברה לפיתוח'!H26</f>
        <v>159320.70000000001</v>
      </c>
      <c r="I32" s="2">
        <f>'החברה לפיתוח'!I26</f>
        <v>0</v>
      </c>
      <c r="J32" s="2">
        <f>'החברה לפיתוח'!J26</f>
        <v>225442.01</v>
      </c>
      <c r="K32" s="2">
        <f>'החברה לפיתוח'!K26</f>
        <v>225442.01</v>
      </c>
      <c r="L32" s="2">
        <f>'החברה לפיתוח'!L26</f>
        <v>384762.71</v>
      </c>
      <c r="M32" s="2">
        <f>'החברה לפיתוח'!M26</f>
        <v>4215237.29</v>
      </c>
      <c r="N32" s="2">
        <f>'החברה לפיתוח'!N26</f>
        <v>2900000</v>
      </c>
      <c r="O32" s="2">
        <f>'החברה לפיתוח'!O26</f>
        <v>0</v>
      </c>
      <c r="P32" s="2">
        <f>'החברה לפיתוח'!P26</f>
        <v>4215237.29</v>
      </c>
      <c r="Q32" s="2">
        <f>'החברה לפיתוח'!Q26</f>
        <v>0</v>
      </c>
      <c r="R32" s="2">
        <f>'החברה לפיתוח'!R26</f>
        <v>0</v>
      </c>
      <c r="S32" s="2">
        <f>'החברה לפיתוח'!S26</f>
        <v>0</v>
      </c>
      <c r="T32" s="2">
        <f>'החברה לפיתוח'!T26</f>
        <v>0</v>
      </c>
      <c r="U32" s="2">
        <f>'החברה לפיתוח'!U26</f>
        <v>2900000</v>
      </c>
      <c r="V32" s="2">
        <f>'החברה לפיתוח'!V26</f>
        <v>2900000</v>
      </c>
      <c r="W32" s="2">
        <f>'החברה לפיתוח'!W26</f>
        <v>0</v>
      </c>
      <c r="X32" s="2">
        <f>'החברה לפיתוח'!X26</f>
        <v>0</v>
      </c>
      <c r="Y32" s="2">
        <f>'החברה לפיתוח'!Y26</f>
        <v>0</v>
      </c>
      <c r="Z32" s="2">
        <f>'החברה לפיתוח'!Z26</f>
        <v>0</v>
      </c>
      <c r="AA32" s="94">
        <f>'החברה לפיתוח'!AA26</f>
        <v>742000</v>
      </c>
      <c r="AB32" s="3"/>
      <c r="AC32" s="3"/>
      <c r="AD32" s="3"/>
      <c r="AE32" s="3"/>
      <c r="AF32" s="3"/>
    </row>
    <row r="33" spans="1:32" s="7" customFormat="1">
      <c r="A33" s="1">
        <f t="shared" si="3"/>
        <v>24</v>
      </c>
      <c r="B33" s="1">
        <v>1539</v>
      </c>
      <c r="C33" s="1" t="s">
        <v>52</v>
      </c>
      <c r="D33" s="2">
        <f>'החברה לפיתוח'!D27</f>
        <v>16300000</v>
      </c>
      <c r="E33" s="2">
        <f>'החברה לפיתוח'!E27</f>
        <v>16300000</v>
      </c>
      <c r="F33" s="2">
        <f>'החברה לפיתוח'!F27</f>
        <v>0</v>
      </c>
      <c r="G33" s="2">
        <f>'החברה לפיתוח'!G27</f>
        <v>11240068</v>
      </c>
      <c r="H33" s="2">
        <f>'החברה לפיתוח'!H27</f>
        <v>790924.97</v>
      </c>
      <c r="I33" s="2">
        <f>'החברה לפיתוח'!I27</f>
        <v>54264.4</v>
      </c>
      <c r="J33" s="2">
        <f>'החברה לפיתוח'!J27</f>
        <v>2809223.31</v>
      </c>
      <c r="K33" s="2">
        <f>'החברה לפיתוח'!K27</f>
        <v>2863487.71</v>
      </c>
      <c r="L33" s="2">
        <f>'החברה לפיתוח'!L27</f>
        <v>3654412.6799999997</v>
      </c>
      <c r="M33" s="2">
        <f>'החברה לפיתוח'!M27</f>
        <v>7585655.3200000003</v>
      </c>
      <c r="N33" s="2">
        <f>'החברה לפיתוח'!N27</f>
        <v>5059932</v>
      </c>
      <c r="O33" s="2">
        <f>'החברה לפיתוח'!O27</f>
        <v>0</v>
      </c>
      <c r="P33" s="2">
        <f>'החברה לפיתוח'!P27</f>
        <v>7585655.3200000003</v>
      </c>
      <c r="Q33" s="2">
        <f>'החברה לפיתוח'!Q27</f>
        <v>0</v>
      </c>
      <c r="R33" s="2">
        <f>'החברה לפיתוח'!R27</f>
        <v>0</v>
      </c>
      <c r="S33" s="2">
        <f>'החברה לפיתוח'!S27</f>
        <v>0</v>
      </c>
      <c r="T33" s="2">
        <f>'החברה לפיתוח'!T27</f>
        <v>0</v>
      </c>
      <c r="U33" s="2">
        <f>'החברה לפיתוח'!U27</f>
        <v>5059932</v>
      </c>
      <c r="V33" s="2">
        <f>'החברה לפיתוח'!V27</f>
        <v>5059932</v>
      </c>
      <c r="W33" s="2">
        <f>'החברה לפיתוח'!W27</f>
        <v>0</v>
      </c>
      <c r="X33" s="2">
        <f>'החברה לפיתוח'!X27</f>
        <v>0</v>
      </c>
      <c r="Y33" s="2">
        <f>'החברה לפיתוח'!Y27</f>
        <v>0</v>
      </c>
      <c r="Z33" s="2">
        <f>'החברה לפיתוח'!Z27</f>
        <v>0</v>
      </c>
      <c r="AA33" s="94">
        <f>'החברה לפיתוח'!AA27</f>
        <v>742000</v>
      </c>
      <c r="AB33" s="3"/>
      <c r="AC33" s="3"/>
      <c r="AD33" s="3"/>
      <c r="AE33" s="3"/>
      <c r="AF33" s="3"/>
    </row>
    <row r="34" spans="1:32" s="3" customFormat="1">
      <c r="A34" s="1">
        <f t="shared" si="3"/>
        <v>25</v>
      </c>
      <c r="B34" s="1">
        <v>1547</v>
      </c>
      <c r="C34" s="1" t="s">
        <v>216</v>
      </c>
      <c r="D34" s="2">
        <f>'החברה לפיתוח'!D97</f>
        <v>144000000</v>
      </c>
      <c r="E34" s="2">
        <f>'החברה לפיתוח'!E97</f>
        <v>131000000</v>
      </c>
      <c r="F34" s="2">
        <f>'החברה לפיתוח'!F97</f>
        <v>13000000</v>
      </c>
      <c r="G34" s="2">
        <f>'החברה לפיתוח'!G97</f>
        <v>58300000</v>
      </c>
      <c r="H34" s="2">
        <f>'החברה לפיתוח'!H97</f>
        <v>35755044.460000001</v>
      </c>
      <c r="I34" s="2">
        <f>'החברה לפיתוח'!I97</f>
        <v>1105773.8600000001</v>
      </c>
      <c r="J34" s="2">
        <f>'החברה לפיתוח'!J97</f>
        <v>5855596.3300000001</v>
      </c>
      <c r="K34" s="2">
        <f>'החברה לפיתוח'!K97</f>
        <v>6961370.1900000004</v>
      </c>
      <c r="L34" s="2">
        <f>'החברה לפיתוח'!L97</f>
        <v>42716414.649999999</v>
      </c>
      <c r="M34" s="2">
        <f>'החברה לפיתוח'!M97</f>
        <v>25583585.350000001</v>
      </c>
      <c r="N34" s="2">
        <f>'החברה לפיתוח'!N97</f>
        <v>42700000</v>
      </c>
      <c r="O34" s="2">
        <f>'החברה לפיתוח'!O97</f>
        <v>33000000</v>
      </c>
      <c r="P34" s="2">
        <f>'החברה לפיתוח'!P97</f>
        <v>15583585.350000001</v>
      </c>
      <c r="Q34" s="2">
        <f>'החברה לפיתוח'!Q97</f>
        <v>10000000</v>
      </c>
      <c r="R34" s="2">
        <f>'החברה לפיתוח'!R97</f>
        <v>0</v>
      </c>
      <c r="S34" s="2">
        <f>'החברה לפיתוח'!S97</f>
        <v>10000000</v>
      </c>
      <c r="T34" s="2">
        <f>'החברה לפיתוח'!T97</f>
        <v>0</v>
      </c>
      <c r="U34" s="2">
        <f>'החברה לפיתוח'!U97</f>
        <v>42700000</v>
      </c>
      <c r="V34" s="2">
        <f>'החברה לפיתוח'!V97</f>
        <v>0</v>
      </c>
      <c r="W34" s="2">
        <f>'החברה לפיתוח'!W97</f>
        <v>0</v>
      </c>
      <c r="X34" s="2">
        <f>'החברה לפיתוח'!X97</f>
        <v>0</v>
      </c>
      <c r="Y34" s="2">
        <f>'החברה לפיתוח'!Y97</f>
        <v>21700000</v>
      </c>
      <c r="Z34" s="2">
        <f>'החברה לפיתוח'!Z97</f>
        <v>21000000</v>
      </c>
      <c r="AA34" s="94">
        <f>'החברה לפיתוח'!AA97</f>
        <v>742000</v>
      </c>
      <c r="AD34" s="43"/>
    </row>
    <row r="35" spans="1:32" s="3" customFormat="1">
      <c r="A35" s="1">
        <f t="shared" si="3"/>
        <v>26</v>
      </c>
      <c r="B35" s="1">
        <v>1588</v>
      </c>
      <c r="C35" s="1" t="s">
        <v>36</v>
      </c>
      <c r="D35" s="2">
        <f>'החברה לפיתוח'!D30</f>
        <v>50500000</v>
      </c>
      <c r="E35" s="2">
        <f>'החברה לפיתוח'!E30</f>
        <v>50500000</v>
      </c>
      <c r="F35" s="2">
        <f>'החברה לפיתוח'!F30</f>
        <v>0</v>
      </c>
      <c r="G35" s="2">
        <f>'החברה לפיתוח'!G30</f>
        <v>3000000</v>
      </c>
      <c r="H35" s="2">
        <f>'החברה לפיתוח'!H30</f>
        <v>1089361.1299999999</v>
      </c>
      <c r="I35" s="2">
        <f>'החברה לפיתוח'!I30</f>
        <v>801012.77</v>
      </c>
      <c r="J35" s="2">
        <f>'החברה לפיתוח'!J30</f>
        <v>480123.9</v>
      </c>
      <c r="K35" s="2">
        <f>'החברה לפיתוח'!K30</f>
        <v>1281136.67</v>
      </c>
      <c r="L35" s="2">
        <f>'החברה לפיתוח'!L30</f>
        <v>2370497.7999999998</v>
      </c>
      <c r="M35" s="2">
        <f>'החברה לפיתוח'!M30</f>
        <v>5629502.2000000002</v>
      </c>
      <c r="N35" s="2">
        <f>'החברה לפיתוח'!N30</f>
        <v>5000000</v>
      </c>
      <c r="O35" s="2">
        <f>'החברה לפיתוח'!O30</f>
        <v>37500000</v>
      </c>
      <c r="P35" s="2">
        <f>'החברה לפיתוח'!P30</f>
        <v>629502.20000000019</v>
      </c>
      <c r="Q35" s="2">
        <f>'החברה לפיתוח'!Q30</f>
        <v>5000000</v>
      </c>
      <c r="R35" s="2">
        <f>'החברה לפיתוח'!R30</f>
        <v>0</v>
      </c>
      <c r="S35" s="2">
        <f>'החברה לפיתוח'!S30</f>
        <v>5000000</v>
      </c>
      <c r="T35" s="2">
        <f>'החברה לפיתוח'!T30</f>
        <v>0</v>
      </c>
      <c r="U35" s="2">
        <f>'החברה לפיתוח'!U30</f>
        <v>5000000</v>
      </c>
      <c r="V35" s="2">
        <f>'החברה לפיתוח'!V30</f>
        <v>5000000</v>
      </c>
      <c r="W35" s="2">
        <f>'החברה לפיתוח'!W30</f>
        <v>0</v>
      </c>
      <c r="X35" s="2">
        <f>'החברה לפיתוח'!X30</f>
        <v>0</v>
      </c>
      <c r="Y35" s="2">
        <f>'החברה לפיתוח'!Y30</f>
        <v>0</v>
      </c>
      <c r="Z35" s="2">
        <f>'החברה לפיתוח'!Z30</f>
        <v>0</v>
      </c>
      <c r="AA35" s="94">
        <f>'החברה לפיתוח'!AA30</f>
        <v>742000</v>
      </c>
    </row>
    <row r="36" spans="1:32" s="3" customFormat="1">
      <c r="A36" s="1">
        <f t="shared" si="3"/>
        <v>27</v>
      </c>
      <c r="B36" s="1">
        <v>1614</v>
      </c>
      <c r="C36" s="1" t="s">
        <v>1060</v>
      </c>
      <c r="D36" s="2">
        <f>'החברה לפיתוח'!D31</f>
        <v>7200000</v>
      </c>
      <c r="E36" s="2">
        <f>'החברה לפיתוח'!E31</f>
        <v>7200000</v>
      </c>
      <c r="F36" s="2">
        <f>'החברה לפיתוח'!F31</f>
        <v>0</v>
      </c>
      <c r="G36" s="2">
        <f>'החברה לפיתוח'!G31</f>
        <v>500000</v>
      </c>
      <c r="H36" s="2">
        <f>'החברה לפיתוח'!H31</f>
        <v>89237</v>
      </c>
      <c r="I36" s="2">
        <f>'החברה לפיתוח'!I31</f>
        <v>4790.92</v>
      </c>
      <c r="J36" s="2">
        <f>'החברה לפיתוח'!J31</f>
        <v>81227.210000000006</v>
      </c>
      <c r="K36" s="2">
        <f>'החברה לפיתוח'!K31</f>
        <v>86018.13</v>
      </c>
      <c r="L36" s="2">
        <f>'החברה לפיתוח'!L31</f>
        <v>175255.13</v>
      </c>
      <c r="M36" s="2">
        <f>'החברה לפיתוח'!M31</f>
        <v>324744.87</v>
      </c>
      <c r="N36" s="2">
        <f>'החברה לפיתוח'!N31</f>
        <v>5700000</v>
      </c>
      <c r="O36" s="2">
        <f>'החברה לפיתוח'!O31</f>
        <v>1000000</v>
      </c>
      <c r="P36" s="2">
        <f>'החברה לפיתוח'!P31</f>
        <v>324744.87</v>
      </c>
      <c r="Q36" s="2">
        <f>'החברה לפיתוח'!Q31</f>
        <v>0</v>
      </c>
      <c r="R36" s="2">
        <f>'החברה לפיתוח'!R31</f>
        <v>0</v>
      </c>
      <c r="S36" s="2">
        <f>'החברה לפיתוח'!S31</f>
        <v>0</v>
      </c>
      <c r="T36" s="2">
        <f>'החברה לפיתוח'!T31</f>
        <v>0</v>
      </c>
      <c r="U36" s="2">
        <f>'החברה לפיתוח'!U31</f>
        <v>5700000</v>
      </c>
      <c r="V36" s="2">
        <f>'החברה לפיתוח'!V31</f>
        <v>5700000</v>
      </c>
      <c r="W36" s="2">
        <f>'החברה לפיתוח'!W31</f>
        <v>0</v>
      </c>
      <c r="X36" s="2">
        <f>'החברה לפיתוח'!X31</f>
        <v>0</v>
      </c>
      <c r="Y36" s="2">
        <f>'החברה לפיתוח'!Y31</f>
        <v>0</v>
      </c>
      <c r="Z36" s="2">
        <f>'החברה לפיתוח'!Z31</f>
        <v>0</v>
      </c>
      <c r="AA36" s="94">
        <f>'החברה לפיתוח'!AA31</f>
        <v>742000</v>
      </c>
    </row>
    <row r="37" spans="1:32" s="3" customFormat="1">
      <c r="A37" s="1">
        <f t="shared" si="3"/>
        <v>28</v>
      </c>
      <c r="B37" s="1">
        <v>1615</v>
      </c>
      <c r="C37" s="1" t="s">
        <v>258</v>
      </c>
      <c r="D37" s="2">
        <f>'החברה לפיתוח'!D32</f>
        <v>27700000</v>
      </c>
      <c r="E37" s="2">
        <f>'החברה לפיתוח'!E32</f>
        <v>27700000</v>
      </c>
      <c r="F37" s="2">
        <f>'החברה לפיתוח'!F32</f>
        <v>0</v>
      </c>
      <c r="G37" s="2">
        <f>'החברה לפיתוח'!G32</f>
        <v>13200000</v>
      </c>
      <c r="H37" s="2">
        <f>'החברה לפיתוח'!H32</f>
        <v>847470.96</v>
      </c>
      <c r="I37" s="2">
        <f>'החברה לפיתוח'!I32</f>
        <v>20762.150000000001</v>
      </c>
      <c r="J37" s="2">
        <f>'החברה לפיתוח'!J32</f>
        <v>1484605.93</v>
      </c>
      <c r="K37" s="2">
        <f>'החברה לפיתוח'!K32</f>
        <v>1505368.0799999998</v>
      </c>
      <c r="L37" s="2">
        <f>'החברה לפיתוח'!L32</f>
        <v>2352839.04</v>
      </c>
      <c r="M37" s="2">
        <f>'החברה לפיתוח'!M32</f>
        <v>10847160.960000001</v>
      </c>
      <c r="N37" s="2">
        <f>'החברה לפיתוח'!N32</f>
        <v>7000000</v>
      </c>
      <c r="O37" s="2">
        <f>'החברה לפיתוח'!O32</f>
        <v>7500000</v>
      </c>
      <c r="P37" s="2">
        <f>'החברה לפיתוח'!P32</f>
        <v>10847160.960000001</v>
      </c>
      <c r="Q37" s="2">
        <f>'החברה לפיתוח'!Q32</f>
        <v>0</v>
      </c>
      <c r="R37" s="2">
        <f>'החברה לפיתוח'!R32</f>
        <v>0</v>
      </c>
      <c r="S37" s="2">
        <f>'החברה לפיתוח'!S32</f>
        <v>0</v>
      </c>
      <c r="T37" s="2">
        <f>'החברה לפיתוח'!T32</f>
        <v>0</v>
      </c>
      <c r="U37" s="2">
        <f>'החברה לפיתוח'!U32</f>
        <v>7000000</v>
      </c>
      <c r="V37" s="2">
        <f>'החברה לפיתוח'!V32</f>
        <v>7000000</v>
      </c>
      <c r="W37" s="2">
        <f>'החברה לפיתוח'!W32</f>
        <v>0</v>
      </c>
      <c r="X37" s="2">
        <f>'החברה לפיתוח'!X32</f>
        <v>0</v>
      </c>
      <c r="Y37" s="2">
        <f>'החברה לפיתוח'!Y32</f>
        <v>0</v>
      </c>
      <c r="Z37" s="2">
        <f>'החברה לפיתוח'!Z32</f>
        <v>0</v>
      </c>
      <c r="AA37" s="94">
        <f>'החברה לפיתוח'!AA32</f>
        <v>742000</v>
      </c>
    </row>
    <row r="38" spans="1:32" s="3" customFormat="1">
      <c r="A38" s="1">
        <f t="shared" si="3"/>
        <v>29</v>
      </c>
      <c r="B38" s="1">
        <v>1656</v>
      </c>
      <c r="C38" s="1" t="s">
        <v>54</v>
      </c>
      <c r="D38" s="2">
        <f>'החברה לפיתוח'!D35</f>
        <v>10800000</v>
      </c>
      <c r="E38" s="2">
        <f>'החברה לפיתוח'!E35</f>
        <v>10800000</v>
      </c>
      <c r="F38" s="2">
        <f>'החברה לפיתוח'!F35</f>
        <v>0</v>
      </c>
      <c r="G38" s="2">
        <f>'החברה לפיתוח'!G35</f>
        <v>10800000</v>
      </c>
      <c r="H38" s="2">
        <f>'החברה לפיתוח'!H35</f>
        <v>5646597.1399999997</v>
      </c>
      <c r="I38" s="2">
        <f>'החברה לפיתוח'!I35</f>
        <v>30194.89</v>
      </c>
      <c r="J38" s="2">
        <f>'החברה לפיתוח'!J35</f>
        <v>3528498.59</v>
      </c>
      <c r="K38" s="2">
        <f>'החברה לפיתוח'!K35</f>
        <v>3558693.48</v>
      </c>
      <c r="L38" s="2">
        <f>'החברה לפיתוח'!L35</f>
        <v>9205290.6199999992</v>
      </c>
      <c r="M38" s="2">
        <f>'החברה לפיתוח'!M35</f>
        <v>1594709.3800000008</v>
      </c>
      <c r="N38" s="2">
        <f>'החברה לפיתוח'!N35</f>
        <v>0</v>
      </c>
      <c r="O38" s="2">
        <f>'החברה לפיתוח'!O35</f>
        <v>0</v>
      </c>
      <c r="P38" s="2">
        <f>'החברה לפיתוח'!P35</f>
        <v>1594709.3800000008</v>
      </c>
      <c r="Q38" s="2">
        <f>'החברה לפיתוח'!Q35</f>
        <v>0</v>
      </c>
      <c r="R38" s="2">
        <f>'החברה לפיתוח'!R35</f>
        <v>0</v>
      </c>
      <c r="S38" s="2">
        <f>'החברה לפיתוח'!S35</f>
        <v>0</v>
      </c>
      <c r="T38" s="2">
        <f>'החברה לפיתוח'!T35</f>
        <v>0</v>
      </c>
      <c r="U38" s="2">
        <f>'החברה לפיתוח'!U35</f>
        <v>0</v>
      </c>
      <c r="V38" s="2">
        <f>'החברה לפיתוח'!V35</f>
        <v>0</v>
      </c>
      <c r="W38" s="2">
        <f>'החברה לפיתוח'!W35</f>
        <v>0</v>
      </c>
      <c r="X38" s="2">
        <f>'החברה לפיתוח'!X35</f>
        <v>0</v>
      </c>
      <c r="Y38" s="2">
        <f>'החברה לפיתוח'!Y35</f>
        <v>0</v>
      </c>
      <c r="Z38" s="2">
        <f>'החברה לפיתוח'!Z35</f>
        <v>0</v>
      </c>
      <c r="AA38" s="94">
        <f>'החברה לפיתוח'!AA35</f>
        <v>742000</v>
      </c>
    </row>
    <row r="39" spans="1:32" s="3" customFormat="1">
      <c r="A39" s="1">
        <f t="shared" si="3"/>
        <v>30</v>
      </c>
      <c r="B39" s="1">
        <v>1657</v>
      </c>
      <c r="C39" s="1" t="s">
        <v>38</v>
      </c>
      <c r="D39" s="2">
        <f>'החברה לפיתוח'!D36</f>
        <v>60000000</v>
      </c>
      <c r="E39" s="2">
        <f>'החברה לפיתוח'!E36</f>
        <v>60000000</v>
      </c>
      <c r="F39" s="2">
        <f>'החברה לפיתוח'!F36</f>
        <v>0</v>
      </c>
      <c r="G39" s="2">
        <f>'החברה לפיתוח'!G36</f>
        <v>10700000</v>
      </c>
      <c r="H39" s="2">
        <f>'החברה לפיתוח'!H36</f>
        <v>1210600.1599999999</v>
      </c>
      <c r="I39" s="2">
        <f>'החברה לפיתוח'!I36</f>
        <v>167189.14000000001</v>
      </c>
      <c r="J39" s="2">
        <f>'החברה לפיתוח'!J36</f>
        <v>1705229.07</v>
      </c>
      <c r="K39" s="2">
        <f>'החברה לפיתוח'!K36</f>
        <v>1872418.21</v>
      </c>
      <c r="L39" s="2">
        <f>'החברה לפיתוח'!L36</f>
        <v>3083018.37</v>
      </c>
      <c r="M39" s="2">
        <f>'החברה לפיתוח'!M36</f>
        <v>7616981.6299999999</v>
      </c>
      <c r="N39" s="2">
        <f>'החברה לפיתוח'!N36</f>
        <v>3000000</v>
      </c>
      <c r="O39" s="2">
        <f>'החברה לפיתוח'!O36</f>
        <v>46300000</v>
      </c>
      <c r="P39" s="2">
        <f>'החברה לפיתוח'!P36</f>
        <v>7616981.6299999999</v>
      </c>
      <c r="Q39" s="2">
        <f>'החברה לפיתוח'!Q36</f>
        <v>0</v>
      </c>
      <c r="R39" s="2">
        <f>'החברה לפיתוח'!R36</f>
        <v>0</v>
      </c>
      <c r="S39" s="2">
        <f>'החברה לפיתוח'!S36</f>
        <v>0</v>
      </c>
      <c r="T39" s="2">
        <f>'החברה לפיתוח'!T36</f>
        <v>0</v>
      </c>
      <c r="U39" s="2">
        <f>'החברה לפיתוח'!U36</f>
        <v>3000000</v>
      </c>
      <c r="V39" s="2">
        <f>'החברה לפיתוח'!V36</f>
        <v>3000000</v>
      </c>
      <c r="W39" s="2">
        <f>'החברה לפיתוח'!W36</f>
        <v>0</v>
      </c>
      <c r="X39" s="2">
        <f>'החברה לפיתוח'!X36</f>
        <v>0</v>
      </c>
      <c r="Y39" s="2">
        <f>'החברה לפיתוח'!Y36</f>
        <v>0</v>
      </c>
      <c r="Z39" s="2">
        <f>'החברה לפיתוח'!Z36</f>
        <v>0</v>
      </c>
      <c r="AA39" s="94">
        <f>'החברה לפיתוח'!AA36</f>
        <v>742000</v>
      </c>
    </row>
    <row r="40" spans="1:32" s="3" customFormat="1">
      <c r="A40" s="1">
        <f t="shared" si="3"/>
        <v>31</v>
      </c>
      <c r="B40" s="1">
        <v>1718</v>
      </c>
      <c r="C40" s="1" t="s">
        <v>74</v>
      </c>
      <c r="D40" s="2">
        <f>'החברה לפיתוח'!D37</f>
        <v>13200000</v>
      </c>
      <c r="E40" s="2">
        <f>'החברה לפיתוח'!E37</f>
        <v>13200000</v>
      </c>
      <c r="F40" s="2">
        <f>'החברה לפיתוח'!F37</f>
        <v>0</v>
      </c>
      <c r="G40" s="2">
        <f>'החברה לפיתוח'!G37</f>
        <v>13200000</v>
      </c>
      <c r="H40" s="2">
        <f>'החברה לפיתוח'!H37</f>
        <v>9226266.1799999997</v>
      </c>
      <c r="I40" s="2">
        <f>'החברה לפיתוח'!I37</f>
        <v>139312.28</v>
      </c>
      <c r="J40" s="2">
        <f>'החברה לפיתוח'!J37</f>
        <v>658266.05000000005</v>
      </c>
      <c r="K40" s="2">
        <f>'החברה לפיתוח'!K37</f>
        <v>797578.33000000007</v>
      </c>
      <c r="L40" s="2">
        <f>'החברה לפיתוח'!L37</f>
        <v>10023844.51</v>
      </c>
      <c r="M40" s="2">
        <f>'החברה לפיתוח'!M37</f>
        <v>3176155.49</v>
      </c>
      <c r="N40" s="2">
        <f>'החברה לפיתוח'!N37</f>
        <v>0</v>
      </c>
      <c r="O40" s="2">
        <f>'החברה לפיתוח'!O37</f>
        <v>0</v>
      </c>
      <c r="P40" s="2">
        <f>'החברה לפיתוח'!P37</f>
        <v>3176155.49</v>
      </c>
      <c r="Q40" s="2">
        <f>'החברה לפיתוח'!Q37</f>
        <v>0</v>
      </c>
      <c r="R40" s="2">
        <f>'החברה לפיתוח'!R37</f>
        <v>0</v>
      </c>
      <c r="S40" s="2">
        <f>'החברה לפיתוח'!S37</f>
        <v>0</v>
      </c>
      <c r="T40" s="2">
        <f>'החברה לפיתוח'!T37</f>
        <v>0</v>
      </c>
      <c r="U40" s="2">
        <f>'החברה לפיתוח'!U37</f>
        <v>0</v>
      </c>
      <c r="V40" s="2">
        <f>'החברה לפיתוח'!V37</f>
        <v>0</v>
      </c>
      <c r="W40" s="2">
        <f>'החברה לפיתוח'!W37</f>
        <v>0</v>
      </c>
      <c r="X40" s="2">
        <f>'החברה לפיתוח'!X37</f>
        <v>0</v>
      </c>
      <c r="Y40" s="2">
        <f>'החברה לפיתוח'!Y37</f>
        <v>0</v>
      </c>
      <c r="Z40" s="2">
        <f>'החברה לפיתוח'!Z37</f>
        <v>0</v>
      </c>
      <c r="AA40" s="94">
        <f>'החברה לפיתוח'!AA37</f>
        <v>742000</v>
      </c>
    </row>
    <row r="41" spans="1:32" s="3" customFormat="1">
      <c r="A41" s="1">
        <f t="shared" si="3"/>
        <v>32</v>
      </c>
      <c r="B41" s="1">
        <v>1720</v>
      </c>
      <c r="C41" s="1" t="s">
        <v>76</v>
      </c>
      <c r="D41" s="2">
        <f>'החברה לפיתוח'!D38</f>
        <v>1500000</v>
      </c>
      <c r="E41" s="2">
        <f>'החברה לפיתוח'!E38</f>
        <v>1500000</v>
      </c>
      <c r="F41" s="2">
        <f>'החברה לפיתוח'!F38</f>
        <v>0</v>
      </c>
      <c r="G41" s="2">
        <f>'החברה לפיתוח'!G38</f>
        <v>1500000</v>
      </c>
      <c r="H41" s="2">
        <f>'החברה לפיתוח'!H38</f>
        <v>749799</v>
      </c>
      <c r="I41" s="2">
        <f>'החברה לפיתוח'!I38</f>
        <v>0</v>
      </c>
      <c r="J41" s="2">
        <f>'החברה לפיתוח'!J38</f>
        <v>596457.66</v>
      </c>
      <c r="K41" s="2">
        <f>'החברה לפיתוח'!K38</f>
        <v>596457.66</v>
      </c>
      <c r="L41" s="2">
        <f>'החברה לפיתוח'!L38</f>
        <v>1346256.6600000001</v>
      </c>
      <c r="M41" s="2">
        <f>'החברה לפיתוח'!M38</f>
        <v>153743.33999999985</v>
      </c>
      <c r="N41" s="2">
        <f>'החברה לפיתוח'!N38</f>
        <v>0</v>
      </c>
      <c r="O41" s="2">
        <f>'החברה לפיתוח'!O38</f>
        <v>0</v>
      </c>
      <c r="P41" s="2">
        <f>'החברה לפיתוח'!P38</f>
        <v>153743.33999999985</v>
      </c>
      <c r="Q41" s="2">
        <f>'החברה לפיתוח'!Q38</f>
        <v>0</v>
      </c>
      <c r="R41" s="2">
        <f>'החברה לפיתוח'!R38</f>
        <v>0</v>
      </c>
      <c r="S41" s="2">
        <f>'החברה לפיתוח'!S38</f>
        <v>0</v>
      </c>
      <c r="T41" s="2">
        <f>'החברה לפיתוח'!T38</f>
        <v>0</v>
      </c>
      <c r="U41" s="2">
        <f>'החברה לפיתוח'!U38</f>
        <v>0</v>
      </c>
      <c r="V41" s="2">
        <f>'החברה לפיתוח'!V38</f>
        <v>0</v>
      </c>
      <c r="W41" s="2">
        <f>'החברה לפיתוח'!W38</f>
        <v>0</v>
      </c>
      <c r="X41" s="2">
        <f>'החברה לפיתוח'!X38</f>
        <v>0</v>
      </c>
      <c r="Y41" s="2">
        <f>'החברה לפיתוח'!Y38</f>
        <v>0</v>
      </c>
      <c r="Z41" s="2">
        <f>'החברה לפיתוח'!Z38</f>
        <v>0</v>
      </c>
      <c r="AA41" s="94">
        <f>'החברה לפיתוח'!AA38</f>
        <v>742000</v>
      </c>
    </row>
    <row r="42" spans="1:32" s="3" customFormat="1">
      <c r="A42" s="1">
        <f t="shared" si="3"/>
        <v>33</v>
      </c>
      <c r="B42" s="1">
        <v>1721</v>
      </c>
      <c r="C42" s="1" t="s">
        <v>77</v>
      </c>
      <c r="D42" s="2">
        <f>'החברה לפיתוח'!D39</f>
        <v>700000</v>
      </c>
      <c r="E42" s="2">
        <f>'החברה לפיתוח'!E39</f>
        <v>700000</v>
      </c>
      <c r="F42" s="2">
        <f>'החברה לפיתוח'!F39</f>
        <v>0</v>
      </c>
      <c r="G42" s="2">
        <f>'החברה לפיתוח'!G39</f>
        <v>700000</v>
      </c>
      <c r="H42" s="2">
        <f>'החברה לפיתוח'!H39</f>
        <v>693650.51</v>
      </c>
      <c r="I42" s="2">
        <f>'החברה לפיתוח'!I39</f>
        <v>0</v>
      </c>
      <c r="J42" s="2">
        <f>'החברה לפיתוח'!J39</f>
        <v>0</v>
      </c>
      <c r="K42" s="2">
        <f>'החברה לפיתוח'!K39</f>
        <v>0</v>
      </c>
      <c r="L42" s="2">
        <f>'החברה לפיתוח'!L39</f>
        <v>693650.51</v>
      </c>
      <c r="M42" s="2">
        <f>'החברה לפיתוח'!M39</f>
        <v>6349.4899999999907</v>
      </c>
      <c r="N42" s="2">
        <f>'החברה לפיתוח'!N39</f>
        <v>0</v>
      </c>
      <c r="O42" s="2">
        <f>'החברה לפיתוח'!O39</f>
        <v>0</v>
      </c>
      <c r="P42" s="2">
        <f>'החברה לפיתוח'!P39</f>
        <v>6349.4899999999907</v>
      </c>
      <c r="Q42" s="2">
        <f>'החברה לפיתוח'!Q39</f>
        <v>0</v>
      </c>
      <c r="R42" s="2">
        <f>'החברה לפיתוח'!R39</f>
        <v>0</v>
      </c>
      <c r="S42" s="2">
        <f>'החברה לפיתוח'!S39</f>
        <v>0</v>
      </c>
      <c r="T42" s="2">
        <f>'החברה לפיתוח'!T39</f>
        <v>0</v>
      </c>
      <c r="U42" s="2">
        <f>'החברה לפיתוח'!U39</f>
        <v>0</v>
      </c>
      <c r="V42" s="2">
        <f>'החברה לפיתוח'!V39</f>
        <v>0</v>
      </c>
      <c r="W42" s="2">
        <f>'החברה לפיתוח'!W39</f>
        <v>0</v>
      </c>
      <c r="X42" s="2">
        <f>'החברה לפיתוח'!X39</f>
        <v>0</v>
      </c>
      <c r="Y42" s="2">
        <f>'החברה לפיתוח'!Y39</f>
        <v>0</v>
      </c>
      <c r="Z42" s="2">
        <f>'החברה לפיתוח'!Z39</f>
        <v>0</v>
      </c>
      <c r="AA42" s="94">
        <f>'החברה לפיתוח'!AA39</f>
        <v>746000</v>
      </c>
    </row>
    <row r="43" spans="1:32" s="3" customFormat="1">
      <c r="A43" s="1">
        <f t="shared" si="3"/>
        <v>34</v>
      </c>
      <c r="B43" s="1">
        <v>1727</v>
      </c>
      <c r="C43" s="1" t="s">
        <v>78</v>
      </c>
      <c r="D43" s="2">
        <f>'החברה לפיתוח'!D41</f>
        <v>400000</v>
      </c>
      <c r="E43" s="2">
        <f>'החברה לפיתוח'!E41</f>
        <v>400000</v>
      </c>
      <c r="F43" s="2">
        <f>'החברה לפיתוח'!F41</f>
        <v>0</v>
      </c>
      <c r="G43" s="2">
        <f>'החברה לפיתוח'!G41</f>
        <v>400000</v>
      </c>
      <c r="H43" s="2">
        <f>'החברה לפיתוח'!H41</f>
        <v>324343</v>
      </c>
      <c r="I43" s="2">
        <f>'החברה לפיתוח'!I41</f>
        <v>0</v>
      </c>
      <c r="J43" s="2">
        <f>'החברה לפיתוח'!J41</f>
        <v>54694.6</v>
      </c>
      <c r="K43" s="2">
        <f>'החברה לפיתוח'!K41</f>
        <v>54694.6</v>
      </c>
      <c r="L43" s="2">
        <f>'החברה לפיתוח'!L41</f>
        <v>379037.6</v>
      </c>
      <c r="M43" s="2">
        <f>'החברה לפיתוח'!M41</f>
        <v>20962.400000000023</v>
      </c>
      <c r="N43" s="2">
        <f>'החברה לפיתוח'!N41</f>
        <v>0</v>
      </c>
      <c r="O43" s="2">
        <f>'החברה לפיתוח'!O41</f>
        <v>0</v>
      </c>
      <c r="P43" s="2">
        <f>'החברה לפיתוח'!P41</f>
        <v>20962.400000000023</v>
      </c>
      <c r="Q43" s="2">
        <f>'החברה לפיתוח'!Q41</f>
        <v>0</v>
      </c>
      <c r="R43" s="2">
        <f>'החברה לפיתוח'!R41</f>
        <v>0</v>
      </c>
      <c r="S43" s="2">
        <f>'החברה לפיתוח'!S41</f>
        <v>0</v>
      </c>
      <c r="T43" s="2">
        <f>'החברה לפיתוח'!T41</f>
        <v>0</v>
      </c>
      <c r="U43" s="2">
        <f>'החברה לפיתוח'!U41</f>
        <v>0</v>
      </c>
      <c r="V43" s="2">
        <f>'החברה לפיתוח'!V41</f>
        <v>0</v>
      </c>
      <c r="W43" s="2">
        <f>'החברה לפיתוח'!W41</f>
        <v>0</v>
      </c>
      <c r="X43" s="2">
        <f>'החברה לפיתוח'!X41</f>
        <v>0</v>
      </c>
      <c r="Y43" s="2">
        <f>'החברה לפיתוח'!Y41</f>
        <v>0</v>
      </c>
      <c r="Z43" s="2">
        <f>'החברה לפיתוח'!Z41</f>
        <v>0</v>
      </c>
      <c r="AA43" s="94">
        <f>'החברה לפיתוח'!AA41</f>
        <v>742000</v>
      </c>
    </row>
    <row r="44" spans="1:32" s="3" customFormat="1" ht="30">
      <c r="A44" s="1">
        <f t="shared" si="3"/>
        <v>35</v>
      </c>
      <c r="B44" s="1">
        <v>1739</v>
      </c>
      <c r="C44" s="1" t="s">
        <v>224</v>
      </c>
      <c r="D44" s="2">
        <f>'החברה לפיתוח'!D42</f>
        <v>6550000</v>
      </c>
      <c r="E44" s="2">
        <f>'החברה לפיתוח'!E42</f>
        <v>6550000</v>
      </c>
      <c r="F44" s="2">
        <f>'החברה לפיתוח'!F42</f>
        <v>0</v>
      </c>
      <c r="G44" s="2">
        <f>'החברה לפיתוח'!G42</f>
        <v>6550000</v>
      </c>
      <c r="H44" s="2">
        <f>'החברה לפיתוח'!H42</f>
        <v>5774908</v>
      </c>
      <c r="I44" s="2">
        <f>'החברה לפיתוח'!I42</f>
        <v>0</v>
      </c>
      <c r="J44" s="2">
        <f>'החברה לפיתוח'!J42</f>
        <v>766308.26</v>
      </c>
      <c r="K44" s="2">
        <f>'החברה לפיתוח'!K42</f>
        <v>766308.26</v>
      </c>
      <c r="L44" s="2">
        <f>'החברה לפיתוח'!L42</f>
        <v>6541216.2599999998</v>
      </c>
      <c r="M44" s="2">
        <f>'החברה לפיתוח'!M42</f>
        <v>8783.7400000002235</v>
      </c>
      <c r="N44" s="2">
        <f>'החברה לפיתוח'!N42</f>
        <v>0</v>
      </c>
      <c r="O44" s="2">
        <f>'החברה לפיתוח'!O42</f>
        <v>0</v>
      </c>
      <c r="P44" s="2">
        <f>'החברה לפיתוח'!P42</f>
        <v>8783.7400000002235</v>
      </c>
      <c r="Q44" s="2">
        <f>'החברה לפיתוח'!Q42</f>
        <v>0</v>
      </c>
      <c r="R44" s="2">
        <f>'החברה לפיתוח'!R42</f>
        <v>0</v>
      </c>
      <c r="S44" s="2">
        <f>'החברה לפיתוח'!S42</f>
        <v>0</v>
      </c>
      <c r="T44" s="2">
        <f>'החברה לפיתוח'!T42</f>
        <v>0</v>
      </c>
      <c r="U44" s="2">
        <f>'החברה לפיתוח'!U42</f>
        <v>0</v>
      </c>
      <c r="V44" s="2">
        <f>'החברה לפיתוח'!V42</f>
        <v>0</v>
      </c>
      <c r="W44" s="2">
        <f>'החברה לפיתוח'!W42</f>
        <v>0</v>
      </c>
      <c r="X44" s="2">
        <f>'החברה לפיתוח'!X42</f>
        <v>0</v>
      </c>
      <c r="Y44" s="2">
        <f>'החברה לפיתוח'!Y42</f>
        <v>0</v>
      </c>
      <c r="Z44" s="2">
        <f>'החברה לפיתוח'!Z42</f>
        <v>0</v>
      </c>
      <c r="AA44" s="94">
        <f>'החברה לפיתוח'!AA42</f>
        <v>747000</v>
      </c>
    </row>
    <row r="45" spans="1:32" s="3" customFormat="1">
      <c r="A45" s="1">
        <f t="shared" si="3"/>
        <v>36</v>
      </c>
      <c r="B45" s="1">
        <v>1763</v>
      </c>
      <c r="C45" s="1" t="s">
        <v>229</v>
      </c>
      <c r="D45" s="2">
        <f>'החברה לפיתוח'!D46</f>
        <v>4200000</v>
      </c>
      <c r="E45" s="2">
        <f>'החברה לפיתוח'!E46</f>
        <v>4200000</v>
      </c>
      <c r="F45" s="2">
        <f>'החברה לפיתוח'!F46</f>
        <v>0</v>
      </c>
      <c r="G45" s="2">
        <f>'החברה לפיתוח'!G46</f>
        <v>4200000</v>
      </c>
      <c r="H45" s="2">
        <f>'החברה לפיתוח'!H46</f>
        <v>2118690</v>
      </c>
      <c r="I45" s="2">
        <f>'החברה לפיתוח'!I46</f>
        <v>0</v>
      </c>
      <c r="J45" s="2">
        <f>'החברה לפיתוח'!J46</f>
        <v>2081122.89</v>
      </c>
      <c r="K45" s="2">
        <f>'החברה לפיתוח'!K46</f>
        <v>2081122.89</v>
      </c>
      <c r="L45" s="2">
        <f>'החברה לפיתוח'!L46</f>
        <v>4199812.8899999997</v>
      </c>
      <c r="M45" s="2">
        <f>'החברה לפיתוח'!M46</f>
        <v>187.11000000033528</v>
      </c>
      <c r="N45" s="2">
        <f>'החברה לפיתוח'!N46</f>
        <v>0</v>
      </c>
      <c r="O45" s="2">
        <f>'החברה לפיתוח'!O46</f>
        <v>0</v>
      </c>
      <c r="P45" s="2">
        <f>'החברה לפיתוח'!P46</f>
        <v>187.11000000033528</v>
      </c>
      <c r="Q45" s="2">
        <f>'החברה לפיתוח'!Q46</f>
        <v>0</v>
      </c>
      <c r="R45" s="2">
        <f>'החברה לפיתוח'!R46</f>
        <v>0</v>
      </c>
      <c r="S45" s="2">
        <f>'החברה לפיתוח'!S46</f>
        <v>0</v>
      </c>
      <c r="T45" s="2">
        <f>'החברה לפיתוח'!T46</f>
        <v>0</v>
      </c>
      <c r="U45" s="2">
        <f>'החברה לפיתוח'!U46</f>
        <v>0</v>
      </c>
      <c r="V45" s="2">
        <f>'החברה לפיתוח'!V46</f>
        <v>0</v>
      </c>
      <c r="W45" s="2">
        <f>'החברה לפיתוח'!W46</f>
        <v>0</v>
      </c>
      <c r="X45" s="2">
        <f>'החברה לפיתוח'!X46</f>
        <v>0</v>
      </c>
      <c r="Y45" s="2">
        <f>'החברה לפיתוח'!Y46</f>
        <v>0</v>
      </c>
      <c r="Z45" s="2">
        <f>'החברה לפיתוח'!Z46</f>
        <v>0</v>
      </c>
      <c r="AA45" s="94">
        <f>'החברה לפיתוח'!AA46</f>
        <v>742000</v>
      </c>
      <c r="AB45" s="694"/>
    </row>
    <row r="46" spans="1:32" s="3" customFormat="1">
      <c r="A46" s="1">
        <f t="shared" si="3"/>
        <v>37</v>
      </c>
      <c r="B46" s="1">
        <v>1764</v>
      </c>
      <c r="C46" s="1" t="s">
        <v>220</v>
      </c>
      <c r="D46" s="2">
        <f>'החברה לפיתוח'!D47</f>
        <v>6000000</v>
      </c>
      <c r="E46" s="2">
        <f>'החברה לפיתוח'!E47</f>
        <v>4800000</v>
      </c>
      <c r="F46" s="2">
        <f>'החברה לפיתוח'!F47</f>
        <v>1200000</v>
      </c>
      <c r="G46" s="2">
        <f>'החברה לפיתוח'!G47</f>
        <v>4800000</v>
      </c>
      <c r="H46" s="2">
        <f>'החברה לפיתוח'!H47</f>
        <v>3175258</v>
      </c>
      <c r="I46" s="2">
        <f>'החברה לפיתוח'!I47</f>
        <v>0</v>
      </c>
      <c r="J46" s="2">
        <f>'החברה לפיתוח'!J47</f>
        <v>823593.73</v>
      </c>
      <c r="K46" s="2">
        <f>'החברה לפיתוח'!K47</f>
        <v>823593.73</v>
      </c>
      <c r="L46" s="2">
        <f>'החברה לפיתוח'!L47</f>
        <v>3998851.73</v>
      </c>
      <c r="M46" s="2">
        <f>'החברה לפיתוח'!M47</f>
        <v>801148.27</v>
      </c>
      <c r="N46" s="2">
        <f>'החברה לפיתוח'!N47</f>
        <v>1200000</v>
      </c>
      <c r="O46" s="2">
        <f>'החברה לפיתוח'!O47</f>
        <v>0</v>
      </c>
      <c r="P46" s="2">
        <f>'החברה לפיתוח'!P47</f>
        <v>801148.27</v>
      </c>
      <c r="Q46" s="2">
        <f>'החברה לפיתוח'!Q47</f>
        <v>0</v>
      </c>
      <c r="R46" s="2">
        <f>'החברה לפיתוח'!R47</f>
        <v>0</v>
      </c>
      <c r="S46" s="2">
        <f>'החברה לפיתוח'!S47</f>
        <v>0</v>
      </c>
      <c r="T46" s="2">
        <f>'החברה לפיתוח'!T47</f>
        <v>0</v>
      </c>
      <c r="U46" s="2">
        <f>'החברה לפיתוח'!U47</f>
        <v>1200000</v>
      </c>
      <c r="V46" s="2">
        <f>'החברה לפיתוח'!V47</f>
        <v>1200000</v>
      </c>
      <c r="W46" s="2">
        <f>'החברה לפיתוח'!W47</f>
        <v>0</v>
      </c>
      <c r="X46" s="2">
        <f>'החברה לפיתוח'!X47</f>
        <v>0</v>
      </c>
      <c r="Y46" s="2">
        <f>'החברה לפיתוח'!Y47</f>
        <v>0</v>
      </c>
      <c r="Z46" s="2">
        <f>'החברה לפיתוח'!Z47</f>
        <v>0</v>
      </c>
      <c r="AA46" s="94">
        <f>'החברה לפיתוח'!AA47</f>
        <v>742000</v>
      </c>
      <c r="AB46" s="694"/>
    </row>
    <row r="47" spans="1:32" s="3" customFormat="1" ht="15.75">
      <c r="A47" s="1">
        <f t="shared" si="3"/>
        <v>38</v>
      </c>
      <c r="B47" s="1">
        <v>1765</v>
      </c>
      <c r="C47" s="1" t="s">
        <v>219</v>
      </c>
      <c r="D47" s="2">
        <f>'החברה לפיתוח'!D48</f>
        <v>2800000</v>
      </c>
      <c r="E47" s="2">
        <f>'החברה לפיתוח'!E48</f>
        <v>2800000</v>
      </c>
      <c r="F47" s="2">
        <f>'החברה לפיתוח'!F48</f>
        <v>0</v>
      </c>
      <c r="G47" s="2">
        <f>'החברה לפיתוח'!G48</f>
        <v>2800000</v>
      </c>
      <c r="H47" s="2">
        <f>'החברה לפיתוח'!H48</f>
        <v>1605851.36</v>
      </c>
      <c r="I47" s="2">
        <f>'החברה לפיתוח'!I48</f>
        <v>0</v>
      </c>
      <c r="J47" s="2">
        <f>'החברה לפיתוח'!J48</f>
        <v>294913.65999999997</v>
      </c>
      <c r="K47" s="2">
        <f>'החברה לפיתוח'!K48</f>
        <v>294913.65999999997</v>
      </c>
      <c r="L47" s="2">
        <f>'החברה לפיתוח'!L48</f>
        <v>1900765.02</v>
      </c>
      <c r="M47" s="2">
        <f>'החברה לפיתוח'!M48</f>
        <v>899234.98</v>
      </c>
      <c r="N47" s="2">
        <f>'החברה לפיתוח'!N48</f>
        <v>0</v>
      </c>
      <c r="O47" s="2">
        <f>'החברה לפיתוח'!O48</f>
        <v>0</v>
      </c>
      <c r="P47" s="2">
        <f>'החברה לפיתוח'!P48</f>
        <v>899234.98</v>
      </c>
      <c r="Q47" s="2">
        <f>'החברה לפיתוח'!Q48</f>
        <v>0</v>
      </c>
      <c r="R47" s="2">
        <f>'החברה לפיתוח'!R48</f>
        <v>0</v>
      </c>
      <c r="S47" s="2">
        <f>'החברה לפיתוח'!S48</f>
        <v>0</v>
      </c>
      <c r="T47" s="2">
        <f>'החברה לפיתוח'!T48</f>
        <v>0</v>
      </c>
      <c r="U47" s="2">
        <f>'החברה לפיתוח'!U48</f>
        <v>0</v>
      </c>
      <c r="V47" s="2">
        <f>'החברה לפיתוח'!V48</f>
        <v>0</v>
      </c>
      <c r="W47" s="2">
        <f>'החברה לפיתוח'!W48</f>
        <v>0</v>
      </c>
      <c r="X47" s="2">
        <f>'החברה לפיתוח'!X48</f>
        <v>0</v>
      </c>
      <c r="Y47" s="2">
        <f>'החברה לפיתוח'!Y48</f>
        <v>0</v>
      </c>
      <c r="Z47" s="2">
        <f>'החברה לפיתוח'!Z48</f>
        <v>0</v>
      </c>
      <c r="AA47" s="94">
        <f>'החברה לפיתוח'!AA48</f>
        <v>742000</v>
      </c>
      <c r="AB47" s="694"/>
      <c r="AC47" s="9"/>
      <c r="AD47" s="9"/>
      <c r="AE47" s="9"/>
      <c r="AF47" s="9"/>
    </row>
    <row r="48" spans="1:32" s="3" customFormat="1">
      <c r="A48" s="1">
        <f t="shared" si="3"/>
        <v>39</v>
      </c>
      <c r="B48" s="1">
        <v>1807</v>
      </c>
      <c r="C48" s="1" t="s">
        <v>239</v>
      </c>
      <c r="D48" s="2">
        <f>'החברה לפיתוח'!D52</f>
        <v>2700000</v>
      </c>
      <c r="E48" s="2">
        <f>'החברה לפיתוח'!E52</f>
        <v>2700000</v>
      </c>
      <c r="F48" s="2">
        <f>'החברה לפיתוח'!F52</f>
        <v>0</v>
      </c>
      <c r="G48" s="2">
        <f>'החברה לפיתוח'!G52</f>
        <v>2700000</v>
      </c>
      <c r="H48" s="2">
        <f>'החברה לפיתוח'!H52</f>
        <v>2017606</v>
      </c>
      <c r="I48" s="2">
        <f>'החברה לפיתוח'!I52</f>
        <v>0</v>
      </c>
      <c r="J48" s="2">
        <f>'החברה לפיתוח'!J52</f>
        <v>578039.97</v>
      </c>
      <c r="K48" s="2">
        <f>'החברה לפיתוח'!K52</f>
        <v>578039.97</v>
      </c>
      <c r="L48" s="2">
        <f>'החברה לפיתוח'!L52</f>
        <v>2595645.9699999997</v>
      </c>
      <c r="M48" s="2">
        <f>'החברה לפיתוח'!M52</f>
        <v>104354.03000000026</v>
      </c>
      <c r="N48" s="2">
        <f>'החברה לפיתוח'!N52</f>
        <v>0</v>
      </c>
      <c r="O48" s="2">
        <f>'החברה לפיתוח'!O52</f>
        <v>0</v>
      </c>
      <c r="P48" s="2">
        <f>'החברה לפיתוח'!P52</f>
        <v>104354.03000000026</v>
      </c>
      <c r="Q48" s="2">
        <f>'החברה לפיתוח'!Q52</f>
        <v>0</v>
      </c>
      <c r="R48" s="2">
        <f>'החברה לפיתוח'!R52</f>
        <v>0</v>
      </c>
      <c r="S48" s="2">
        <f>'החברה לפיתוח'!S52</f>
        <v>0</v>
      </c>
      <c r="T48" s="2">
        <f>'החברה לפיתוח'!T52</f>
        <v>0</v>
      </c>
      <c r="U48" s="2">
        <f>'החברה לפיתוח'!U52</f>
        <v>0</v>
      </c>
      <c r="V48" s="2">
        <f>'החברה לפיתוח'!V52</f>
        <v>0</v>
      </c>
      <c r="W48" s="2">
        <f>'החברה לפיתוח'!W52</f>
        <v>0</v>
      </c>
      <c r="X48" s="2">
        <f>'החברה לפיתוח'!X52</f>
        <v>0</v>
      </c>
      <c r="Y48" s="2">
        <f>'החברה לפיתוח'!Y52</f>
        <v>0</v>
      </c>
      <c r="Z48" s="2">
        <f>'החברה לפיתוח'!Z52</f>
        <v>0</v>
      </c>
      <c r="AA48" s="94">
        <f>'החברה לפיתוח'!AA52</f>
        <v>742000</v>
      </c>
      <c r="AB48" s="10"/>
      <c r="AC48" s="10"/>
      <c r="AD48" s="10"/>
      <c r="AE48" s="10"/>
      <c r="AF48" s="10"/>
    </row>
    <row r="49" spans="1:32" s="3" customFormat="1">
      <c r="A49" s="1">
        <f t="shared" si="3"/>
        <v>40</v>
      </c>
      <c r="B49" s="1">
        <v>1808</v>
      </c>
      <c r="C49" s="1" t="s">
        <v>240</v>
      </c>
      <c r="D49" s="2">
        <f>'החברה לפיתוח'!D53</f>
        <v>1800000</v>
      </c>
      <c r="E49" s="2">
        <f>'החברה לפיתוח'!E53</f>
        <v>1400000</v>
      </c>
      <c r="F49" s="2">
        <f>'החברה לפיתוח'!F53</f>
        <v>400000</v>
      </c>
      <c r="G49" s="2">
        <f>'החברה לפיתוח'!G53</f>
        <v>1400000</v>
      </c>
      <c r="H49" s="2">
        <f>'החברה לפיתוח'!H53</f>
        <v>117506</v>
      </c>
      <c r="I49" s="2">
        <f>'החברה לפיתוח'!I53</f>
        <v>0</v>
      </c>
      <c r="J49" s="2">
        <f>'החברה לפיתוח'!J53</f>
        <v>232204.61</v>
      </c>
      <c r="K49" s="2">
        <f>'החברה לפיתוח'!K53</f>
        <v>232204.61</v>
      </c>
      <c r="L49" s="2">
        <f>'החברה לפיתוח'!L53</f>
        <v>349710.61</v>
      </c>
      <c r="M49" s="2">
        <f>'החברה לפיתוח'!M53</f>
        <v>1050289.3900000001</v>
      </c>
      <c r="N49" s="2">
        <f>'החברה לפיתוח'!N53</f>
        <v>400000</v>
      </c>
      <c r="O49" s="2">
        <f>'החברה לפיתוח'!O53</f>
        <v>0</v>
      </c>
      <c r="P49" s="2">
        <f>'החברה לפיתוח'!P53</f>
        <v>1050289.3900000001</v>
      </c>
      <c r="Q49" s="2">
        <f>'החברה לפיתוח'!Q53</f>
        <v>0</v>
      </c>
      <c r="R49" s="2">
        <f>'החברה לפיתוח'!R53</f>
        <v>0</v>
      </c>
      <c r="S49" s="2">
        <f>'החברה לפיתוח'!S53</f>
        <v>0</v>
      </c>
      <c r="T49" s="2">
        <f>'החברה לפיתוח'!T53</f>
        <v>0</v>
      </c>
      <c r="U49" s="2">
        <f>'החברה לפיתוח'!U53</f>
        <v>400000</v>
      </c>
      <c r="V49" s="2">
        <f>'החברה לפיתוח'!V53</f>
        <v>400000</v>
      </c>
      <c r="W49" s="2">
        <f>'החברה לפיתוח'!W53</f>
        <v>0</v>
      </c>
      <c r="X49" s="2">
        <f>'החברה לפיתוח'!X53</f>
        <v>0</v>
      </c>
      <c r="Y49" s="2">
        <f>'החברה לפיתוח'!Y53</f>
        <v>0</v>
      </c>
      <c r="Z49" s="2">
        <f>'החברה לפיתוח'!Z53</f>
        <v>0</v>
      </c>
      <c r="AA49" s="94">
        <f>'החברה לפיתוח'!AA53</f>
        <v>742000</v>
      </c>
      <c r="AB49" s="11"/>
      <c r="AC49" s="11"/>
      <c r="AD49" s="11"/>
      <c r="AE49" s="11"/>
      <c r="AF49" s="11"/>
    </row>
    <row r="50" spans="1:32" s="9" customFormat="1" ht="15.75">
      <c r="A50" s="1">
        <f t="shared" si="3"/>
        <v>41</v>
      </c>
      <c r="B50" s="75">
        <v>1809</v>
      </c>
      <c r="C50" s="1" t="s">
        <v>241</v>
      </c>
      <c r="D50" s="2">
        <f>'החברה לפיתוח'!D54</f>
        <v>680000</v>
      </c>
      <c r="E50" s="2">
        <f>'החברה לפיתוח'!E54</f>
        <v>680000</v>
      </c>
      <c r="F50" s="2">
        <f>'החברה לפיתוח'!F54</f>
        <v>0</v>
      </c>
      <c r="G50" s="2">
        <f>'החברה לפיתוח'!G54</f>
        <v>680000</v>
      </c>
      <c r="H50" s="2">
        <f>'החברה לפיתוח'!H54</f>
        <v>260545</v>
      </c>
      <c r="I50" s="2">
        <f>'החברה לפיתוח'!I54</f>
        <v>0</v>
      </c>
      <c r="J50" s="2">
        <f>'החברה לפיתוח'!J54</f>
        <v>413976.2</v>
      </c>
      <c r="K50" s="2">
        <f>'החברה לפיתוח'!K54</f>
        <v>413976.2</v>
      </c>
      <c r="L50" s="2">
        <f>'החברה לפיתוח'!L54</f>
        <v>674521.2</v>
      </c>
      <c r="M50" s="2">
        <f>'החברה לפיתוח'!M54</f>
        <v>5478.8000000000466</v>
      </c>
      <c r="N50" s="2">
        <f>'החברה לפיתוח'!N54</f>
        <v>0</v>
      </c>
      <c r="O50" s="2">
        <f>'החברה לפיתוח'!O54</f>
        <v>0</v>
      </c>
      <c r="P50" s="2">
        <f>'החברה לפיתוח'!P54</f>
        <v>5478.8000000000466</v>
      </c>
      <c r="Q50" s="2">
        <f>'החברה לפיתוח'!Q54</f>
        <v>0</v>
      </c>
      <c r="R50" s="2">
        <f>'החברה לפיתוח'!R54</f>
        <v>0</v>
      </c>
      <c r="S50" s="2">
        <f>'החברה לפיתוח'!S54</f>
        <v>0</v>
      </c>
      <c r="T50" s="2">
        <f>'החברה לפיתוח'!T54</f>
        <v>0</v>
      </c>
      <c r="U50" s="2">
        <f>'החברה לפיתוח'!U54</f>
        <v>0</v>
      </c>
      <c r="V50" s="2">
        <f>'החברה לפיתוח'!V54</f>
        <v>0</v>
      </c>
      <c r="W50" s="2">
        <f>'החברה לפיתוח'!W54</f>
        <v>0</v>
      </c>
      <c r="X50" s="2">
        <f>'החברה לפיתוח'!X54</f>
        <v>0</v>
      </c>
      <c r="Y50" s="2">
        <f>'החברה לפיתוח'!Y54</f>
        <v>0</v>
      </c>
      <c r="Z50" s="2">
        <f>'החברה לפיתוח'!Z54</f>
        <v>0</v>
      </c>
      <c r="AA50" s="94">
        <f>'החברה לפיתוח'!AA54</f>
        <v>742000</v>
      </c>
      <c r="AB50" s="11"/>
      <c r="AC50" s="11"/>
      <c r="AD50" s="11"/>
      <c r="AE50" s="11"/>
      <c r="AF50" s="11"/>
    </row>
    <row r="51" spans="1:32" s="3" customFormat="1">
      <c r="A51" s="1">
        <f t="shared" si="3"/>
        <v>42</v>
      </c>
      <c r="B51" s="8">
        <v>1819</v>
      </c>
      <c r="C51" s="1" t="s">
        <v>238</v>
      </c>
      <c r="D51" s="2">
        <f>'החברה לפיתוח'!D55</f>
        <v>18000000</v>
      </c>
      <c r="E51" s="2">
        <f>'החברה לפיתוח'!E55</f>
        <v>18000000</v>
      </c>
      <c r="F51" s="2">
        <f>'החברה לפיתוח'!F55</f>
        <v>0</v>
      </c>
      <c r="G51" s="2">
        <f>'החברה לפיתוח'!G55</f>
        <v>400000</v>
      </c>
      <c r="H51" s="2">
        <f>'החברה לפיתוח'!H55</f>
        <v>238944.1</v>
      </c>
      <c r="I51" s="2">
        <f>'החברה לפיתוח'!I55</f>
        <v>0</v>
      </c>
      <c r="J51" s="2">
        <f>'החברה לפיתוח'!J55</f>
        <v>152289.18</v>
      </c>
      <c r="K51" s="2">
        <f>'החברה לפיתוח'!K55</f>
        <v>152289.18</v>
      </c>
      <c r="L51" s="2">
        <f>'החברה לפיתוח'!L55</f>
        <v>391233.28000000003</v>
      </c>
      <c r="M51" s="2">
        <f>'החברה לפיתוח'!M55</f>
        <v>1808766.72</v>
      </c>
      <c r="N51" s="2">
        <f>'החברה לפיתוח'!N55</f>
        <v>7000000</v>
      </c>
      <c r="O51" s="2">
        <f>'החברה לפיתוח'!O55</f>
        <v>8799999.9999999981</v>
      </c>
      <c r="P51" s="2">
        <f>'החברה לפיתוח'!P55</f>
        <v>8766.7199999999721</v>
      </c>
      <c r="Q51" s="2">
        <f>'החברה לפיתוח'!Q55</f>
        <v>1800000</v>
      </c>
      <c r="R51" s="2">
        <f>'החברה לפיתוח'!R55</f>
        <v>0</v>
      </c>
      <c r="S51" s="2">
        <f>'החברה לפיתוח'!S55</f>
        <v>1800000</v>
      </c>
      <c r="T51" s="2">
        <f>'החברה לפיתוח'!T55</f>
        <v>0</v>
      </c>
      <c r="U51" s="2">
        <f>'החברה לפיתוח'!U55</f>
        <v>7000000</v>
      </c>
      <c r="V51" s="2">
        <f>'החברה לפיתוח'!V55</f>
        <v>7000000</v>
      </c>
      <c r="W51" s="2">
        <f>'החברה לפיתוח'!W55</f>
        <v>0</v>
      </c>
      <c r="X51" s="2">
        <f>'החברה לפיתוח'!X55</f>
        <v>0</v>
      </c>
      <c r="Y51" s="2">
        <f>'החברה לפיתוח'!Y55</f>
        <v>0</v>
      </c>
      <c r="Z51" s="2">
        <f>'החברה לפיתוח'!Z55</f>
        <v>0</v>
      </c>
      <c r="AA51" s="94">
        <f>'החברה לפיתוח'!AA55</f>
        <v>742000</v>
      </c>
      <c r="AB51" s="11"/>
      <c r="AC51" s="11"/>
      <c r="AD51" s="11"/>
      <c r="AE51" s="11"/>
      <c r="AF51" s="11"/>
    </row>
    <row r="52" spans="1:32" s="10" customFormat="1">
      <c r="A52" s="1">
        <f t="shared" si="3"/>
        <v>43</v>
      </c>
      <c r="B52" s="8">
        <v>1827</v>
      </c>
      <c r="C52" s="1" t="s">
        <v>266</v>
      </c>
      <c r="D52" s="2">
        <f>'החברה לפיתוח'!D99</f>
        <v>100000000</v>
      </c>
      <c r="E52" s="2">
        <f>'החברה לפיתוח'!E99</f>
        <v>100000000</v>
      </c>
      <c r="F52" s="2">
        <f>'החברה לפיתוח'!F99</f>
        <v>0</v>
      </c>
      <c r="G52" s="2">
        <f>'החברה לפיתוח'!G99</f>
        <v>21000000</v>
      </c>
      <c r="H52" s="2">
        <f>'החברה לפיתוח'!H99</f>
        <v>12313995</v>
      </c>
      <c r="I52" s="2">
        <f>'החברה לפיתוח'!I99</f>
        <v>0</v>
      </c>
      <c r="J52" s="2">
        <f>'החברה לפיתוח'!J99</f>
        <v>3765093.76</v>
      </c>
      <c r="K52" s="2">
        <f>'החברה לפיתוח'!K99</f>
        <v>3765093.76</v>
      </c>
      <c r="L52" s="2">
        <f>'החברה לפיתוח'!L99</f>
        <v>16079088.76</v>
      </c>
      <c r="M52" s="2">
        <f>'החברה לפיתוח'!M99</f>
        <v>4920911.24</v>
      </c>
      <c r="N52" s="2">
        <f>'החברה לפיתוח'!N99</f>
        <v>62116279</v>
      </c>
      <c r="O52" s="2">
        <f>'החברה לפיתוח'!O99</f>
        <v>16883721</v>
      </c>
      <c r="P52" s="2">
        <f>'החברה לפיתוח'!P99</f>
        <v>4920911.24</v>
      </c>
      <c r="Q52" s="2">
        <f>'החברה לפיתוח'!Q99</f>
        <v>0</v>
      </c>
      <c r="R52" s="2">
        <f>'החברה לפיתוח'!R99</f>
        <v>0</v>
      </c>
      <c r="S52" s="2">
        <f>'החברה לפיתוח'!S99</f>
        <v>0</v>
      </c>
      <c r="T52" s="2">
        <f>'החברה לפיתוח'!T99</f>
        <v>0</v>
      </c>
      <c r="U52" s="2">
        <f>'החברה לפיתוח'!U99</f>
        <v>62116279</v>
      </c>
      <c r="V52" s="2">
        <f>'החברה לפיתוח'!V99</f>
        <v>-6.976744532585144E-2</v>
      </c>
      <c r="W52" s="2">
        <f>'החברה לפיתוח'!W99</f>
        <v>0</v>
      </c>
      <c r="X52" s="2">
        <f>'החברה לפיתוח'!X99</f>
        <v>0</v>
      </c>
      <c r="Y52" s="2">
        <f>'החברה לפיתוח'!Y99</f>
        <v>0</v>
      </c>
      <c r="Z52" s="2">
        <f>'החברה לפיתוח'!Z99</f>
        <v>62116279.069767445</v>
      </c>
      <c r="AA52" s="94">
        <f>'החברה לפיתוח'!AA99</f>
        <v>746000</v>
      </c>
      <c r="AB52" s="11"/>
      <c r="AC52" s="11"/>
      <c r="AD52" s="43"/>
      <c r="AE52" s="11"/>
      <c r="AF52" s="11"/>
    </row>
    <row r="53" spans="1:32" s="10" customFormat="1">
      <c r="A53" s="1">
        <f t="shared" si="3"/>
        <v>44</v>
      </c>
      <c r="B53" s="8">
        <v>1845</v>
      </c>
      <c r="C53" s="1" t="s">
        <v>269</v>
      </c>
      <c r="D53" s="2">
        <f>'החברה לפיתוח'!D62</f>
        <v>1500000</v>
      </c>
      <c r="E53" s="2">
        <f>'החברה לפיתוח'!E62</f>
        <v>1500000</v>
      </c>
      <c r="F53" s="2">
        <f>'החברה לפיתוח'!F62</f>
        <v>0</v>
      </c>
      <c r="G53" s="2">
        <f>'החברה לפיתוח'!G62</f>
        <v>200000</v>
      </c>
      <c r="H53" s="2">
        <f>'החברה לפיתוח'!H62</f>
        <v>0</v>
      </c>
      <c r="I53" s="2">
        <f>'החברה לפיתוח'!I62</f>
        <v>0</v>
      </c>
      <c r="J53" s="2">
        <f>'החברה לפיתוח'!J62</f>
        <v>0</v>
      </c>
      <c r="K53" s="2">
        <f>'החברה לפיתוח'!K62</f>
        <v>0</v>
      </c>
      <c r="L53" s="2">
        <f>'החברה לפיתוח'!L62</f>
        <v>0</v>
      </c>
      <c r="M53" s="2">
        <f>'החברה לפיתוח'!M62</f>
        <v>400000</v>
      </c>
      <c r="N53" s="2">
        <f>'החברה לפיתוח'!N62</f>
        <v>100000</v>
      </c>
      <c r="O53" s="2">
        <f>'החברה לפיתוח'!O62</f>
        <v>1000000</v>
      </c>
      <c r="P53" s="2">
        <f>'החברה לפיתוח'!P62</f>
        <v>200000</v>
      </c>
      <c r="Q53" s="2">
        <f>'החברה לפיתוח'!Q62</f>
        <v>200000</v>
      </c>
      <c r="R53" s="2">
        <f>'החברה לפיתוח'!R62</f>
        <v>0</v>
      </c>
      <c r="S53" s="2">
        <f>'החברה לפיתוח'!S62</f>
        <v>200000</v>
      </c>
      <c r="T53" s="2">
        <f>'החברה לפיתוח'!T62</f>
        <v>0</v>
      </c>
      <c r="U53" s="2">
        <f>'החברה לפיתוח'!U62</f>
        <v>100000</v>
      </c>
      <c r="V53" s="2">
        <f>'החברה לפיתוח'!V62</f>
        <v>100000</v>
      </c>
      <c r="W53" s="2">
        <f>'החברה לפיתוח'!W62</f>
        <v>0</v>
      </c>
      <c r="X53" s="2">
        <f>'החברה לפיתוח'!X62</f>
        <v>0</v>
      </c>
      <c r="Y53" s="2">
        <f>'החברה לפיתוח'!Y62</f>
        <v>0</v>
      </c>
      <c r="Z53" s="2">
        <f>'החברה לפיתוח'!Z62</f>
        <v>0</v>
      </c>
      <c r="AA53" s="94">
        <f>'החברה לפיתוח'!AA62</f>
        <v>742000</v>
      </c>
      <c r="AB53" s="11"/>
      <c r="AC53" s="11"/>
      <c r="AD53" s="11"/>
      <c r="AE53" s="11"/>
      <c r="AF53" s="11"/>
    </row>
    <row r="54" spans="1:32" s="7" customFormat="1">
      <c r="A54" s="1">
        <f t="shared" si="3"/>
        <v>45</v>
      </c>
      <c r="B54" s="1">
        <v>1904</v>
      </c>
      <c r="C54" s="1" t="s">
        <v>257</v>
      </c>
      <c r="D54" s="2">
        <f>'החברה לפיתוח'!D69</f>
        <v>5700000</v>
      </c>
      <c r="E54" s="2">
        <f>'החברה לפיתוח'!E69</f>
        <v>5700000</v>
      </c>
      <c r="F54" s="2">
        <f>'החברה לפיתוח'!F69</f>
        <v>0</v>
      </c>
      <c r="G54" s="2">
        <f>'החברה לפיתוח'!G69</f>
        <v>2000000</v>
      </c>
      <c r="H54" s="2">
        <f>'החברה לפיתוח'!H69</f>
        <v>64174</v>
      </c>
      <c r="I54" s="2">
        <f>'החברה לפיתוח'!I69</f>
        <v>0</v>
      </c>
      <c r="J54" s="2">
        <f>'החברה לפיתוח'!J69</f>
        <v>285824.33</v>
      </c>
      <c r="K54" s="2">
        <f>'החברה לפיתוח'!K69</f>
        <v>285824.33</v>
      </c>
      <c r="L54" s="2">
        <f>'החברה לפיתוח'!L69</f>
        <v>349998.33</v>
      </c>
      <c r="M54" s="2">
        <f>'החברה לפיתוח'!M69</f>
        <v>1650001.67</v>
      </c>
      <c r="N54" s="2">
        <f>'החברה לפיתוח'!N69</f>
        <v>3700000</v>
      </c>
      <c r="O54" s="2">
        <f>'החברה לפיתוח'!O69</f>
        <v>0</v>
      </c>
      <c r="P54" s="2">
        <f>'החברה לפיתוח'!P69</f>
        <v>1650001.67</v>
      </c>
      <c r="Q54" s="2">
        <f>'החברה לפיתוח'!Q69</f>
        <v>0</v>
      </c>
      <c r="R54" s="2">
        <f>'החברה לפיתוח'!R69</f>
        <v>0</v>
      </c>
      <c r="S54" s="2">
        <f>'החברה לפיתוח'!S69</f>
        <v>0</v>
      </c>
      <c r="T54" s="2">
        <f>'החברה לפיתוח'!T69</f>
        <v>0</v>
      </c>
      <c r="U54" s="2">
        <f>'החברה לפיתוח'!U69</f>
        <v>3700000</v>
      </c>
      <c r="V54" s="2">
        <f>'החברה לפיתוח'!V69</f>
        <v>2764000</v>
      </c>
      <c r="W54" s="2">
        <f>'החברה לפיתוח'!W69</f>
        <v>0</v>
      </c>
      <c r="X54" s="2">
        <f>'החברה לפיתוח'!X69</f>
        <v>0</v>
      </c>
      <c r="Y54" s="2">
        <f>'החברה לפיתוח'!Y69</f>
        <v>0</v>
      </c>
      <c r="Z54" s="2">
        <f>'החברה לפיתוח'!Z69</f>
        <v>936000</v>
      </c>
      <c r="AA54" s="94">
        <f>'החברה לפיתוח'!AA69</f>
        <v>742000</v>
      </c>
      <c r="AB54" s="3"/>
      <c r="AC54" s="3"/>
      <c r="AD54" s="3"/>
      <c r="AE54" s="3"/>
      <c r="AF54" s="3"/>
    </row>
    <row r="55" spans="1:32">
      <c r="A55" s="1">
        <f t="shared" si="3"/>
        <v>46</v>
      </c>
      <c r="B55" s="1">
        <v>1905</v>
      </c>
      <c r="C55" s="1" t="s">
        <v>263</v>
      </c>
      <c r="D55" s="2">
        <f>'החברה לפיתוח'!D100</f>
        <v>3366000</v>
      </c>
      <c r="E55" s="2">
        <f>'החברה לפיתוח'!E100</f>
        <v>3366000</v>
      </c>
      <c r="F55" s="2">
        <f>'החברה לפיתוח'!F100</f>
        <v>0</v>
      </c>
      <c r="G55" s="2">
        <f>'החברה לפיתוח'!G100</f>
        <v>3366000</v>
      </c>
      <c r="H55" s="2">
        <f>'החברה לפיתוח'!H100</f>
        <v>0</v>
      </c>
      <c r="I55" s="2">
        <f>'החברה לפיתוח'!I100</f>
        <v>0</v>
      </c>
      <c r="J55" s="2">
        <f>'החברה לפיתוח'!J100</f>
        <v>0</v>
      </c>
      <c r="K55" s="2">
        <f>'החברה לפיתוח'!K100</f>
        <v>0</v>
      </c>
      <c r="L55" s="2">
        <f>'החברה לפיתוח'!L100</f>
        <v>0</v>
      </c>
      <c r="M55" s="2">
        <f>'החברה לפיתוח'!M100</f>
        <v>3366000</v>
      </c>
      <c r="N55" s="2">
        <f>'החברה לפיתוח'!N100</f>
        <v>0</v>
      </c>
      <c r="O55" s="2">
        <f>'החברה לפיתוח'!O100</f>
        <v>0</v>
      </c>
      <c r="P55" s="2">
        <f>'החברה לפיתוח'!P100</f>
        <v>3366000</v>
      </c>
      <c r="Q55" s="2">
        <f>'החברה לפיתוח'!Q100</f>
        <v>0</v>
      </c>
      <c r="R55" s="2">
        <f>'החברה לפיתוח'!R100</f>
        <v>0</v>
      </c>
      <c r="S55" s="2">
        <f>'החברה לפיתוח'!S100</f>
        <v>0</v>
      </c>
      <c r="T55" s="2">
        <f>'החברה לפיתוח'!T100</f>
        <v>0</v>
      </c>
      <c r="U55" s="2">
        <f>'החברה לפיתוח'!U100</f>
        <v>0</v>
      </c>
      <c r="V55" s="2">
        <f>'החברה לפיתוח'!V100</f>
        <v>0</v>
      </c>
      <c r="W55" s="2">
        <f>'החברה לפיתוח'!W100</f>
        <v>0</v>
      </c>
      <c r="X55" s="2">
        <f>'החברה לפיתוח'!X100</f>
        <v>0</v>
      </c>
      <c r="Y55" s="2">
        <f>'החברה לפיתוח'!Y100</f>
        <v>0</v>
      </c>
      <c r="Z55" s="2">
        <f>'החברה לפיתוח'!Z100</f>
        <v>0</v>
      </c>
      <c r="AA55" s="94">
        <f>'החברה לפיתוח'!AA100</f>
        <v>746000</v>
      </c>
      <c r="AB55" s="3"/>
      <c r="AC55" s="3"/>
      <c r="AD55" s="3"/>
      <c r="AE55" s="3"/>
      <c r="AF55" s="3"/>
    </row>
    <row r="56" spans="1:32">
      <c r="A56" s="1">
        <f t="shared" si="3"/>
        <v>47</v>
      </c>
      <c r="B56" s="8">
        <v>1919</v>
      </c>
      <c r="C56" s="1" t="s">
        <v>273</v>
      </c>
      <c r="D56" s="2">
        <f>'החברה לפיתוח'!D110</f>
        <v>135100000</v>
      </c>
      <c r="E56" s="2">
        <f>'החברה לפיתוח'!E110</f>
        <v>135100000</v>
      </c>
      <c r="F56" s="2">
        <f>'החברה לפיתוח'!F110</f>
        <v>0</v>
      </c>
      <c r="G56" s="2">
        <f>'החברה לפיתוח'!G110</f>
        <v>9098527</v>
      </c>
      <c r="H56" s="2">
        <f>'החברה לפיתוח'!H110</f>
        <v>1043918</v>
      </c>
      <c r="I56" s="2">
        <f>'החברה לפיתוח'!I110</f>
        <v>0</v>
      </c>
      <c r="J56" s="2">
        <f>'החברה לפיתוח'!J110</f>
        <v>6567376.96</v>
      </c>
      <c r="K56" s="2">
        <f>'החברה לפיתוח'!K110</f>
        <v>6567376.96</v>
      </c>
      <c r="L56" s="2">
        <f>'החברה לפיתוח'!L110</f>
        <v>7611294.96</v>
      </c>
      <c r="M56" s="2">
        <f>'החברה לפיתוח'!M110</f>
        <v>1487232.04</v>
      </c>
      <c r="N56" s="2">
        <f>'החברה לפיתוח'!N110</f>
        <v>31000000</v>
      </c>
      <c r="O56" s="2">
        <f>'החברה לפיתוח'!O110</f>
        <v>95001473</v>
      </c>
      <c r="P56" s="2">
        <f>'החברה לפיתוח'!P110</f>
        <v>1487232.04</v>
      </c>
      <c r="Q56" s="2">
        <f>'החברה לפיתוח'!Q110</f>
        <v>0</v>
      </c>
      <c r="R56" s="2">
        <f>'החברה לפיתוח'!R110</f>
        <v>0</v>
      </c>
      <c r="S56" s="2">
        <f>'החברה לפיתוח'!S110</f>
        <v>0</v>
      </c>
      <c r="T56" s="2">
        <f>'החברה לפיתוח'!T110</f>
        <v>0</v>
      </c>
      <c r="U56" s="2">
        <f>'החברה לפיתוח'!U110</f>
        <v>31000000</v>
      </c>
      <c r="V56" s="2">
        <f>'החברה לפיתוח'!V110</f>
        <v>0</v>
      </c>
      <c r="W56" s="2">
        <f>'החברה לפיתוח'!W110</f>
        <v>0</v>
      </c>
      <c r="X56" s="2">
        <f>'החברה לפיתוח'!X110</f>
        <v>0</v>
      </c>
      <c r="Y56" s="2">
        <f>'החברה לפיתוח'!Y110</f>
        <v>0</v>
      </c>
      <c r="Z56" s="2">
        <f>'החברה לפיתוח'!Z110</f>
        <v>31000000</v>
      </c>
      <c r="AA56" s="94">
        <f>'החברה לפיתוח'!AA110</f>
        <v>742000</v>
      </c>
      <c r="AD56" s="47"/>
    </row>
    <row r="57" spans="1:32">
      <c r="A57" s="1">
        <f t="shared" si="3"/>
        <v>48</v>
      </c>
      <c r="B57" s="8">
        <v>1953</v>
      </c>
      <c r="C57" s="1" t="s">
        <v>336</v>
      </c>
      <c r="D57" s="2">
        <f>'החברה לפיתוח'!D75</f>
        <v>5300000</v>
      </c>
      <c r="E57" s="2">
        <f>'החברה לפיתוח'!E75</f>
        <v>5300000</v>
      </c>
      <c r="F57" s="2">
        <f>'החברה לפיתוח'!F75</f>
        <v>0</v>
      </c>
      <c r="G57" s="2">
        <f>'החברה לפיתוח'!G75</f>
        <v>1500000</v>
      </c>
      <c r="H57" s="2">
        <f>'החברה לפיתוח'!H75</f>
        <v>500000</v>
      </c>
      <c r="I57" s="2">
        <f>'החברה לפיתוח'!I75</f>
        <v>0</v>
      </c>
      <c r="J57" s="2">
        <f>'החברה לפיתוח'!J75</f>
        <v>99999.9</v>
      </c>
      <c r="K57" s="2">
        <f>'החברה לפיתוח'!K75</f>
        <v>99999.9</v>
      </c>
      <c r="L57" s="2">
        <f>'החברה לפיתוח'!L75</f>
        <v>599999.9</v>
      </c>
      <c r="M57" s="2">
        <f>'החברה לפיתוח'!M75</f>
        <v>900000.1</v>
      </c>
      <c r="N57" s="2">
        <f>'החברה לפיתוח'!N75</f>
        <v>3800000</v>
      </c>
      <c r="O57" s="2">
        <f>'החברה לפיתוח'!O75</f>
        <v>0</v>
      </c>
      <c r="P57" s="2">
        <f>'החברה לפיתוח'!P75</f>
        <v>900000.1</v>
      </c>
      <c r="Q57" s="2">
        <f>'החברה לפיתוח'!Q75</f>
        <v>0</v>
      </c>
      <c r="R57" s="2">
        <f>'החברה לפיתוח'!R75</f>
        <v>0</v>
      </c>
      <c r="S57" s="2">
        <f>'החברה לפיתוח'!S75</f>
        <v>0</v>
      </c>
      <c r="T57" s="2">
        <f>'החברה לפיתוח'!T75</f>
        <v>0</v>
      </c>
      <c r="U57" s="2">
        <f>'החברה לפיתוח'!U75</f>
        <v>3800000</v>
      </c>
      <c r="V57" s="2">
        <f>'החברה לפיתוח'!V75</f>
        <v>3800000</v>
      </c>
      <c r="W57" s="2">
        <f>'החברה לפיתוח'!W75</f>
        <v>0</v>
      </c>
      <c r="X57" s="2">
        <f>'החברה לפיתוח'!X75</f>
        <v>0</v>
      </c>
      <c r="Y57" s="2">
        <f>'החברה לפיתוח'!Y75</f>
        <v>0</v>
      </c>
      <c r="Z57" s="2">
        <f>'החברה לפיתוח'!Z75</f>
        <v>0</v>
      </c>
      <c r="AA57" s="94">
        <f>'החברה לפיתוח'!AA75</f>
        <v>742000</v>
      </c>
    </row>
    <row r="58" spans="1:32">
      <c r="A58" s="1">
        <f t="shared" si="3"/>
        <v>49</v>
      </c>
      <c r="B58" s="1">
        <v>1954</v>
      </c>
      <c r="C58" s="1" t="s">
        <v>337</v>
      </c>
      <c r="D58" s="2">
        <f>'החברה לפיתוח'!D76</f>
        <v>2000000</v>
      </c>
      <c r="E58" s="2">
        <f>'החברה לפיתוח'!E76</f>
        <v>2000000</v>
      </c>
      <c r="F58" s="2">
        <f>'החברה לפיתוח'!F76</f>
        <v>0</v>
      </c>
      <c r="G58" s="2">
        <f>'החברה לפיתוח'!G76</f>
        <v>400000</v>
      </c>
      <c r="H58" s="2">
        <f>'החברה לפיתוח'!H76</f>
        <v>46604</v>
      </c>
      <c r="I58" s="2">
        <f>'החברה לפיתוח'!I76</f>
        <v>0</v>
      </c>
      <c r="J58" s="2">
        <f>'החברה לפיתוח'!J76</f>
        <v>133682.94</v>
      </c>
      <c r="K58" s="2">
        <f>'החברה לפיתוח'!K76</f>
        <v>133682.94</v>
      </c>
      <c r="L58" s="2">
        <f>'החברה לפיתוח'!L76</f>
        <v>180286.94</v>
      </c>
      <c r="M58" s="2">
        <f>'החברה לפיתוח'!M76</f>
        <v>1819713.06</v>
      </c>
      <c r="N58" s="2">
        <f>'החברה לפיתוח'!N76</f>
        <v>0</v>
      </c>
      <c r="O58" s="2">
        <f>'החברה לפיתוח'!O76</f>
        <v>0</v>
      </c>
      <c r="P58" s="2">
        <f>'החברה לפיתוח'!P76</f>
        <v>219713.06</v>
      </c>
      <c r="Q58" s="2">
        <f>'החברה לפיתוח'!Q76</f>
        <v>1600000</v>
      </c>
      <c r="R58" s="2">
        <f>'החברה לפיתוח'!R76</f>
        <v>0</v>
      </c>
      <c r="S58" s="2">
        <f>'החברה לפיתוח'!S76</f>
        <v>1600000</v>
      </c>
      <c r="T58" s="2">
        <f>'החברה לפיתוח'!T76</f>
        <v>0</v>
      </c>
      <c r="U58" s="2">
        <f>'החברה לפיתוח'!U76</f>
        <v>0</v>
      </c>
      <c r="V58" s="2">
        <f>'החברה לפיתוח'!V76</f>
        <v>0</v>
      </c>
      <c r="W58" s="2">
        <f>'החברה לפיתוח'!W76</f>
        <v>0</v>
      </c>
      <c r="X58" s="2">
        <f>'החברה לפיתוח'!X76</f>
        <v>0</v>
      </c>
      <c r="Y58" s="2">
        <f>'החברה לפיתוח'!Y76</f>
        <v>0</v>
      </c>
      <c r="Z58" s="2">
        <f>'החברה לפיתוח'!Z76</f>
        <v>0</v>
      </c>
      <c r="AA58" s="94">
        <f>'החברה לפיתוח'!AA76</f>
        <v>742000</v>
      </c>
      <c r="AB58" s="3"/>
      <c r="AC58" s="3"/>
      <c r="AD58" s="3"/>
      <c r="AE58" s="3"/>
      <c r="AF58" s="3"/>
    </row>
    <row r="59" spans="1:32">
      <c r="A59" s="1">
        <f t="shared" si="3"/>
        <v>50</v>
      </c>
      <c r="B59" s="8">
        <v>1955</v>
      </c>
      <c r="C59" s="1" t="s">
        <v>338</v>
      </c>
      <c r="D59" s="2">
        <f>'החברה לפיתוח'!D77</f>
        <v>250000</v>
      </c>
      <c r="E59" s="2">
        <f>'החברה לפיתוח'!E77</f>
        <v>250000</v>
      </c>
      <c r="F59" s="2">
        <f>'החברה לפיתוח'!F77</f>
        <v>0</v>
      </c>
      <c r="G59" s="2">
        <f>'החברה לפיתוח'!G77</f>
        <v>250000</v>
      </c>
      <c r="H59" s="2">
        <f>'החברה לפיתוח'!H77</f>
        <v>0</v>
      </c>
      <c r="I59" s="2">
        <f>'החברה לפיתוח'!I77</f>
        <v>0</v>
      </c>
      <c r="J59" s="2">
        <f>'החברה לפיתוח'!J77</f>
        <v>0</v>
      </c>
      <c r="K59" s="2">
        <f>'החברה לפיתוח'!K77</f>
        <v>0</v>
      </c>
      <c r="L59" s="2">
        <f>'החברה לפיתוח'!L77</f>
        <v>0</v>
      </c>
      <c r="M59" s="2">
        <f>'החברה לפיתוח'!M77</f>
        <v>250000</v>
      </c>
      <c r="N59" s="2">
        <f>'החברה לפיתוח'!N77</f>
        <v>0</v>
      </c>
      <c r="O59" s="2">
        <f>'החברה לפיתוח'!O77</f>
        <v>0</v>
      </c>
      <c r="P59" s="2">
        <f>'החברה לפיתוח'!P77</f>
        <v>250000</v>
      </c>
      <c r="Q59" s="2">
        <f>'החברה לפיתוח'!Q77</f>
        <v>0</v>
      </c>
      <c r="R59" s="2">
        <f>'החברה לפיתוח'!R77</f>
        <v>0</v>
      </c>
      <c r="S59" s="2">
        <f>'החברה לפיתוח'!S77</f>
        <v>0</v>
      </c>
      <c r="T59" s="2">
        <f>'החברה לפיתוח'!T77</f>
        <v>0</v>
      </c>
      <c r="U59" s="2">
        <f>'החברה לפיתוח'!U77</f>
        <v>0</v>
      </c>
      <c r="V59" s="2">
        <f>'החברה לפיתוח'!V77</f>
        <v>0</v>
      </c>
      <c r="W59" s="2">
        <f>'החברה לפיתוח'!W77</f>
        <v>0</v>
      </c>
      <c r="X59" s="2">
        <f>'החברה לפיתוח'!X77</f>
        <v>0</v>
      </c>
      <c r="Y59" s="2">
        <f>'החברה לפיתוח'!Y77</f>
        <v>0</v>
      </c>
      <c r="Z59" s="2">
        <f>'החברה לפיתוח'!Z77</f>
        <v>0</v>
      </c>
      <c r="AA59" s="94">
        <f>'החברה לפיתוח'!AA77</f>
        <v>742000</v>
      </c>
    </row>
    <row r="60" spans="1:32" s="3" customFormat="1">
      <c r="A60" s="1">
        <f t="shared" si="3"/>
        <v>51</v>
      </c>
      <c r="B60" s="8">
        <v>1956</v>
      </c>
      <c r="C60" s="1" t="s">
        <v>387</v>
      </c>
      <c r="D60" s="2">
        <f>'החברה לפיתוח'!D78</f>
        <v>1500000</v>
      </c>
      <c r="E60" s="2">
        <f>'החברה לפיתוח'!E78</f>
        <v>1500000</v>
      </c>
      <c r="F60" s="2">
        <f>'החברה לפיתוח'!F78</f>
        <v>0</v>
      </c>
      <c r="G60" s="2">
        <f>'החברה לפיתוח'!G78</f>
        <v>750000</v>
      </c>
      <c r="H60" s="2">
        <f>'החברה לפיתוח'!H78</f>
        <v>0</v>
      </c>
      <c r="I60" s="2">
        <f>'החברה לפיתוח'!I78</f>
        <v>0</v>
      </c>
      <c r="J60" s="2">
        <f>'החברה לפיתוח'!J78</f>
        <v>0</v>
      </c>
      <c r="K60" s="2">
        <f>'החברה לפיתוח'!K78</f>
        <v>0</v>
      </c>
      <c r="L60" s="2">
        <f>'החברה לפיתוח'!L78</f>
        <v>0</v>
      </c>
      <c r="M60" s="2">
        <f>'החברה לפיתוח'!M78</f>
        <v>750000</v>
      </c>
      <c r="N60" s="2">
        <f>'החברה לפיתוח'!N78</f>
        <v>750000</v>
      </c>
      <c r="O60" s="2">
        <f>'החברה לפיתוח'!O78</f>
        <v>0</v>
      </c>
      <c r="P60" s="2">
        <f>'החברה לפיתוח'!P78</f>
        <v>750000</v>
      </c>
      <c r="Q60" s="2">
        <f>'החברה לפיתוח'!Q78</f>
        <v>0</v>
      </c>
      <c r="R60" s="2">
        <f>'החברה לפיתוח'!R78</f>
        <v>0</v>
      </c>
      <c r="S60" s="2">
        <f>'החברה לפיתוח'!S78</f>
        <v>0</v>
      </c>
      <c r="T60" s="2">
        <f>'החברה לפיתוח'!T78</f>
        <v>0</v>
      </c>
      <c r="U60" s="2">
        <f>'החברה לפיתוח'!U78</f>
        <v>750000</v>
      </c>
      <c r="V60" s="2">
        <f>'החברה לפיתוח'!V78</f>
        <v>750000</v>
      </c>
      <c r="W60" s="2">
        <f>'החברה לפיתוח'!W78</f>
        <v>0</v>
      </c>
      <c r="X60" s="2">
        <f>'החברה לפיתוח'!X78</f>
        <v>0</v>
      </c>
      <c r="Y60" s="2">
        <f>'החברה לפיתוח'!Y78</f>
        <v>0</v>
      </c>
      <c r="Z60" s="2">
        <f>'החברה לפיתוח'!Z78</f>
        <v>0</v>
      </c>
      <c r="AA60" s="94">
        <f>'החברה לפיתוח'!AA78</f>
        <v>742000</v>
      </c>
      <c r="AB60" s="11"/>
      <c r="AC60" s="11"/>
      <c r="AD60" s="11"/>
      <c r="AE60" s="11"/>
      <c r="AF60" s="11"/>
    </row>
    <row r="61" spans="1:32">
      <c r="A61" s="1">
        <f t="shared" si="3"/>
        <v>52</v>
      </c>
      <c r="B61" s="8">
        <v>1961</v>
      </c>
      <c r="C61" s="1" t="s">
        <v>384</v>
      </c>
      <c r="D61" s="2">
        <f>'החברה לפיתוח'!D113</f>
        <v>3000000</v>
      </c>
      <c r="E61" s="2">
        <f>'החברה לפיתוח'!E113</f>
        <v>3000000</v>
      </c>
      <c r="F61" s="2">
        <f>'החברה לפיתוח'!F113</f>
        <v>0</v>
      </c>
      <c r="G61" s="2">
        <f>'החברה לפיתוח'!G113</f>
        <v>1500000</v>
      </c>
      <c r="H61" s="2">
        <f>'החברה לפיתוח'!H113</f>
        <v>0</v>
      </c>
      <c r="I61" s="2">
        <f>'החברה לפיתוח'!I113</f>
        <v>0</v>
      </c>
      <c r="J61" s="2">
        <f>'החברה לפיתוח'!J113</f>
        <v>0</v>
      </c>
      <c r="K61" s="2">
        <f>'החברה לפיתוח'!K113</f>
        <v>0</v>
      </c>
      <c r="L61" s="2">
        <f>'החברה לפיתוח'!L113</f>
        <v>0</v>
      </c>
      <c r="M61" s="2">
        <f>'החברה לפיתוח'!M113</f>
        <v>1500000</v>
      </c>
      <c r="N61" s="2">
        <f>'החברה לפיתוח'!N113</f>
        <v>0</v>
      </c>
      <c r="O61" s="2">
        <f>'החברה לפיתוח'!O113</f>
        <v>1500000</v>
      </c>
      <c r="P61" s="2">
        <f>'החברה לפיתוח'!P113</f>
        <v>1500000</v>
      </c>
      <c r="Q61" s="2">
        <f>'החברה לפיתוח'!Q113</f>
        <v>0</v>
      </c>
      <c r="R61" s="2">
        <f>'החברה לפיתוח'!R113</f>
        <v>0</v>
      </c>
      <c r="S61" s="2">
        <f>'החברה לפיתוח'!S113</f>
        <v>0</v>
      </c>
      <c r="T61" s="2">
        <f>'החברה לפיתוח'!T113</f>
        <v>0</v>
      </c>
      <c r="U61" s="2">
        <f>'החברה לפיתוח'!U113</f>
        <v>0</v>
      </c>
      <c r="V61" s="2">
        <f>'החברה לפיתוח'!V113</f>
        <v>0</v>
      </c>
      <c r="W61" s="2">
        <f>'החברה לפיתוח'!W113</f>
        <v>0</v>
      </c>
      <c r="X61" s="2">
        <f>'החברה לפיתוח'!X113</f>
        <v>0</v>
      </c>
      <c r="Y61" s="2">
        <f>'החברה לפיתוח'!Y113</f>
        <v>0</v>
      </c>
      <c r="Z61" s="2">
        <f>'החברה לפיתוח'!Z113</f>
        <v>0</v>
      </c>
      <c r="AA61" s="94">
        <f>'החברה לפיתוח'!AA113</f>
        <v>742000</v>
      </c>
      <c r="AD61" s="43"/>
    </row>
    <row r="62" spans="1:32" s="3" customFormat="1">
      <c r="A62" s="1">
        <f t="shared" si="3"/>
        <v>53</v>
      </c>
      <c r="B62" s="8">
        <v>1962</v>
      </c>
      <c r="C62" s="1" t="s">
        <v>385</v>
      </c>
      <c r="D62" s="2">
        <f>'החברה לפיתוח'!D114</f>
        <v>20000000</v>
      </c>
      <c r="E62" s="2">
        <f>'החברה לפיתוח'!E114</f>
        <v>20000000</v>
      </c>
      <c r="F62" s="2">
        <f>'החברה לפיתוח'!F114</f>
        <v>0</v>
      </c>
      <c r="G62" s="2">
        <f>'החברה לפיתוח'!G114</f>
        <v>1000000</v>
      </c>
      <c r="H62" s="2">
        <f>'החברה לפיתוח'!H114</f>
        <v>0</v>
      </c>
      <c r="I62" s="2">
        <f>'החברה לפיתוח'!I114</f>
        <v>0</v>
      </c>
      <c r="J62" s="2">
        <f>'החברה לפיתוח'!J114</f>
        <v>0</v>
      </c>
      <c r="K62" s="2">
        <f>'החברה לפיתוח'!K114</f>
        <v>0</v>
      </c>
      <c r="L62" s="2">
        <f>'החברה לפיתוח'!L114</f>
        <v>0</v>
      </c>
      <c r="M62" s="2">
        <f>'החברה לפיתוח'!M114</f>
        <v>1000000</v>
      </c>
      <c r="N62" s="2">
        <f>'החברה לפיתוח'!N114</f>
        <v>0</v>
      </c>
      <c r="O62" s="2">
        <f>'החברה לפיתוח'!O114</f>
        <v>19000000</v>
      </c>
      <c r="P62" s="2">
        <f>'החברה לפיתוח'!P114</f>
        <v>1000000</v>
      </c>
      <c r="Q62" s="2">
        <f>'החברה לפיתוח'!Q114</f>
        <v>0</v>
      </c>
      <c r="R62" s="2">
        <f>'החברה לפיתוח'!R114</f>
        <v>0</v>
      </c>
      <c r="S62" s="2">
        <f>'החברה לפיתוח'!S114</f>
        <v>0</v>
      </c>
      <c r="T62" s="2">
        <f>'החברה לפיתוח'!T114</f>
        <v>0</v>
      </c>
      <c r="U62" s="2">
        <f>'החברה לפיתוח'!U114</f>
        <v>0</v>
      </c>
      <c r="V62" s="2">
        <f>'החברה לפיתוח'!V114</f>
        <v>0</v>
      </c>
      <c r="W62" s="2">
        <f>'החברה לפיתוח'!W114</f>
        <v>0</v>
      </c>
      <c r="X62" s="2">
        <f>'החברה לפיתוח'!X114</f>
        <v>0</v>
      </c>
      <c r="Y62" s="2">
        <f>'החברה לפיתוח'!Y114</f>
        <v>0</v>
      </c>
      <c r="Z62" s="2">
        <f>'החברה לפיתוח'!Z114</f>
        <v>0</v>
      </c>
      <c r="AA62" s="94">
        <f>'החברה לפיתוח'!AA114</f>
        <v>742000</v>
      </c>
      <c r="AB62" s="11"/>
      <c r="AC62" s="11"/>
      <c r="AD62" s="47"/>
      <c r="AE62" s="11"/>
      <c r="AF62" s="11"/>
    </row>
    <row r="63" spans="1:32" s="3" customFormat="1">
      <c r="A63" s="1">
        <f t="shared" si="3"/>
        <v>54</v>
      </c>
      <c r="B63" s="8">
        <v>1963</v>
      </c>
      <c r="C63" s="1" t="s">
        <v>404</v>
      </c>
      <c r="D63" s="2">
        <f>'החברה לפיתוח'!D115</f>
        <v>2800000</v>
      </c>
      <c r="E63" s="2">
        <f>'החברה לפיתוח'!E115</f>
        <v>2800000</v>
      </c>
      <c r="F63" s="2">
        <f>'החברה לפיתוח'!F115</f>
        <v>0</v>
      </c>
      <c r="G63" s="2">
        <f>'החברה לפיתוח'!G115</f>
        <v>309655</v>
      </c>
      <c r="H63" s="2">
        <f>'החברה לפיתוח'!H115</f>
        <v>0</v>
      </c>
      <c r="I63" s="2">
        <f>'החברה לפיתוח'!I115</f>
        <v>0</v>
      </c>
      <c r="J63" s="2">
        <f>'החברה לפיתוח'!J115</f>
        <v>0</v>
      </c>
      <c r="K63" s="2">
        <f>'החברה לפיתוח'!K115</f>
        <v>0</v>
      </c>
      <c r="L63" s="2">
        <f>'החברה לפיתוח'!L115</f>
        <v>0</v>
      </c>
      <c r="M63" s="2">
        <f>'החברה לפיתוח'!M115</f>
        <v>309655</v>
      </c>
      <c r="N63" s="2">
        <f>'החברה לפיתוח'!N115</f>
        <v>2490345</v>
      </c>
      <c r="O63" s="2">
        <f>'החברה לפיתוח'!O115</f>
        <v>0</v>
      </c>
      <c r="P63" s="2">
        <f>'החברה לפיתוח'!P115</f>
        <v>309655</v>
      </c>
      <c r="Q63" s="2">
        <f>'החברה לפיתוח'!Q115</f>
        <v>0</v>
      </c>
      <c r="R63" s="2">
        <f>'החברה לפיתוח'!R115</f>
        <v>0</v>
      </c>
      <c r="S63" s="2">
        <f>'החברה לפיתוח'!S115</f>
        <v>0</v>
      </c>
      <c r="T63" s="2">
        <f>'החברה לפיתוח'!T115</f>
        <v>0</v>
      </c>
      <c r="U63" s="2">
        <f>'החברה לפיתוח'!U115</f>
        <v>2490345</v>
      </c>
      <c r="V63" s="2">
        <f>'החברה לפיתוח'!V115</f>
        <v>0</v>
      </c>
      <c r="W63" s="2">
        <f>'החברה לפיתוח'!W115</f>
        <v>0</v>
      </c>
      <c r="X63" s="2">
        <f>'החברה לפיתוח'!X115</f>
        <v>0</v>
      </c>
      <c r="Y63" s="2">
        <f>'החברה לפיתוח'!Y115</f>
        <v>0</v>
      </c>
      <c r="Z63" s="2">
        <f>'החברה לפיתוח'!Z115</f>
        <v>2490345</v>
      </c>
      <c r="AA63" s="94">
        <f>'החברה לפיתוח'!AA115</f>
        <v>742000</v>
      </c>
      <c r="AB63" s="11"/>
      <c r="AC63" s="11"/>
      <c r="AD63" s="11"/>
      <c r="AE63" s="11"/>
      <c r="AF63" s="11"/>
    </row>
    <row r="64" spans="1:32" s="3" customFormat="1">
      <c r="A64" s="1">
        <f t="shared" si="3"/>
        <v>55</v>
      </c>
      <c r="B64" s="69">
        <v>2018</v>
      </c>
      <c r="C64" s="1" t="s">
        <v>458</v>
      </c>
      <c r="D64" s="2">
        <f>'החברה לפיתוח'!D85</f>
        <v>10000000</v>
      </c>
      <c r="E64" s="2">
        <f>'החברה לפיתוח'!E85</f>
        <v>0</v>
      </c>
      <c r="F64" s="2">
        <f>'החברה לפיתוח'!F85</f>
        <v>10000000</v>
      </c>
      <c r="G64" s="2">
        <f>'החברה לפיתוח'!G85</f>
        <v>0</v>
      </c>
      <c r="H64" s="2">
        <f>'החברה לפיתוח'!H85</f>
        <v>0</v>
      </c>
      <c r="I64" s="2">
        <f>'החברה לפיתוח'!I85</f>
        <v>0</v>
      </c>
      <c r="J64" s="2">
        <f>'החברה לפיתוח'!J85</f>
        <v>0</v>
      </c>
      <c r="K64" s="2">
        <f>'החברה לפיתוח'!K85</f>
        <v>0</v>
      </c>
      <c r="L64" s="2">
        <f>'החברה לפיתוח'!L85</f>
        <v>0</v>
      </c>
      <c r="M64" s="2">
        <f>'החברה לפיתוח'!M85</f>
        <v>0</v>
      </c>
      <c r="N64" s="2">
        <f>'החברה לפיתוח'!N85</f>
        <v>3300000</v>
      </c>
      <c r="O64" s="2">
        <f>'החברה לפיתוח'!O85</f>
        <v>6700000</v>
      </c>
      <c r="P64" s="2">
        <f>'החברה לפיתוח'!P85</f>
        <v>0</v>
      </c>
      <c r="Q64" s="2">
        <f>'החברה לפיתוח'!Q85</f>
        <v>0</v>
      </c>
      <c r="R64" s="2">
        <f>'החברה לפיתוח'!R85</f>
        <v>0</v>
      </c>
      <c r="S64" s="2">
        <f>'החברה לפיתוח'!S85</f>
        <v>0</v>
      </c>
      <c r="T64" s="2">
        <f>'החברה לפיתוח'!T85</f>
        <v>0</v>
      </c>
      <c r="U64" s="2">
        <f>'החברה לפיתוח'!U85</f>
        <v>3300000</v>
      </c>
      <c r="V64" s="2">
        <f>'החברה לפיתוח'!V85</f>
        <v>3300000</v>
      </c>
      <c r="W64" s="2">
        <f>'החברה לפיתוח'!W85</f>
        <v>0</v>
      </c>
      <c r="X64" s="2">
        <f>'החברה לפיתוח'!X85</f>
        <v>0</v>
      </c>
      <c r="Y64" s="2">
        <f>'החברה לפיתוח'!Y85</f>
        <v>0</v>
      </c>
      <c r="Z64" s="2">
        <f>'החברה לפיתוח'!Z85</f>
        <v>0</v>
      </c>
      <c r="AA64" s="94">
        <f>'החברה לפיתוח'!AA85</f>
        <v>742000</v>
      </c>
      <c r="AB64" s="11"/>
      <c r="AC64" s="11"/>
      <c r="AD64" s="11"/>
      <c r="AE64" s="11"/>
      <c r="AF64" s="11"/>
    </row>
    <row r="65" spans="1:32">
      <c r="A65" s="1">
        <f t="shared" si="3"/>
        <v>56</v>
      </c>
      <c r="B65" s="69">
        <v>2019</v>
      </c>
      <c r="C65" s="1" t="s">
        <v>459</v>
      </c>
      <c r="D65" s="2">
        <f>'החברה לפיתוח'!D86</f>
        <v>1200000</v>
      </c>
      <c r="E65" s="2">
        <f>'החברה לפיתוח'!E86</f>
        <v>0</v>
      </c>
      <c r="F65" s="2">
        <f>'החברה לפיתוח'!F86</f>
        <v>1200000</v>
      </c>
      <c r="G65" s="2">
        <f>'החברה לפיתוח'!G86</f>
        <v>0</v>
      </c>
      <c r="H65" s="2">
        <f>'החברה לפיתוח'!H86</f>
        <v>0</v>
      </c>
      <c r="I65" s="2">
        <f>'החברה לפיתוח'!I86</f>
        <v>0</v>
      </c>
      <c r="J65" s="2">
        <f>'החברה לפיתוח'!J86</f>
        <v>0</v>
      </c>
      <c r="K65" s="2">
        <f>'החברה לפיתוח'!K86</f>
        <v>0</v>
      </c>
      <c r="L65" s="2">
        <f>'החברה לפיתוח'!L86</f>
        <v>0</v>
      </c>
      <c r="M65" s="2">
        <f>'החברה לפיתוח'!M86</f>
        <v>0</v>
      </c>
      <c r="N65" s="2">
        <f>'החברה לפיתוח'!N86</f>
        <v>1200000</v>
      </c>
      <c r="O65" s="2">
        <f>'החברה לפיתוח'!O86</f>
        <v>0</v>
      </c>
      <c r="P65" s="2">
        <f>'החברה לפיתוח'!P86</f>
        <v>0</v>
      </c>
      <c r="Q65" s="2">
        <f>'החברה לפיתוח'!Q86</f>
        <v>0</v>
      </c>
      <c r="R65" s="2">
        <f>'החברה לפיתוח'!R86</f>
        <v>0</v>
      </c>
      <c r="S65" s="2">
        <f>'החברה לפיתוח'!S86</f>
        <v>0</v>
      </c>
      <c r="T65" s="2">
        <f>'החברה לפיתוח'!T86</f>
        <v>0</v>
      </c>
      <c r="U65" s="2">
        <f>'החברה לפיתוח'!U86</f>
        <v>1200000</v>
      </c>
      <c r="V65" s="2">
        <f>'החברה לפיתוח'!V86</f>
        <v>1200000</v>
      </c>
      <c r="W65" s="2">
        <f>'החברה לפיתוח'!W86</f>
        <v>0</v>
      </c>
      <c r="X65" s="2">
        <f>'החברה לפיתוח'!X86</f>
        <v>0</v>
      </c>
      <c r="Y65" s="2">
        <f>'החברה לפיתוח'!Y86</f>
        <v>0</v>
      </c>
      <c r="Z65" s="2">
        <f>'החברה לפיתוח'!Z86</f>
        <v>0</v>
      </c>
      <c r="AA65" s="94">
        <f>'החברה לפיתוח'!AA86</f>
        <v>742000</v>
      </c>
    </row>
    <row r="66" spans="1:32">
      <c r="A66" s="1">
        <f t="shared" si="3"/>
        <v>57</v>
      </c>
      <c r="B66" s="69">
        <v>2020</v>
      </c>
      <c r="C66" s="1" t="s">
        <v>930</v>
      </c>
      <c r="D66" s="2">
        <f>'החברה לפיתוח'!D87</f>
        <v>500000</v>
      </c>
      <c r="E66" s="2">
        <f>'החברה לפיתוח'!E87</f>
        <v>0</v>
      </c>
      <c r="F66" s="2">
        <f>'החברה לפיתוח'!F87</f>
        <v>500000</v>
      </c>
      <c r="G66" s="2">
        <f>'החברה לפיתוח'!G87</f>
        <v>0</v>
      </c>
      <c r="H66" s="2">
        <f>'החברה לפיתוח'!H87</f>
        <v>0</v>
      </c>
      <c r="I66" s="2">
        <f>'החברה לפיתוח'!I87</f>
        <v>0</v>
      </c>
      <c r="J66" s="2">
        <f>'החברה לפיתוח'!J87</f>
        <v>0</v>
      </c>
      <c r="K66" s="2">
        <f>'החברה לפיתוח'!K87</f>
        <v>0</v>
      </c>
      <c r="L66" s="2">
        <f>'החברה לפיתוח'!L87</f>
        <v>0</v>
      </c>
      <c r="M66" s="2">
        <f>'החברה לפיתוח'!M87</f>
        <v>0</v>
      </c>
      <c r="N66" s="2">
        <f>'החברה לפיתוח'!N87</f>
        <v>500000</v>
      </c>
      <c r="O66" s="2">
        <f>'החברה לפיתוח'!O87</f>
        <v>0</v>
      </c>
      <c r="P66" s="2">
        <f>'החברה לפיתוח'!P87</f>
        <v>0</v>
      </c>
      <c r="Q66" s="2">
        <f>'החברה לפיתוח'!Q87</f>
        <v>0</v>
      </c>
      <c r="R66" s="2">
        <f>'החברה לפיתוח'!R87</f>
        <v>0</v>
      </c>
      <c r="S66" s="2">
        <f>'החברה לפיתוח'!S87</f>
        <v>0</v>
      </c>
      <c r="T66" s="2">
        <f>'החברה לפיתוח'!T87</f>
        <v>0</v>
      </c>
      <c r="U66" s="2">
        <f>'החברה לפיתוח'!U87</f>
        <v>500000</v>
      </c>
      <c r="V66" s="2">
        <f>'החברה לפיתוח'!V87</f>
        <v>500000</v>
      </c>
      <c r="W66" s="2">
        <f>'החברה לפיתוח'!W87</f>
        <v>0</v>
      </c>
      <c r="X66" s="2">
        <f>'החברה לפיתוח'!X87</f>
        <v>0</v>
      </c>
      <c r="Y66" s="2">
        <f>'החברה לפיתוח'!Y87</f>
        <v>0</v>
      </c>
      <c r="Z66" s="2">
        <f>'החברה לפיתוח'!Z87</f>
        <v>0</v>
      </c>
      <c r="AA66" s="94">
        <f>'החברה לפיתוח'!AA87</f>
        <v>746000</v>
      </c>
    </row>
    <row r="67" spans="1:32" s="77" customFormat="1">
      <c r="A67" s="48"/>
      <c r="B67" s="76">
        <v>3</v>
      </c>
      <c r="C67" s="48" t="s">
        <v>1038</v>
      </c>
      <c r="D67" s="33">
        <f>SUM(D19:D66)</f>
        <v>1076753733</v>
      </c>
      <c r="E67" s="33">
        <f t="shared" ref="E67:Z67" si="4">SUM(E19:E66)</f>
        <v>1027853733</v>
      </c>
      <c r="F67" s="33">
        <f t="shared" si="4"/>
        <v>48900000</v>
      </c>
      <c r="G67" s="33">
        <f t="shared" si="4"/>
        <v>493441383</v>
      </c>
      <c r="H67" s="33">
        <f t="shared" si="4"/>
        <v>347188180.69</v>
      </c>
      <c r="I67" s="33">
        <f t="shared" si="4"/>
        <v>2323301.5699999998</v>
      </c>
      <c r="J67" s="33">
        <f t="shared" si="4"/>
        <v>44517523.049999997</v>
      </c>
      <c r="K67" s="33">
        <f t="shared" si="4"/>
        <v>46840824.61999999</v>
      </c>
      <c r="L67" s="33">
        <f t="shared" si="4"/>
        <v>394029005.30999994</v>
      </c>
      <c r="M67" s="33">
        <f t="shared" si="4"/>
        <v>118562377.68999998</v>
      </c>
      <c r="N67" s="33">
        <f t="shared" si="4"/>
        <v>221566556</v>
      </c>
      <c r="O67" s="33">
        <f t="shared" si="4"/>
        <v>342595794</v>
      </c>
      <c r="P67" s="33">
        <f t="shared" si="4"/>
        <v>99412377.689999983</v>
      </c>
      <c r="Q67" s="33">
        <f t="shared" si="4"/>
        <v>19150000</v>
      </c>
      <c r="R67" s="33">
        <f t="shared" si="4"/>
        <v>0</v>
      </c>
      <c r="S67" s="33">
        <f t="shared" si="4"/>
        <v>19150000</v>
      </c>
      <c r="T67" s="33">
        <f t="shared" si="4"/>
        <v>0</v>
      </c>
      <c r="U67" s="33">
        <f t="shared" si="4"/>
        <v>221566556</v>
      </c>
      <c r="V67" s="33">
        <f t="shared" si="4"/>
        <v>82323931.930232555</v>
      </c>
      <c r="W67" s="33">
        <f t="shared" si="4"/>
        <v>0</v>
      </c>
      <c r="X67" s="33">
        <f t="shared" si="4"/>
        <v>0</v>
      </c>
      <c r="Y67" s="33">
        <f t="shared" si="4"/>
        <v>21700000</v>
      </c>
      <c r="Z67" s="33">
        <f t="shared" si="4"/>
        <v>117542624.06976745</v>
      </c>
      <c r="AA67" s="96"/>
    </row>
    <row r="68" spans="1:32">
      <c r="A68" s="1"/>
      <c r="B68" s="1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94"/>
      <c r="AB68" s="3"/>
      <c r="AC68" s="3"/>
      <c r="AD68" s="3"/>
      <c r="AE68" s="3"/>
      <c r="AF68" s="3"/>
    </row>
    <row r="69" spans="1:32">
      <c r="A69" s="1">
        <f>A66+1</f>
        <v>58</v>
      </c>
      <c r="B69" s="1">
        <v>576</v>
      </c>
      <c r="C69" s="1" t="s">
        <v>167</v>
      </c>
      <c r="D69" s="2">
        <f>'החברה לפיתוח'!D10</f>
        <v>55113000</v>
      </c>
      <c r="E69" s="2">
        <f>'החברה לפיתוח'!E10</f>
        <v>55113000</v>
      </c>
      <c r="F69" s="2">
        <f>'החברה לפיתוח'!F10</f>
        <v>0</v>
      </c>
      <c r="G69" s="2">
        <f>'החברה לפיתוח'!G10</f>
        <v>45113000</v>
      </c>
      <c r="H69" s="2">
        <f>'החברה לפיתוח'!H10</f>
        <v>42336585.600000001</v>
      </c>
      <c r="I69" s="2">
        <f>'החברה לפיתוח'!I10</f>
        <v>0</v>
      </c>
      <c r="J69" s="2">
        <f>'החברה לפיתוח'!J10</f>
        <v>1464266.78</v>
      </c>
      <c r="K69" s="2">
        <f>'החברה לפיתוח'!K10</f>
        <v>1464266.78</v>
      </c>
      <c r="L69" s="2">
        <f>'החברה לפיתוח'!L10</f>
        <v>43800852.380000003</v>
      </c>
      <c r="M69" s="2">
        <f>'החברה לפיתוח'!M10</f>
        <v>112147.61999999732</v>
      </c>
      <c r="N69" s="2">
        <f>'החברה לפיתוח'!N10</f>
        <v>10000000</v>
      </c>
      <c r="O69" s="2">
        <f>'החברה לפיתוח'!O10</f>
        <v>1200000</v>
      </c>
      <c r="P69" s="2">
        <f>'החברה לפיתוח'!P10</f>
        <v>1312147.6199999973</v>
      </c>
      <c r="Q69" s="2">
        <f>'החברה לפיתוח'!Q10</f>
        <v>0</v>
      </c>
      <c r="R69" s="2">
        <f>'החברה לפיתוח'!R10</f>
        <v>-1200000</v>
      </c>
      <c r="S69" s="2">
        <f>'החברה לפיתוח'!S10</f>
        <v>-1200000</v>
      </c>
      <c r="T69" s="2">
        <f>'החברה לפיתוח'!T10</f>
        <v>0</v>
      </c>
      <c r="U69" s="2">
        <f>'החברה לפיתוח'!U10</f>
        <v>10000000</v>
      </c>
      <c r="V69" s="2">
        <f>'החברה לפיתוח'!V10</f>
        <v>5000000</v>
      </c>
      <c r="W69" s="2">
        <f>'החברה לפיתוח'!W10</f>
        <v>0</v>
      </c>
      <c r="X69" s="2">
        <f>'החברה לפיתוח'!X10</f>
        <v>0</v>
      </c>
      <c r="Y69" s="2">
        <f>'החברה לפיתוח'!Y10</f>
        <v>0</v>
      </c>
      <c r="Z69" s="2">
        <f>'החברה לפיתוח'!Z10</f>
        <v>5000000</v>
      </c>
      <c r="AA69" s="94">
        <f>'החברה לפיתוח'!AA10</f>
        <v>760000</v>
      </c>
      <c r="AB69" s="7"/>
      <c r="AC69" s="7"/>
      <c r="AD69" s="7"/>
      <c r="AE69" s="7"/>
      <c r="AF69" s="7"/>
    </row>
    <row r="70" spans="1:32" s="77" customFormat="1">
      <c r="A70" s="48"/>
      <c r="B70" s="76">
        <v>5</v>
      </c>
      <c r="C70" s="48" t="s">
        <v>1039</v>
      </c>
      <c r="D70" s="33">
        <f>SUM(D69)</f>
        <v>55113000</v>
      </c>
      <c r="E70" s="33">
        <f t="shared" ref="E70:Z70" si="5">SUM(E69)</f>
        <v>55113000</v>
      </c>
      <c r="F70" s="33">
        <f t="shared" si="5"/>
        <v>0</v>
      </c>
      <c r="G70" s="33">
        <f t="shared" si="5"/>
        <v>45113000</v>
      </c>
      <c r="H70" s="33">
        <f t="shared" si="5"/>
        <v>42336585.600000001</v>
      </c>
      <c r="I70" s="33">
        <f t="shared" si="5"/>
        <v>0</v>
      </c>
      <c r="J70" s="33">
        <f t="shared" si="5"/>
        <v>1464266.78</v>
      </c>
      <c r="K70" s="33">
        <f t="shared" si="5"/>
        <v>1464266.78</v>
      </c>
      <c r="L70" s="33">
        <f t="shared" si="5"/>
        <v>43800852.380000003</v>
      </c>
      <c r="M70" s="33">
        <f t="shared" si="5"/>
        <v>112147.61999999732</v>
      </c>
      <c r="N70" s="33">
        <f t="shared" si="5"/>
        <v>10000000</v>
      </c>
      <c r="O70" s="33">
        <f t="shared" si="5"/>
        <v>1200000</v>
      </c>
      <c r="P70" s="33">
        <f t="shared" si="5"/>
        <v>1312147.6199999973</v>
      </c>
      <c r="Q70" s="33">
        <f t="shared" si="5"/>
        <v>0</v>
      </c>
      <c r="R70" s="33">
        <f t="shared" si="5"/>
        <v>-1200000</v>
      </c>
      <c r="S70" s="33">
        <f t="shared" si="5"/>
        <v>-1200000</v>
      </c>
      <c r="T70" s="33">
        <f t="shared" si="5"/>
        <v>0</v>
      </c>
      <c r="U70" s="33">
        <f t="shared" si="5"/>
        <v>10000000</v>
      </c>
      <c r="V70" s="33">
        <f t="shared" si="5"/>
        <v>5000000</v>
      </c>
      <c r="W70" s="33">
        <f t="shared" si="5"/>
        <v>0</v>
      </c>
      <c r="X70" s="33">
        <f t="shared" si="5"/>
        <v>0</v>
      </c>
      <c r="Y70" s="33">
        <f t="shared" si="5"/>
        <v>0</v>
      </c>
      <c r="Z70" s="33">
        <f t="shared" si="5"/>
        <v>5000000</v>
      </c>
      <c r="AA70" s="96"/>
    </row>
    <row r="71" spans="1:32">
      <c r="A71" s="1"/>
      <c r="B71" s="1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94"/>
      <c r="AB71" s="7"/>
      <c r="AC71" s="7"/>
      <c r="AD71" s="7"/>
      <c r="AE71" s="7"/>
      <c r="AF71" s="7"/>
    </row>
    <row r="72" spans="1:32">
      <c r="A72" s="1">
        <f>A69+1</f>
        <v>59</v>
      </c>
      <c r="B72" s="1">
        <v>1751</v>
      </c>
      <c r="C72" s="1" t="s">
        <v>221</v>
      </c>
      <c r="D72" s="2">
        <f>'החברה לפיתוח'!D45</f>
        <v>4800000</v>
      </c>
      <c r="E72" s="2">
        <f>'החברה לפיתוח'!E45</f>
        <v>4800000</v>
      </c>
      <c r="F72" s="2">
        <f>'החברה לפיתוח'!F45</f>
        <v>0</v>
      </c>
      <c r="G72" s="2">
        <f>'החברה לפיתוח'!G45</f>
        <v>4000000</v>
      </c>
      <c r="H72" s="2">
        <f>'החברה לפיתוח'!H45</f>
        <v>628343</v>
      </c>
      <c r="I72" s="2">
        <f>'החברה לפיתוח'!I45</f>
        <v>0</v>
      </c>
      <c r="J72" s="2">
        <f>'החברה לפיתוח'!J45</f>
        <v>1864344.66</v>
      </c>
      <c r="K72" s="2">
        <f>'החברה לפיתוח'!K45</f>
        <v>1864344.66</v>
      </c>
      <c r="L72" s="2">
        <f>'החברה לפיתוח'!L45</f>
        <v>2492687.66</v>
      </c>
      <c r="M72" s="2">
        <f>'החברה לפיתוח'!M45</f>
        <v>1507312.3399999999</v>
      </c>
      <c r="N72" s="2">
        <f>'החברה לפיתוח'!N45</f>
        <v>800000</v>
      </c>
      <c r="O72" s="2">
        <f>'החברה לפיתוח'!O45</f>
        <v>0</v>
      </c>
      <c r="P72" s="2">
        <f>'החברה לפיתוח'!P45</f>
        <v>1507312.3399999999</v>
      </c>
      <c r="Q72" s="2">
        <f>'החברה לפיתוח'!Q45</f>
        <v>0</v>
      </c>
      <c r="R72" s="2">
        <f>'החברה לפיתוח'!R45</f>
        <v>0</v>
      </c>
      <c r="S72" s="2">
        <f>'החברה לפיתוח'!S45</f>
        <v>0</v>
      </c>
      <c r="T72" s="2">
        <f>'החברה לפיתוח'!T45</f>
        <v>0</v>
      </c>
      <c r="U72" s="2">
        <f>'החברה לפיתוח'!U45</f>
        <v>800000</v>
      </c>
      <c r="V72" s="2">
        <f>'החברה לפיתוח'!V45</f>
        <v>800000</v>
      </c>
      <c r="W72" s="2">
        <f>'החברה לפיתוח'!W45</f>
        <v>0</v>
      </c>
      <c r="X72" s="2">
        <f>'החברה לפיתוח'!X45</f>
        <v>0</v>
      </c>
      <c r="Y72" s="2">
        <f>'החברה לפיתוח'!Y45</f>
        <v>0</v>
      </c>
      <c r="Z72" s="2">
        <f>'החברה לפיתוח'!Z45</f>
        <v>0</v>
      </c>
      <c r="AA72" s="94">
        <f>'החברה לפיתוח'!AA45</f>
        <v>810000</v>
      </c>
      <c r="AB72" s="694"/>
      <c r="AC72" s="3"/>
      <c r="AD72" s="3"/>
      <c r="AE72" s="3"/>
      <c r="AF72" s="3"/>
    </row>
    <row r="73" spans="1:32" s="3" customFormat="1" ht="15" customHeight="1">
      <c r="A73" s="1">
        <f>A72+1</f>
        <v>60</v>
      </c>
      <c r="B73" s="1">
        <v>1825</v>
      </c>
      <c r="C73" s="1" t="s">
        <v>926</v>
      </c>
      <c r="D73" s="2">
        <f>'החברה לפיתוח'!D56</f>
        <v>36000000</v>
      </c>
      <c r="E73" s="2">
        <f>'החברה לפיתוח'!E56</f>
        <v>35000000</v>
      </c>
      <c r="F73" s="2">
        <f>'החברה לפיתוח'!F56</f>
        <v>1000000</v>
      </c>
      <c r="G73" s="2">
        <f>'החברה לפיתוח'!G56</f>
        <v>14699170</v>
      </c>
      <c r="H73" s="2">
        <f>'החברה לפיתוח'!H56</f>
        <v>1049503</v>
      </c>
      <c r="I73" s="2">
        <f>'החברה לפיתוח'!I56</f>
        <v>0</v>
      </c>
      <c r="J73" s="2">
        <f>'החברה לפיתוח'!J56</f>
        <v>319673.84000000003</v>
      </c>
      <c r="K73" s="2">
        <f>'החברה לפיתוח'!K56</f>
        <v>319673.84000000003</v>
      </c>
      <c r="L73" s="2">
        <f>'החברה לפיתוח'!L56</f>
        <v>1369176.84</v>
      </c>
      <c r="M73" s="2">
        <f>'החברה לפיתוח'!M56</f>
        <v>13329993.16</v>
      </c>
      <c r="N73" s="2">
        <f>'החברה לפיתוח'!N56</f>
        <v>21300830</v>
      </c>
      <c r="O73" s="2">
        <f>'החברה לפיתוח'!O56</f>
        <v>0</v>
      </c>
      <c r="P73" s="2">
        <f>'החברה לפיתוח'!P56</f>
        <v>13329993.16</v>
      </c>
      <c r="Q73" s="2">
        <f>'החברה לפיתוח'!Q56</f>
        <v>0</v>
      </c>
      <c r="R73" s="2">
        <f>'החברה לפיתוח'!R56</f>
        <v>0</v>
      </c>
      <c r="S73" s="2">
        <f>'החברה לפיתוח'!S56</f>
        <v>0</v>
      </c>
      <c r="T73" s="2">
        <f>'החברה לפיתוח'!T56</f>
        <v>0</v>
      </c>
      <c r="U73" s="2">
        <f>'החברה לפיתוח'!U56</f>
        <v>21300830</v>
      </c>
      <c r="V73" s="2">
        <f>'החברה לפיתוח'!V56</f>
        <v>13318670</v>
      </c>
      <c r="W73" s="2">
        <f>'החברה לפיתוח'!W56</f>
        <v>0</v>
      </c>
      <c r="X73" s="2">
        <f>'החברה לפיתוח'!X56</f>
        <v>0</v>
      </c>
      <c r="Y73" s="2">
        <f>'החברה לפיתוח'!Y56</f>
        <v>0</v>
      </c>
      <c r="Z73" s="2">
        <f>'החברה לפיתוח'!Z56</f>
        <v>7982160</v>
      </c>
      <c r="AA73" s="94">
        <f>'החברה לפיתוח'!AA56</f>
        <v>810000</v>
      </c>
    </row>
    <row r="74" spans="1:32">
      <c r="A74" s="1">
        <f t="shared" ref="A74:A93" si="6">A73+1</f>
        <v>61</v>
      </c>
      <c r="B74" s="8">
        <v>1847</v>
      </c>
      <c r="C74" s="1" t="s">
        <v>927</v>
      </c>
      <c r="D74" s="2">
        <f>'החברה לפיתוח'!D64</f>
        <v>7340000</v>
      </c>
      <c r="E74" s="2">
        <f>'החברה לפיתוח'!E64</f>
        <v>7340000</v>
      </c>
      <c r="F74" s="2">
        <f>'החברה לפיתוח'!F64</f>
        <v>0</v>
      </c>
      <c r="G74" s="2">
        <f>'החברה לפיתוח'!G64</f>
        <v>7340000</v>
      </c>
      <c r="H74" s="2">
        <f>'החברה לפיתוח'!H64</f>
        <v>6891340</v>
      </c>
      <c r="I74" s="2">
        <f>'החברה לפיתוח'!I64</f>
        <v>0</v>
      </c>
      <c r="J74" s="2">
        <f>'החברה לפיתוח'!J64</f>
        <v>421312.69</v>
      </c>
      <c r="K74" s="2">
        <f>'החברה לפיתוח'!K64</f>
        <v>421312.69</v>
      </c>
      <c r="L74" s="2">
        <f>'החברה לפיתוח'!L64</f>
        <v>7312652.6900000004</v>
      </c>
      <c r="M74" s="2">
        <f>'החברה לפיתוח'!M64</f>
        <v>27347.30999999959</v>
      </c>
      <c r="N74" s="2">
        <f>'החברה לפיתוח'!N64</f>
        <v>0</v>
      </c>
      <c r="O74" s="2">
        <f>'החברה לפיתוח'!O64</f>
        <v>0</v>
      </c>
      <c r="P74" s="2">
        <f>'החברה לפיתוח'!P64</f>
        <v>27347.30999999959</v>
      </c>
      <c r="Q74" s="2">
        <f>'החברה לפיתוח'!Q64</f>
        <v>0</v>
      </c>
      <c r="R74" s="2">
        <f>'החברה לפיתוח'!R64</f>
        <v>0</v>
      </c>
      <c r="S74" s="2">
        <f>'החברה לפיתוח'!S64</f>
        <v>0</v>
      </c>
      <c r="T74" s="2">
        <f>'החברה לפיתוח'!T64</f>
        <v>0</v>
      </c>
      <c r="U74" s="2">
        <f>'החברה לפיתוח'!U64</f>
        <v>0</v>
      </c>
      <c r="V74" s="2">
        <f>'החברה לפיתוח'!V64</f>
        <v>0</v>
      </c>
      <c r="W74" s="2">
        <f>'החברה לפיתוח'!W64</f>
        <v>0</v>
      </c>
      <c r="X74" s="2">
        <f>'החברה לפיתוח'!X64</f>
        <v>0</v>
      </c>
      <c r="Y74" s="2">
        <f>'החברה לפיתוח'!Y64</f>
        <v>0</v>
      </c>
      <c r="Z74" s="2">
        <f>'החברה לפיתוח'!Z64</f>
        <v>0</v>
      </c>
      <c r="AA74" s="94">
        <f>'החברה לפיתוח'!AA64</f>
        <v>810000</v>
      </c>
    </row>
    <row r="75" spans="1:32">
      <c r="A75" s="1">
        <f t="shared" si="6"/>
        <v>62</v>
      </c>
      <c r="B75" s="1">
        <v>1854</v>
      </c>
      <c r="C75" s="1" t="s">
        <v>427</v>
      </c>
      <c r="D75" s="2">
        <f>'החברה לפיתוח'!D65</f>
        <v>5600000</v>
      </c>
      <c r="E75" s="2">
        <f>'החברה לפיתוח'!E65</f>
        <v>5600000</v>
      </c>
      <c r="F75" s="2">
        <f>'החברה לפיתוח'!F65</f>
        <v>0</v>
      </c>
      <c r="G75" s="2">
        <f>'החברה לפיתוח'!G65</f>
        <v>5600000</v>
      </c>
      <c r="H75" s="2">
        <f>'החברה לפיתוח'!H65</f>
        <v>2326383</v>
      </c>
      <c r="I75" s="2">
        <f>'החברה לפיתוח'!I65</f>
        <v>0</v>
      </c>
      <c r="J75" s="2">
        <f>'החברה לפיתוח'!J65</f>
        <v>3050956.02</v>
      </c>
      <c r="K75" s="2">
        <f>'החברה לפיתוח'!K65</f>
        <v>3050956.02</v>
      </c>
      <c r="L75" s="2">
        <f>'החברה לפיתוח'!L65</f>
        <v>5377339.0199999996</v>
      </c>
      <c r="M75" s="2">
        <f>'החברה לפיתוח'!M65</f>
        <v>222660.98000000045</v>
      </c>
      <c r="N75" s="2">
        <f>'החברה לפיתוח'!N65</f>
        <v>0</v>
      </c>
      <c r="O75" s="2">
        <f>'החברה לפיתוח'!O65</f>
        <v>0</v>
      </c>
      <c r="P75" s="2">
        <f>'החברה לפיתוח'!P65</f>
        <v>222660.98000000045</v>
      </c>
      <c r="Q75" s="2">
        <f>'החברה לפיתוח'!Q65</f>
        <v>0</v>
      </c>
      <c r="R75" s="2">
        <f>'החברה לפיתוח'!R65</f>
        <v>0</v>
      </c>
      <c r="S75" s="2">
        <f>'החברה לפיתוח'!S65</f>
        <v>0</v>
      </c>
      <c r="T75" s="2">
        <f>'החברה לפיתוח'!T65</f>
        <v>0</v>
      </c>
      <c r="U75" s="2">
        <f>'החברה לפיתוח'!U65</f>
        <v>0</v>
      </c>
      <c r="V75" s="2">
        <f>'החברה לפיתוח'!V65</f>
        <v>0</v>
      </c>
      <c r="W75" s="2">
        <f>'החברה לפיתוח'!W65</f>
        <v>0</v>
      </c>
      <c r="X75" s="2">
        <f>'החברה לפיתוח'!X65</f>
        <v>0</v>
      </c>
      <c r="Y75" s="2">
        <f>'החברה לפיתוח'!Y65</f>
        <v>0</v>
      </c>
      <c r="Z75" s="2">
        <f>'החברה לפיתוח'!Z65</f>
        <v>0</v>
      </c>
      <c r="AA75" s="94">
        <f>'החברה לפיתוח'!AA65</f>
        <v>810000</v>
      </c>
      <c r="AB75" s="3"/>
      <c r="AC75" s="3"/>
      <c r="AD75" s="3"/>
      <c r="AE75" s="3"/>
      <c r="AF75" s="3"/>
    </row>
    <row r="76" spans="1:32">
      <c r="A76" s="1">
        <f t="shared" si="6"/>
        <v>63</v>
      </c>
      <c r="B76" s="8">
        <v>1894</v>
      </c>
      <c r="C76" s="1" t="s">
        <v>928</v>
      </c>
      <c r="D76" s="2">
        <f>'החברה לפיתוח'!D66</f>
        <v>7100000</v>
      </c>
      <c r="E76" s="2">
        <f>'החברה לפיתוח'!E66</f>
        <v>7100000</v>
      </c>
      <c r="F76" s="2">
        <f>'החברה לפיתוח'!F66</f>
        <v>0</v>
      </c>
      <c r="G76" s="2">
        <f>'החברה לפיתוח'!G66</f>
        <v>7100000</v>
      </c>
      <c r="H76" s="2">
        <f>'החברה לפיתוח'!H66</f>
        <v>3151157</v>
      </c>
      <c r="I76" s="2">
        <f>'החברה לפיתוח'!I66</f>
        <v>0</v>
      </c>
      <c r="J76" s="2">
        <f>'החברה לפיתוח'!J66</f>
        <v>2956646.17</v>
      </c>
      <c r="K76" s="2">
        <f>'החברה לפיתוח'!K66</f>
        <v>2956646.17</v>
      </c>
      <c r="L76" s="2">
        <f>'החברה לפיתוח'!L66</f>
        <v>6107803.1699999999</v>
      </c>
      <c r="M76" s="2">
        <f>'החברה לפיתוח'!M66</f>
        <v>992196.83000000007</v>
      </c>
      <c r="N76" s="2">
        <f>'החברה לפיתוח'!N66</f>
        <v>0</v>
      </c>
      <c r="O76" s="2">
        <f>'החברה לפיתוח'!O66</f>
        <v>0</v>
      </c>
      <c r="P76" s="2">
        <f>'החברה לפיתוח'!P66</f>
        <v>992196.83000000007</v>
      </c>
      <c r="Q76" s="2">
        <f>'החברה לפיתוח'!Q66</f>
        <v>0</v>
      </c>
      <c r="R76" s="2">
        <f>'החברה לפיתוח'!R66</f>
        <v>0</v>
      </c>
      <c r="S76" s="2">
        <f>'החברה לפיתוח'!S66</f>
        <v>0</v>
      </c>
      <c r="T76" s="2">
        <f>'החברה לפיתוח'!T66</f>
        <v>0</v>
      </c>
      <c r="U76" s="2">
        <f>'החברה לפיתוח'!U66</f>
        <v>0</v>
      </c>
      <c r="V76" s="2">
        <f>'החברה לפיתוח'!V66</f>
        <v>0</v>
      </c>
      <c r="W76" s="2">
        <f>'החברה לפיתוח'!W66</f>
        <v>0</v>
      </c>
      <c r="X76" s="2">
        <f>'החברה לפיתוח'!X66</f>
        <v>0</v>
      </c>
      <c r="Y76" s="2">
        <f>'החברה לפיתוח'!Y66</f>
        <v>0</v>
      </c>
      <c r="Z76" s="2">
        <f>'החברה לפיתוח'!Z66</f>
        <v>0</v>
      </c>
      <c r="AA76" s="94">
        <f>'החברה לפיתוח'!AA66</f>
        <v>810000</v>
      </c>
    </row>
    <row r="77" spans="1:32" s="3" customFormat="1" ht="15" customHeight="1">
      <c r="A77" s="1">
        <f t="shared" si="6"/>
        <v>64</v>
      </c>
      <c r="B77" s="1">
        <v>1906</v>
      </c>
      <c r="C77" s="1" t="s">
        <v>704</v>
      </c>
      <c r="D77" s="2">
        <f>'החברה לפיתוח'!D101</f>
        <v>10000000</v>
      </c>
      <c r="E77" s="2">
        <f>'החברה לפיתוח'!E101</f>
        <v>10000000</v>
      </c>
      <c r="F77" s="2">
        <f>'החברה לפיתוח'!F101</f>
        <v>0</v>
      </c>
      <c r="G77" s="2">
        <f>'החברה לפיתוח'!G101</f>
        <v>1650000</v>
      </c>
      <c r="H77" s="2">
        <f>'החברה לפיתוח'!H101</f>
        <v>11720</v>
      </c>
      <c r="I77" s="2">
        <f>'החברה לפיתוח'!I101</f>
        <v>0</v>
      </c>
      <c r="J77" s="2">
        <f>'החברה לפיתוח'!J101</f>
        <v>88278.84</v>
      </c>
      <c r="K77" s="2">
        <f>'החברה לפיתוח'!K101</f>
        <v>88278.84</v>
      </c>
      <c r="L77" s="2">
        <f>'החברה לפיתוח'!L101</f>
        <v>99998.84</v>
      </c>
      <c r="M77" s="2">
        <f>'החברה לפיתוח'!M101</f>
        <v>1550001.16</v>
      </c>
      <c r="N77" s="2">
        <f>'החברה לפיתוח'!N101</f>
        <v>8350000</v>
      </c>
      <c r="O77" s="2">
        <f>'החברה לפיתוח'!O101</f>
        <v>0</v>
      </c>
      <c r="P77" s="2">
        <f>'החברה לפיתוח'!P101</f>
        <v>1550001.16</v>
      </c>
      <c r="Q77" s="2">
        <f>'החברה לפיתוח'!Q101</f>
        <v>0</v>
      </c>
      <c r="R77" s="2">
        <f>'החברה לפיתוח'!R101</f>
        <v>0</v>
      </c>
      <c r="S77" s="2">
        <f>'החברה לפיתוח'!S101</f>
        <v>0</v>
      </c>
      <c r="T77" s="2">
        <f>'החברה לפיתוח'!T101</f>
        <v>0</v>
      </c>
      <c r="U77" s="2">
        <f>'החברה לפיתוח'!U101</f>
        <v>8350000</v>
      </c>
      <c r="V77" s="2">
        <f>'החברה לפיתוח'!V101</f>
        <v>0</v>
      </c>
      <c r="W77" s="2">
        <f>'החברה לפיתוח'!W101</f>
        <v>0</v>
      </c>
      <c r="X77" s="2">
        <f>'החברה לפיתוח'!X101</f>
        <v>0</v>
      </c>
      <c r="Y77" s="2">
        <f>'החברה לפיתוח'!Y101</f>
        <v>5100000</v>
      </c>
      <c r="Z77" s="2">
        <f>'החברה לפיתוח'!Z101</f>
        <v>3250000</v>
      </c>
      <c r="AA77" s="94">
        <f>'החברה לפיתוח'!AA101</f>
        <v>810000</v>
      </c>
    </row>
    <row r="78" spans="1:32">
      <c r="A78" s="1">
        <f t="shared" si="6"/>
        <v>65</v>
      </c>
      <c r="B78" s="1">
        <v>1907</v>
      </c>
      <c r="C78" s="1" t="s">
        <v>261</v>
      </c>
      <c r="D78" s="2">
        <f>'החברה לפיתוח'!D102</f>
        <v>10000000</v>
      </c>
      <c r="E78" s="2">
        <f>'החברה לפיתוח'!E102</f>
        <v>10000000</v>
      </c>
      <c r="F78" s="2">
        <f>'החברה לפיתוח'!F102</f>
        <v>0</v>
      </c>
      <c r="G78" s="2">
        <f>'החברה לפיתוח'!G102</f>
        <v>1650000</v>
      </c>
      <c r="H78" s="2">
        <f>'החברה לפיתוח'!H102</f>
        <v>86132</v>
      </c>
      <c r="I78" s="2">
        <f>'החברה לפיתוח'!I102</f>
        <v>0</v>
      </c>
      <c r="J78" s="2">
        <f>'החברה לפיתוח'!J102</f>
        <v>13866.84</v>
      </c>
      <c r="K78" s="2">
        <f>'החברה לפיתוח'!K102</f>
        <v>13866.84</v>
      </c>
      <c r="L78" s="2">
        <f>'החברה לפיתוח'!L102</f>
        <v>99998.84</v>
      </c>
      <c r="M78" s="2">
        <f>'החברה לפיתוח'!M102</f>
        <v>1550001.16</v>
      </c>
      <c r="N78" s="2">
        <f>'החברה לפיתוח'!N102</f>
        <v>8350000</v>
      </c>
      <c r="O78" s="2">
        <f>'החברה לפיתוח'!O102</f>
        <v>0</v>
      </c>
      <c r="P78" s="2">
        <f>'החברה לפיתוח'!P102</f>
        <v>1550001.16</v>
      </c>
      <c r="Q78" s="2">
        <f>'החברה לפיתוח'!Q102</f>
        <v>0</v>
      </c>
      <c r="R78" s="2">
        <f>'החברה לפיתוח'!R102</f>
        <v>0</v>
      </c>
      <c r="S78" s="2">
        <f>'החברה לפיתוח'!S102</f>
        <v>0</v>
      </c>
      <c r="T78" s="2">
        <f>'החברה לפיתוח'!T102</f>
        <v>0</v>
      </c>
      <c r="U78" s="2">
        <f>'החברה לפיתוח'!U102</f>
        <v>8350000</v>
      </c>
      <c r="V78" s="2">
        <f>'החברה לפיתוח'!V102</f>
        <v>0</v>
      </c>
      <c r="W78" s="2">
        <f>'החברה לפיתוח'!W102</f>
        <v>0</v>
      </c>
      <c r="X78" s="2">
        <f>'החברה לפיתוח'!X102</f>
        <v>0</v>
      </c>
      <c r="Y78" s="2">
        <f>'החברה לפיתוח'!Y102</f>
        <v>5100000</v>
      </c>
      <c r="Z78" s="2">
        <f>'החברה לפיתוח'!Z102</f>
        <v>3250000</v>
      </c>
      <c r="AA78" s="94">
        <f>'החברה לפיתוח'!AA102</f>
        <v>810000</v>
      </c>
      <c r="AB78" s="3"/>
      <c r="AC78" s="3"/>
      <c r="AD78" s="3"/>
      <c r="AE78" s="3"/>
      <c r="AF78" s="3"/>
    </row>
    <row r="79" spans="1:32">
      <c r="A79" s="1">
        <f t="shared" si="6"/>
        <v>66</v>
      </c>
      <c r="B79" s="1">
        <v>1908</v>
      </c>
      <c r="C79" s="1" t="s">
        <v>335</v>
      </c>
      <c r="D79" s="2">
        <f>'החברה לפיתוח'!D103</f>
        <v>16900000</v>
      </c>
      <c r="E79" s="2">
        <f>'החברה לפיתוח'!E103</f>
        <v>16000000</v>
      </c>
      <c r="F79" s="2">
        <f>'החברה לפיתוח'!F103</f>
        <v>900000</v>
      </c>
      <c r="G79" s="2">
        <f>'החברה לפיתוח'!G103</f>
        <v>9432067</v>
      </c>
      <c r="H79" s="2">
        <f>'החברה לפיתוח'!H103</f>
        <v>53515</v>
      </c>
      <c r="I79" s="2">
        <f>'החברה לפיתוח'!I103</f>
        <v>0</v>
      </c>
      <c r="J79" s="2">
        <f>'החברה לפיתוח'!J103</f>
        <v>46484.1</v>
      </c>
      <c r="K79" s="2">
        <f>'החברה לפיתוח'!K103</f>
        <v>46484.1</v>
      </c>
      <c r="L79" s="2">
        <f>'החברה לפיתוח'!L103</f>
        <v>99999.1</v>
      </c>
      <c r="M79" s="2">
        <f>'החברה לפיתוח'!M103</f>
        <v>10843829.9</v>
      </c>
      <c r="N79" s="2">
        <f>'החברה לפיתוח'!N103</f>
        <v>0</v>
      </c>
      <c r="O79" s="2">
        <f>'החברה לפיתוח'!O103</f>
        <v>5956170.9999999981</v>
      </c>
      <c r="P79" s="2">
        <f>'החברה לפיתוח'!P103</f>
        <v>9332067.9000000004</v>
      </c>
      <c r="Q79" s="2">
        <f>'החברה לפיתוח'!Q103</f>
        <v>1511762</v>
      </c>
      <c r="R79" s="2">
        <f>'החברה לפיתוח'!R103</f>
        <v>0</v>
      </c>
      <c r="S79" s="2">
        <f>'החברה לפיתוח'!S103</f>
        <v>1511762</v>
      </c>
      <c r="T79" s="2">
        <f>'החברה לפיתוח'!T103</f>
        <v>0</v>
      </c>
      <c r="U79" s="2">
        <f>'החברה לפיתוח'!U103</f>
        <v>0</v>
      </c>
      <c r="V79" s="2">
        <f>'החברה לפיתוח'!V103</f>
        <v>0</v>
      </c>
      <c r="W79" s="2">
        <f>'החברה לפיתוח'!W103</f>
        <v>0</v>
      </c>
      <c r="X79" s="2">
        <f>'החברה לפיתוח'!X103</f>
        <v>0</v>
      </c>
      <c r="Y79" s="2">
        <f>'החברה לפיתוח'!Y103</f>
        <v>0</v>
      </c>
      <c r="Z79" s="2">
        <f>'החברה לפיתוח'!Z103</f>
        <v>0</v>
      </c>
      <c r="AA79" s="94">
        <f>'החברה לפיתוח'!AA103</f>
        <v>810000</v>
      </c>
      <c r="AB79" s="3"/>
      <c r="AC79" s="3"/>
      <c r="AD79" s="3"/>
      <c r="AE79" s="3"/>
      <c r="AF79" s="3"/>
    </row>
    <row r="80" spans="1:32">
      <c r="A80" s="1">
        <f t="shared" si="6"/>
        <v>67</v>
      </c>
      <c r="B80" s="8">
        <v>1909</v>
      </c>
      <c r="C80" s="152" t="s">
        <v>906</v>
      </c>
      <c r="D80" s="2">
        <f>'החברה לפיתוח'!D104</f>
        <v>12500000</v>
      </c>
      <c r="E80" s="2">
        <f>'החברה לפיתוח'!E104</f>
        <v>12000000</v>
      </c>
      <c r="F80" s="2">
        <f>'החברה לפיתוח'!F104</f>
        <v>500000</v>
      </c>
      <c r="G80" s="2">
        <f>'החברה לפיתוח'!G104</f>
        <v>1650000</v>
      </c>
      <c r="H80" s="2">
        <f>'החברה לפיתוח'!H104</f>
        <v>4341</v>
      </c>
      <c r="I80" s="2">
        <f>'החברה לפיתוח'!I104</f>
        <v>0</v>
      </c>
      <c r="J80" s="2">
        <f>'החברה לפיתוח'!J104</f>
        <v>95658.03</v>
      </c>
      <c r="K80" s="2">
        <f>'החברה לפיתוח'!K104</f>
        <v>95658.03</v>
      </c>
      <c r="L80" s="2">
        <f>'החברה לפיתוח'!L104</f>
        <v>99999.03</v>
      </c>
      <c r="M80" s="2">
        <f>'החברה לפיתוח'!M104</f>
        <v>1550000.97</v>
      </c>
      <c r="N80" s="2">
        <f>'החברה לפיתוח'!N104</f>
        <v>0</v>
      </c>
      <c r="O80" s="2">
        <f>'החברה לפיתוח'!O104</f>
        <v>10850000</v>
      </c>
      <c r="P80" s="2">
        <f>'החברה לפיתוח'!P104</f>
        <v>1550000.97</v>
      </c>
      <c r="Q80" s="2">
        <f>'החברה לפיתוח'!Q104</f>
        <v>0</v>
      </c>
      <c r="R80" s="2">
        <f>'החברה לפיתוח'!R104</f>
        <v>0</v>
      </c>
      <c r="S80" s="2">
        <f>'החברה לפיתוח'!S104</f>
        <v>0</v>
      </c>
      <c r="T80" s="2">
        <f>'החברה לפיתוח'!T104</f>
        <v>0</v>
      </c>
      <c r="U80" s="2">
        <f>'החברה לפיתוח'!U104</f>
        <v>0</v>
      </c>
      <c r="V80" s="2">
        <f>'החברה לפיתוח'!V104</f>
        <v>0</v>
      </c>
      <c r="W80" s="2">
        <f>'החברה לפיתוח'!W104</f>
        <v>0</v>
      </c>
      <c r="X80" s="2">
        <f>'החברה לפיתוח'!X104</f>
        <v>0</v>
      </c>
      <c r="Y80" s="2">
        <f>'החברה לפיתוח'!Y104</f>
        <v>0</v>
      </c>
      <c r="Z80" s="2">
        <f>'החברה לפיתוח'!Z104</f>
        <v>0</v>
      </c>
      <c r="AA80" s="94">
        <f>'החברה לפיתוח'!AA104</f>
        <v>810000</v>
      </c>
    </row>
    <row r="81" spans="1:32" ht="30">
      <c r="A81" s="1">
        <f t="shared" si="6"/>
        <v>68</v>
      </c>
      <c r="B81" s="8">
        <v>1911</v>
      </c>
      <c r="C81" s="1" t="s">
        <v>1004</v>
      </c>
      <c r="D81" s="2">
        <f>'החברה לפיתוח'!D106</f>
        <v>27500000</v>
      </c>
      <c r="E81" s="2">
        <f>'החברה לפיתוח'!E106</f>
        <v>23500000</v>
      </c>
      <c r="F81" s="2">
        <f>'החברה לפיתוח'!F106</f>
        <v>4000000</v>
      </c>
      <c r="G81" s="2">
        <f>'החברה לפיתוח'!G106</f>
        <v>9182067</v>
      </c>
      <c r="H81" s="2">
        <f>'החברה לפיתוח'!H106</f>
        <v>21487</v>
      </c>
      <c r="I81" s="2">
        <f>'החברה לפיתוח'!I106</f>
        <v>0</v>
      </c>
      <c r="J81" s="2">
        <f>'החברה לפיתוח'!J106</f>
        <v>78512.22</v>
      </c>
      <c r="K81" s="2">
        <f>'החברה לפיתוח'!K106</f>
        <v>78512.22</v>
      </c>
      <c r="L81" s="2">
        <f>'החברה לפיתוח'!L106</f>
        <v>99999.22</v>
      </c>
      <c r="M81" s="2">
        <f>'החברה לפיתוח'!M106</f>
        <v>9082067.7799999993</v>
      </c>
      <c r="N81" s="2">
        <f>'החברה לפיתוח'!N106</f>
        <v>16000000</v>
      </c>
      <c r="O81" s="2">
        <f>'החברה לפיתוח'!O106</f>
        <v>2317933</v>
      </c>
      <c r="P81" s="2">
        <f>'החברה לפיתוח'!P106</f>
        <v>9082067.7799999993</v>
      </c>
      <c r="Q81" s="2">
        <f>'החברה לפיתוח'!Q106</f>
        <v>0</v>
      </c>
      <c r="R81" s="2">
        <f>'החברה לפיתוח'!R106</f>
        <v>0</v>
      </c>
      <c r="S81" s="2">
        <f>'החברה לפיתוח'!S106</f>
        <v>0</v>
      </c>
      <c r="T81" s="2">
        <f>'החברה לפיתוח'!T106</f>
        <v>0</v>
      </c>
      <c r="U81" s="2">
        <f>'החברה לפיתוח'!U106</f>
        <v>16000000</v>
      </c>
      <c r="V81" s="2">
        <f>'החברה לפיתוח'!V106</f>
        <v>0</v>
      </c>
      <c r="W81" s="2">
        <f>'החברה לפיתוח'!W106</f>
        <v>0</v>
      </c>
      <c r="X81" s="2">
        <f>'החברה לפיתוח'!X106</f>
        <v>0</v>
      </c>
      <c r="Y81" s="2">
        <f>'החברה לפיתוח'!Y106</f>
        <v>11937500</v>
      </c>
      <c r="Z81" s="2">
        <f>'החברה לפיתוח'!Z106</f>
        <v>4062500</v>
      </c>
      <c r="AA81" s="94">
        <f>'החברה לפיתוח'!AA106</f>
        <v>810000</v>
      </c>
      <c r="AD81" s="43"/>
    </row>
    <row r="82" spans="1:32">
      <c r="A82" s="1">
        <f t="shared" si="6"/>
        <v>69</v>
      </c>
      <c r="B82" s="8">
        <v>1912</v>
      </c>
      <c r="C82" s="1" t="s">
        <v>429</v>
      </c>
      <c r="D82" s="2">
        <f>'החברה לפיתוח'!D107</f>
        <v>100000000</v>
      </c>
      <c r="E82" s="2">
        <f>'החברה לפיתוח'!E107</f>
        <v>100000000</v>
      </c>
      <c r="F82" s="2">
        <f>'החברה לפיתוח'!F107</f>
        <v>0</v>
      </c>
      <c r="G82" s="2">
        <f>'החברה לפיתוח'!G107</f>
        <v>2000000</v>
      </c>
      <c r="H82" s="2">
        <f>'החברה לפיתוח'!H107</f>
        <v>4341</v>
      </c>
      <c r="I82" s="2">
        <f>'החברה לפיתוח'!I107</f>
        <v>0</v>
      </c>
      <c r="J82" s="2">
        <f>'החברה לפיתוח'!J107</f>
        <v>95658.03</v>
      </c>
      <c r="K82" s="2">
        <f>'החברה לפיתוח'!K107</f>
        <v>95658.03</v>
      </c>
      <c r="L82" s="2">
        <f>'החברה לפיתוח'!L107</f>
        <v>99999.03</v>
      </c>
      <c r="M82" s="2">
        <f>'החברה לפיתוח'!M107</f>
        <v>1900000.97</v>
      </c>
      <c r="N82" s="2">
        <f>'החברה לפיתוח'!N107</f>
        <v>3000000</v>
      </c>
      <c r="O82" s="2">
        <f>'החברה לפיתוח'!O107</f>
        <v>95000000</v>
      </c>
      <c r="P82" s="2">
        <f>'החברה לפיתוח'!P107</f>
        <v>1900000.97</v>
      </c>
      <c r="Q82" s="2">
        <f>'החברה לפיתוח'!Q107</f>
        <v>0</v>
      </c>
      <c r="R82" s="2">
        <f>'החברה לפיתוח'!R107</f>
        <v>0</v>
      </c>
      <c r="S82" s="2">
        <f>'החברה לפיתוח'!S107</f>
        <v>0</v>
      </c>
      <c r="T82" s="2">
        <f>'החברה לפיתוח'!T107</f>
        <v>0</v>
      </c>
      <c r="U82" s="2">
        <f>'החברה לפיתוח'!U107</f>
        <v>3000000</v>
      </c>
      <c r="V82" s="2">
        <f>'החברה לפיתוח'!V107</f>
        <v>0</v>
      </c>
      <c r="W82" s="2">
        <f>'החברה לפיתוח'!W107</f>
        <v>0</v>
      </c>
      <c r="X82" s="2">
        <f>'החברה לפיתוח'!X107</f>
        <v>0</v>
      </c>
      <c r="Y82" s="2">
        <f>'החברה לפיתוח'!Y107</f>
        <v>3000000</v>
      </c>
      <c r="Z82" s="2">
        <f>'החברה לפיתוח'!Z107</f>
        <v>0</v>
      </c>
      <c r="AA82" s="94">
        <f>'החברה לפיתוח'!AA107</f>
        <v>810000</v>
      </c>
      <c r="AD82" s="43"/>
    </row>
    <row r="83" spans="1:32">
      <c r="A83" s="1">
        <f t="shared" si="6"/>
        <v>70</v>
      </c>
      <c r="B83" s="8">
        <v>1914</v>
      </c>
      <c r="C83" s="1" t="s">
        <v>333</v>
      </c>
      <c r="D83" s="2">
        <f>'החברה לפיתוח'!D109</f>
        <v>7700000</v>
      </c>
      <c r="E83" s="2">
        <f>'החברה לפיתוח'!E109</f>
        <v>7500000</v>
      </c>
      <c r="F83" s="2">
        <f>'החברה לפיתוח'!F109</f>
        <v>200000</v>
      </c>
      <c r="G83" s="2">
        <f>'החברה לפיתוח'!G109</f>
        <v>1300000</v>
      </c>
      <c r="H83" s="2">
        <f>'החברה לפיתוח'!H109</f>
        <v>10852</v>
      </c>
      <c r="I83" s="2">
        <f>'החברה לפיתוח'!I109</f>
        <v>0</v>
      </c>
      <c r="J83" s="2">
        <f>'החברה לפיתוח'!J109</f>
        <v>89146.98</v>
      </c>
      <c r="K83" s="2">
        <f>'החברה לפיתוח'!K109</f>
        <v>89146.98</v>
      </c>
      <c r="L83" s="2">
        <f>'החברה לפיתוח'!L109</f>
        <v>99998.98</v>
      </c>
      <c r="M83" s="2">
        <f>'החברה לפיתוח'!M109</f>
        <v>1200001.02</v>
      </c>
      <c r="N83" s="2">
        <f>'החברה לפיתוח'!N109</f>
        <v>3200000</v>
      </c>
      <c r="O83" s="2">
        <f>'החברה לפיתוח'!O109</f>
        <v>3200000</v>
      </c>
      <c r="P83" s="2">
        <f>'החברה לפיתוח'!P109</f>
        <v>1200001.02</v>
      </c>
      <c r="Q83" s="2">
        <f>'החברה לפיתוח'!Q109</f>
        <v>0</v>
      </c>
      <c r="R83" s="2">
        <f>'החברה לפיתוח'!R109</f>
        <v>0</v>
      </c>
      <c r="S83" s="2">
        <f>'החברה לפיתוח'!S109</f>
        <v>0</v>
      </c>
      <c r="T83" s="2">
        <f>'החברה לפיתוח'!T109</f>
        <v>0</v>
      </c>
      <c r="U83" s="2">
        <f>'החברה לפיתוח'!U109</f>
        <v>3200000</v>
      </c>
      <c r="V83" s="2">
        <f>'החברה לפיתוח'!V109</f>
        <v>0</v>
      </c>
      <c r="W83" s="2">
        <f>'החברה לפיתוח'!W109</f>
        <v>0</v>
      </c>
      <c r="X83" s="2">
        <f>'החברה לפיתוח'!X109</f>
        <v>0</v>
      </c>
      <c r="Y83" s="2">
        <f>'החברה לפיתוח'!Y109</f>
        <v>762500</v>
      </c>
      <c r="Z83" s="2">
        <f>'החברה לפיתוח'!Z109</f>
        <v>2437500</v>
      </c>
      <c r="AA83" s="94">
        <f>'החברה לפיתוח'!AA109</f>
        <v>810000</v>
      </c>
    </row>
    <row r="84" spans="1:32" s="3" customFormat="1" ht="15" customHeight="1">
      <c r="A84" s="1">
        <f t="shared" si="6"/>
        <v>71</v>
      </c>
      <c r="B84" s="8">
        <v>1957</v>
      </c>
      <c r="C84" s="1" t="s">
        <v>403</v>
      </c>
      <c r="D84" s="2">
        <f>'החברה לפיתוח'!D79</f>
        <v>60000000</v>
      </c>
      <c r="E84" s="2">
        <f>'החברה לפיתוח'!E79</f>
        <v>60000000</v>
      </c>
      <c r="F84" s="2">
        <f>'החברה לפיתוח'!F79</f>
        <v>0</v>
      </c>
      <c r="G84" s="2">
        <f>'החברה לפיתוח'!G79</f>
        <v>400000</v>
      </c>
      <c r="H84" s="2">
        <f>'החברה לפיתוח'!H79</f>
        <v>78669</v>
      </c>
      <c r="I84" s="2">
        <f>'החברה לפיתוח'!I79</f>
        <v>0</v>
      </c>
      <c r="J84" s="2">
        <f>'החברה לפיתוח'!J79</f>
        <v>321330.06</v>
      </c>
      <c r="K84" s="2">
        <f>'החברה לפיתוח'!K79</f>
        <v>321330.06</v>
      </c>
      <c r="L84" s="2">
        <f>'החברה לפיתוח'!L79</f>
        <v>399999.06</v>
      </c>
      <c r="M84" s="2">
        <f>'החברה לפיתוח'!M79</f>
        <v>1100000.94</v>
      </c>
      <c r="N84" s="2">
        <f>'החברה לפיתוח'!N79</f>
        <v>15000000</v>
      </c>
      <c r="O84" s="2">
        <f>'החברה לפיתוח'!O79</f>
        <v>43500000</v>
      </c>
      <c r="P84" s="2">
        <f>'החברה לפיתוח'!P79</f>
        <v>0.94000000000232831</v>
      </c>
      <c r="Q84" s="2">
        <f>'החברה לפיתוח'!Q79</f>
        <v>1100000</v>
      </c>
      <c r="R84" s="2">
        <f>'החברה לפיתוח'!R79</f>
        <v>0</v>
      </c>
      <c r="S84" s="2">
        <f>'החברה לפיתוח'!S79</f>
        <v>1100000</v>
      </c>
      <c r="T84" s="2">
        <f>'החברה לפיתוח'!T79</f>
        <v>0</v>
      </c>
      <c r="U84" s="2">
        <f>'החברה לפיתוח'!U79</f>
        <v>15000000</v>
      </c>
      <c r="V84" s="2">
        <f>'החברה לפיתוח'!V79</f>
        <v>15000000</v>
      </c>
      <c r="W84" s="2">
        <f>'החברה לפיתוח'!W79</f>
        <v>0</v>
      </c>
      <c r="X84" s="2">
        <f>'החברה לפיתוח'!X79</f>
        <v>0</v>
      </c>
      <c r="Y84" s="2">
        <f>'החברה לפיתוח'!Y79</f>
        <v>0</v>
      </c>
      <c r="Z84" s="2">
        <f>'החברה לפיתוח'!Z79</f>
        <v>0</v>
      </c>
      <c r="AA84" s="94">
        <f>'החברה לפיתוח'!AA79</f>
        <v>810000</v>
      </c>
      <c r="AB84" s="11"/>
      <c r="AC84" s="11"/>
      <c r="AD84" s="11"/>
      <c r="AE84" s="11"/>
      <c r="AF84" s="11"/>
    </row>
    <row r="85" spans="1:32" ht="30">
      <c r="A85" s="1">
        <f t="shared" si="6"/>
        <v>72</v>
      </c>
      <c r="B85" s="8">
        <v>1959</v>
      </c>
      <c r="C85" s="1" t="s">
        <v>1005</v>
      </c>
      <c r="D85" s="2">
        <f>'החברה לפיתוח'!D111</f>
        <v>35000000</v>
      </c>
      <c r="E85" s="2">
        <f>'החברה לפיתוח'!E111</f>
        <v>35000000</v>
      </c>
      <c r="F85" s="2">
        <f>'החברה לפיתוח'!F111</f>
        <v>0</v>
      </c>
      <c r="G85" s="2">
        <f>'החברה לפיתוח'!G111</f>
        <v>1500000</v>
      </c>
      <c r="H85" s="2">
        <f>'החברה לפיתוח'!H111</f>
        <v>0</v>
      </c>
      <c r="I85" s="2">
        <f>'החברה לפיתוח'!I111</f>
        <v>0</v>
      </c>
      <c r="J85" s="2">
        <f>'החברה לפיתוח'!J111</f>
        <v>0</v>
      </c>
      <c r="K85" s="2">
        <f>'החברה לפיתוח'!K111</f>
        <v>0</v>
      </c>
      <c r="L85" s="2">
        <f>'החברה לפיתוח'!L111</f>
        <v>0</v>
      </c>
      <c r="M85" s="2">
        <f>'החברה לפיתוח'!M111</f>
        <v>1500000</v>
      </c>
      <c r="N85" s="2">
        <f>'החברה לפיתוח'!N111</f>
        <v>0</v>
      </c>
      <c r="O85" s="2">
        <f>'החברה לפיתוח'!O111</f>
        <v>33500000</v>
      </c>
      <c r="P85" s="2">
        <f>'החברה לפיתוח'!P111</f>
        <v>1500000</v>
      </c>
      <c r="Q85" s="2">
        <f>'החברה לפיתוח'!Q111</f>
        <v>0</v>
      </c>
      <c r="R85" s="2">
        <f>'החברה לפיתוח'!R111</f>
        <v>0</v>
      </c>
      <c r="S85" s="2">
        <f>'החברה לפיתוח'!S111</f>
        <v>0</v>
      </c>
      <c r="T85" s="2">
        <f>'החברה לפיתוח'!T111</f>
        <v>0</v>
      </c>
      <c r="U85" s="2">
        <f>'החברה לפיתוח'!U111</f>
        <v>0</v>
      </c>
      <c r="V85" s="2">
        <f>'החברה לפיתוח'!V111</f>
        <v>0</v>
      </c>
      <c r="W85" s="2">
        <f>'החברה לפיתוח'!W111</f>
        <v>0</v>
      </c>
      <c r="X85" s="2">
        <f>'החברה לפיתוח'!X111</f>
        <v>0</v>
      </c>
      <c r="Y85" s="2">
        <f>'החברה לפיתוח'!Y111</f>
        <v>0</v>
      </c>
      <c r="Z85" s="2">
        <f>'החברה לפיתוח'!Z111</f>
        <v>0</v>
      </c>
      <c r="AA85" s="94">
        <f>'החברה לפיתוח'!AA111</f>
        <v>810000</v>
      </c>
    </row>
    <row r="86" spans="1:32">
      <c r="A86" s="1">
        <f t="shared" si="6"/>
        <v>73</v>
      </c>
      <c r="B86" s="8">
        <v>1960</v>
      </c>
      <c r="C86" s="1" t="s">
        <v>1006</v>
      </c>
      <c r="D86" s="2">
        <f>'החברה לפיתוח'!D112</f>
        <v>7700000</v>
      </c>
      <c r="E86" s="2">
        <f>'החברה לפיתוח'!E112</f>
        <v>7500000</v>
      </c>
      <c r="F86" s="2">
        <f>'החברה לפיתוח'!F112</f>
        <v>200000</v>
      </c>
      <c r="G86" s="2">
        <f>'החברה לפיתוח'!G112</f>
        <v>750000</v>
      </c>
      <c r="H86" s="2">
        <f>'החברה לפיתוח'!H112</f>
        <v>0</v>
      </c>
      <c r="I86" s="2">
        <f>'החברה לפיתוח'!I112</f>
        <v>0</v>
      </c>
      <c r="J86" s="2">
        <f>'החברה לפיתוח'!J112</f>
        <v>0</v>
      </c>
      <c r="K86" s="2">
        <f>'החברה לפיתוח'!K112</f>
        <v>0</v>
      </c>
      <c r="L86" s="2">
        <f>'החברה לפיתוח'!L112</f>
        <v>0</v>
      </c>
      <c r="M86" s="2">
        <f>'החברה לפיתוח'!M112</f>
        <v>750000</v>
      </c>
      <c r="N86" s="2">
        <f>'החברה לפיתוח'!N112</f>
        <v>3400000</v>
      </c>
      <c r="O86" s="2">
        <f>'החברה לפיתוח'!O112</f>
        <v>3550000</v>
      </c>
      <c r="P86" s="2">
        <f>'החברה לפיתוח'!P112</f>
        <v>750000</v>
      </c>
      <c r="Q86" s="2">
        <f>'החברה לפיתוח'!Q112</f>
        <v>0</v>
      </c>
      <c r="R86" s="2">
        <f>'החברה לפיתוח'!R112</f>
        <v>0</v>
      </c>
      <c r="S86" s="2">
        <f>'החברה לפיתוח'!S112</f>
        <v>0</v>
      </c>
      <c r="T86" s="2">
        <f>'החברה לפיתוח'!T112</f>
        <v>0</v>
      </c>
      <c r="U86" s="2">
        <f>'החברה לפיתוח'!U112</f>
        <v>3400000</v>
      </c>
      <c r="V86" s="2">
        <f>'החברה לפיתוח'!V112</f>
        <v>0</v>
      </c>
      <c r="W86" s="2">
        <f>'החברה לפיתוח'!W112</f>
        <v>0</v>
      </c>
      <c r="X86" s="2">
        <f>'החברה לפיתוח'!X112</f>
        <v>0</v>
      </c>
      <c r="Y86" s="2">
        <f>'החברה לפיתוח'!Y112</f>
        <v>962500</v>
      </c>
      <c r="Z86" s="2">
        <f>'החברה לפיתוח'!Z112</f>
        <v>2437500</v>
      </c>
      <c r="AA86" s="94">
        <f>'החברה לפיתוח'!AA112</f>
        <v>810000</v>
      </c>
      <c r="AD86" s="43"/>
    </row>
    <row r="87" spans="1:32" ht="30">
      <c r="A87" s="1">
        <f t="shared" si="6"/>
        <v>74</v>
      </c>
      <c r="B87" s="1">
        <v>1965</v>
      </c>
      <c r="C87" s="1" t="s">
        <v>1008</v>
      </c>
      <c r="D87" s="2">
        <f>'החברה לפיתוח'!D116</f>
        <v>35000000</v>
      </c>
      <c r="E87" s="2">
        <f>'החברה לפיתוח'!E116</f>
        <v>35000000</v>
      </c>
      <c r="F87" s="2">
        <f>'החברה לפיתוח'!F116</f>
        <v>0</v>
      </c>
      <c r="G87" s="2">
        <f>'החברה לפיתוח'!G116</f>
        <v>100000</v>
      </c>
      <c r="H87" s="2">
        <f>'החברה לפיתוח'!H116</f>
        <v>0</v>
      </c>
      <c r="I87" s="2">
        <f>'החברה לפיתוח'!I116</f>
        <v>0</v>
      </c>
      <c r="J87" s="2">
        <f>'החברה לפיתוח'!J116</f>
        <v>0</v>
      </c>
      <c r="K87" s="2">
        <f>'החברה לפיתוח'!K116</f>
        <v>0</v>
      </c>
      <c r="L87" s="2">
        <f>'החברה לפיתוח'!L116</f>
        <v>0</v>
      </c>
      <c r="M87" s="2">
        <f>'החברה לפיתוח'!M116</f>
        <v>100000</v>
      </c>
      <c r="N87" s="2">
        <f>'החברה לפיתוח'!N116</f>
        <v>400000</v>
      </c>
      <c r="O87" s="2">
        <f>'החברה לפיתוח'!O116</f>
        <v>34500000</v>
      </c>
      <c r="P87" s="2">
        <f>'החברה לפיתוח'!P116</f>
        <v>100000</v>
      </c>
      <c r="Q87" s="2">
        <f>'החברה לפיתוח'!Q116</f>
        <v>0</v>
      </c>
      <c r="R87" s="2">
        <f>'החברה לפיתוח'!R116</f>
        <v>0</v>
      </c>
      <c r="S87" s="2">
        <f>'החברה לפיתוח'!S116</f>
        <v>0</v>
      </c>
      <c r="T87" s="2">
        <f>'החברה לפיתוח'!T116</f>
        <v>0</v>
      </c>
      <c r="U87" s="2">
        <f>'החברה לפיתוח'!U116</f>
        <v>400000</v>
      </c>
      <c r="V87" s="2">
        <f>'החברה לפיתוח'!V116</f>
        <v>0</v>
      </c>
      <c r="W87" s="2">
        <f>'החברה לפיתוח'!W116</f>
        <v>0</v>
      </c>
      <c r="X87" s="2">
        <f>'החברה לפיתוח'!X116</f>
        <v>0</v>
      </c>
      <c r="Y87" s="2">
        <f>'החברה לפיתוח'!Y116</f>
        <v>400000</v>
      </c>
      <c r="Z87" s="2">
        <f>'החברה לפיתוח'!Z116</f>
        <v>0</v>
      </c>
      <c r="AA87" s="94">
        <f>'החברה לפיתוח'!AA116</f>
        <v>810000</v>
      </c>
      <c r="AD87" s="47"/>
    </row>
    <row r="88" spans="1:32">
      <c r="A88" s="1">
        <f t="shared" si="6"/>
        <v>75</v>
      </c>
      <c r="B88" s="69">
        <v>2015</v>
      </c>
      <c r="C88" s="1" t="s">
        <v>929</v>
      </c>
      <c r="D88" s="2">
        <f>'החברה לפיתוח'!D82</f>
        <v>10500000</v>
      </c>
      <c r="E88" s="2">
        <f>'החברה לפיתוח'!E82</f>
        <v>0</v>
      </c>
      <c r="F88" s="2">
        <f>'החברה לפיתוח'!F82</f>
        <v>10500000</v>
      </c>
      <c r="G88" s="2">
        <f>'החברה לפיתוח'!G82</f>
        <v>0</v>
      </c>
      <c r="H88" s="2">
        <f>'החברה לפיתוח'!H82</f>
        <v>0</v>
      </c>
      <c r="I88" s="2">
        <f>'החברה לפיתוח'!I82</f>
        <v>0</v>
      </c>
      <c r="J88" s="2">
        <f>'החברה לפיתוח'!J82</f>
        <v>0</v>
      </c>
      <c r="K88" s="2">
        <f>'החברה לפיתוח'!K82</f>
        <v>0</v>
      </c>
      <c r="L88" s="2">
        <f>'החברה לפיתוח'!L82</f>
        <v>0</v>
      </c>
      <c r="M88" s="2">
        <f>'החברה לפיתוח'!M82</f>
        <v>0</v>
      </c>
      <c r="N88" s="2">
        <f>'החברה לפיתוח'!N82</f>
        <v>5500000</v>
      </c>
      <c r="O88" s="2">
        <f>'החברה לפיתוח'!O82</f>
        <v>5000000</v>
      </c>
      <c r="P88" s="2">
        <f>'החברה לפיתוח'!P82</f>
        <v>0</v>
      </c>
      <c r="Q88" s="2">
        <f>'החברה לפיתוח'!Q82</f>
        <v>0</v>
      </c>
      <c r="R88" s="2">
        <f>'החברה לפיתוח'!R82</f>
        <v>0</v>
      </c>
      <c r="S88" s="2">
        <f>'החברה לפיתוח'!S82</f>
        <v>0</v>
      </c>
      <c r="T88" s="2">
        <f>'החברה לפיתוח'!T82</f>
        <v>0</v>
      </c>
      <c r="U88" s="2">
        <f>'החברה לפיתוח'!U82</f>
        <v>5500000</v>
      </c>
      <c r="V88" s="2">
        <f>'החברה לפיתוח'!V82</f>
        <v>5500000</v>
      </c>
      <c r="W88" s="2">
        <f>'החברה לפיתוח'!W82</f>
        <v>0</v>
      </c>
      <c r="X88" s="2">
        <f>'החברה לפיתוח'!X82</f>
        <v>0</v>
      </c>
      <c r="Y88" s="2">
        <f>'החברה לפיתוח'!Y82</f>
        <v>0</v>
      </c>
      <c r="Z88" s="2">
        <f>'החברה לפיתוח'!Z82</f>
        <v>0</v>
      </c>
      <c r="AA88" s="94">
        <f>'החברה לפיתוח'!AA82</f>
        <v>810000</v>
      </c>
      <c r="AD88" s="43"/>
    </row>
    <row r="89" spans="1:32">
      <c r="A89" s="1">
        <f t="shared" si="6"/>
        <v>76</v>
      </c>
      <c r="B89" s="69">
        <v>2016</v>
      </c>
      <c r="C89" s="1" t="s">
        <v>456</v>
      </c>
      <c r="D89" s="2">
        <f>'החברה לפיתוח'!D83</f>
        <v>7340000</v>
      </c>
      <c r="E89" s="2">
        <f>'החברה לפיתוח'!E83</f>
        <v>0</v>
      </c>
      <c r="F89" s="2">
        <f>'החברה לפיתוח'!F83</f>
        <v>7340000</v>
      </c>
      <c r="G89" s="2">
        <f>'החברה לפיתוח'!G83</f>
        <v>0</v>
      </c>
      <c r="H89" s="2">
        <f>'החברה לפיתוח'!H83</f>
        <v>0</v>
      </c>
      <c r="I89" s="2">
        <f>'החברה לפיתוח'!I83</f>
        <v>0</v>
      </c>
      <c r="J89" s="2">
        <f>'החברה לפיתוח'!J83</f>
        <v>0</v>
      </c>
      <c r="K89" s="2">
        <f>'החברה לפיתוח'!K83</f>
        <v>0</v>
      </c>
      <c r="L89" s="2">
        <f>'החברה לפיתוח'!L83</f>
        <v>0</v>
      </c>
      <c r="M89" s="2">
        <f>'החברה לפיתוח'!M83</f>
        <v>0</v>
      </c>
      <c r="N89" s="2">
        <f>'החברה לפיתוח'!N83</f>
        <v>7340000</v>
      </c>
      <c r="O89" s="2">
        <f>'החברה לפיתוח'!O83</f>
        <v>0</v>
      </c>
      <c r="P89" s="2">
        <f>'החברה לפיתוח'!P83</f>
        <v>0</v>
      </c>
      <c r="Q89" s="2">
        <f>'החברה לפיתוח'!Q83</f>
        <v>0</v>
      </c>
      <c r="R89" s="2">
        <f>'החברה לפיתוח'!R83</f>
        <v>0</v>
      </c>
      <c r="S89" s="2">
        <f>'החברה לפיתוח'!S83</f>
        <v>0</v>
      </c>
      <c r="T89" s="2">
        <f>'החברה לפיתוח'!T83</f>
        <v>0</v>
      </c>
      <c r="U89" s="2">
        <f>'החברה לפיתוח'!U83</f>
        <v>7340000</v>
      </c>
      <c r="V89" s="2">
        <f>'החברה לפיתוח'!V83</f>
        <v>7340000</v>
      </c>
      <c r="W89" s="2">
        <f>'החברה לפיתוח'!W83</f>
        <v>0</v>
      </c>
      <c r="X89" s="2">
        <f>'החברה לפיתוח'!X83</f>
        <v>0</v>
      </c>
      <c r="Y89" s="2">
        <f>'החברה לפיתוח'!Y83</f>
        <v>0</v>
      </c>
      <c r="Z89" s="2">
        <f>'החברה לפיתוח'!Z83</f>
        <v>0</v>
      </c>
      <c r="AA89" s="94">
        <f>'החברה לפיתוח'!AA83</f>
        <v>810000</v>
      </c>
      <c r="AD89" s="43"/>
    </row>
    <row r="90" spans="1:32">
      <c r="A90" s="1">
        <f t="shared" si="6"/>
        <v>77</v>
      </c>
      <c r="B90" s="69">
        <v>2023</v>
      </c>
      <c r="C90" s="1" t="s">
        <v>1029</v>
      </c>
      <c r="D90" s="2">
        <f>'החברה לפיתוח'!D90</f>
        <v>7340000</v>
      </c>
      <c r="E90" s="2">
        <f>'החברה לפיתוח'!E90</f>
        <v>0</v>
      </c>
      <c r="F90" s="2">
        <f>'החברה לפיתוח'!F90</f>
        <v>7340000</v>
      </c>
      <c r="G90" s="2">
        <f>'החברה לפיתוח'!G90</f>
        <v>0</v>
      </c>
      <c r="H90" s="2">
        <f>'החברה לפיתוח'!H90</f>
        <v>0</v>
      </c>
      <c r="I90" s="2">
        <f>'החברה לפיתוח'!I90</f>
        <v>0</v>
      </c>
      <c r="J90" s="2">
        <f>'החברה לפיתוח'!J90</f>
        <v>0</v>
      </c>
      <c r="K90" s="2">
        <f>'החברה לפיתוח'!K90</f>
        <v>0</v>
      </c>
      <c r="L90" s="2">
        <f>'החברה לפיתוח'!L90</f>
        <v>0</v>
      </c>
      <c r="M90" s="2">
        <f>'החברה לפיתוח'!M90</f>
        <v>0</v>
      </c>
      <c r="N90" s="2">
        <f>'החברה לפיתוח'!N90</f>
        <v>3000000</v>
      </c>
      <c r="O90" s="2">
        <f>'החברה לפיתוח'!O90</f>
        <v>4340000</v>
      </c>
      <c r="P90" s="2">
        <f>'החברה לפיתוח'!P90</f>
        <v>0</v>
      </c>
      <c r="Q90" s="2">
        <f>'החברה לפיתוח'!Q90</f>
        <v>0</v>
      </c>
      <c r="R90" s="2">
        <f>'החברה לפיתוח'!R90</f>
        <v>0</v>
      </c>
      <c r="S90" s="2">
        <f>'החברה לפיתוח'!S90</f>
        <v>0</v>
      </c>
      <c r="T90" s="2">
        <f>'החברה לפיתוח'!T90</f>
        <v>0</v>
      </c>
      <c r="U90" s="2">
        <f>'החברה לפיתוח'!U90</f>
        <v>3000000</v>
      </c>
      <c r="V90" s="2">
        <f>'החברה לפיתוח'!V90</f>
        <v>3000000</v>
      </c>
      <c r="W90" s="2">
        <f>'החברה לפיתוח'!W90</f>
        <v>0</v>
      </c>
      <c r="X90" s="2">
        <f>'החברה לפיתוח'!X90</f>
        <v>0</v>
      </c>
      <c r="Y90" s="2">
        <f>'החברה לפיתוח'!Y90</f>
        <v>0</v>
      </c>
      <c r="Z90" s="2">
        <f>'החברה לפיתוח'!Z90</f>
        <v>0</v>
      </c>
      <c r="AA90" s="94">
        <f>'החברה לפיתוח'!AA90</f>
        <v>810000</v>
      </c>
    </row>
    <row r="91" spans="1:32">
      <c r="A91" s="1">
        <f t="shared" si="6"/>
        <v>78</v>
      </c>
      <c r="B91" s="69">
        <v>2024</v>
      </c>
      <c r="C91" s="1" t="s">
        <v>1030</v>
      </c>
      <c r="D91" s="2">
        <f>'החברה לפיתוח'!D91</f>
        <v>7340000</v>
      </c>
      <c r="E91" s="2">
        <f>'החברה לפיתוח'!E91</f>
        <v>0</v>
      </c>
      <c r="F91" s="2">
        <f>'החברה לפיתוח'!F91</f>
        <v>7340000</v>
      </c>
      <c r="G91" s="2">
        <f>'החברה לפיתוח'!G91</f>
        <v>0</v>
      </c>
      <c r="H91" s="2">
        <f>'החברה לפיתוח'!H91</f>
        <v>0</v>
      </c>
      <c r="I91" s="2">
        <f>'החברה לפיתוח'!I91</f>
        <v>0</v>
      </c>
      <c r="J91" s="2">
        <f>'החברה לפיתוח'!J91</f>
        <v>0</v>
      </c>
      <c r="K91" s="2">
        <f>'החברה לפיתוח'!K91</f>
        <v>0</v>
      </c>
      <c r="L91" s="2">
        <f>'החברה לפיתוח'!L91</f>
        <v>0</v>
      </c>
      <c r="M91" s="2">
        <f>'החברה לפיתוח'!M91</f>
        <v>0</v>
      </c>
      <c r="N91" s="2">
        <f>'החברה לפיתוח'!N91</f>
        <v>700000</v>
      </c>
      <c r="O91" s="2">
        <f>'החברה לפיתוח'!O91</f>
        <v>6640000</v>
      </c>
      <c r="P91" s="2">
        <f>'החברה לפיתוח'!P91</f>
        <v>0</v>
      </c>
      <c r="Q91" s="2">
        <f>'החברה לפיתוח'!Q91</f>
        <v>0</v>
      </c>
      <c r="R91" s="2">
        <f>'החברה לפיתוח'!R91</f>
        <v>0</v>
      </c>
      <c r="S91" s="2">
        <f>'החברה לפיתוח'!S91</f>
        <v>0</v>
      </c>
      <c r="T91" s="2">
        <f>'החברה לפיתוח'!T91</f>
        <v>0</v>
      </c>
      <c r="U91" s="2">
        <f>'החברה לפיתוח'!U91</f>
        <v>700000</v>
      </c>
      <c r="V91" s="2">
        <f>'החברה לפיתוח'!V91</f>
        <v>700000</v>
      </c>
      <c r="W91" s="2">
        <f>'החברה לפיתוח'!W91</f>
        <v>0</v>
      </c>
      <c r="X91" s="2">
        <f>'החברה לפיתוח'!X91</f>
        <v>0</v>
      </c>
      <c r="Y91" s="2">
        <f>'החברה לפיתוח'!Y91</f>
        <v>0</v>
      </c>
      <c r="Z91" s="2">
        <f>'החברה לפיתוח'!Z91</f>
        <v>0</v>
      </c>
      <c r="AA91" s="94">
        <f>'החברה לפיתוח'!AA91</f>
        <v>810000</v>
      </c>
    </row>
    <row r="92" spans="1:32">
      <c r="A92" s="1">
        <f t="shared" si="6"/>
        <v>79</v>
      </c>
      <c r="B92" s="69">
        <v>2025</v>
      </c>
      <c r="C92" s="1" t="s">
        <v>1031</v>
      </c>
      <c r="D92" s="2">
        <f>'החברה לפיתוח'!D92</f>
        <v>2600000</v>
      </c>
      <c r="E92" s="2">
        <f>'החברה לפיתוח'!E92</f>
        <v>0</v>
      </c>
      <c r="F92" s="2">
        <f>'החברה לפיתוח'!F92</f>
        <v>2600000</v>
      </c>
      <c r="G92" s="2">
        <f>'החברה לפיתוח'!G92</f>
        <v>0</v>
      </c>
      <c r="H92" s="2">
        <f>'החברה לפיתוח'!H92</f>
        <v>0</v>
      </c>
      <c r="I92" s="2">
        <f>'החברה לפיתוח'!I92</f>
        <v>0</v>
      </c>
      <c r="J92" s="2">
        <f>'החברה לפיתוח'!J92</f>
        <v>0</v>
      </c>
      <c r="K92" s="2">
        <f>'החברה לפיתוח'!K92</f>
        <v>0</v>
      </c>
      <c r="L92" s="2">
        <f>'החברה לפיתוח'!L92</f>
        <v>0</v>
      </c>
      <c r="M92" s="2">
        <f>'החברה לפיתוח'!M92</f>
        <v>0</v>
      </c>
      <c r="N92" s="2">
        <f>'החברה לפיתוח'!N92</f>
        <v>1300000</v>
      </c>
      <c r="O92" s="2">
        <f>'החברה לפיתוח'!O92</f>
        <v>1300000</v>
      </c>
      <c r="P92" s="2">
        <f>'החברה לפיתוח'!P92</f>
        <v>0</v>
      </c>
      <c r="Q92" s="2">
        <f>'החברה לפיתוח'!Q92</f>
        <v>0</v>
      </c>
      <c r="R92" s="2">
        <f>'החברה לפיתוח'!R92</f>
        <v>0</v>
      </c>
      <c r="S92" s="2">
        <f>'החברה לפיתוח'!S92</f>
        <v>0</v>
      </c>
      <c r="T92" s="2">
        <f>'החברה לפיתוח'!T92</f>
        <v>0</v>
      </c>
      <c r="U92" s="2">
        <f>'החברה לפיתוח'!U92</f>
        <v>1300000</v>
      </c>
      <c r="V92" s="2">
        <f>'החברה לפיתוח'!V92</f>
        <v>1300000</v>
      </c>
      <c r="W92" s="2">
        <f>'החברה לפיתוח'!W92</f>
        <v>0</v>
      </c>
      <c r="X92" s="2">
        <f>'החברה לפיתוח'!X92</f>
        <v>0</v>
      </c>
      <c r="Y92" s="2">
        <f>'החברה לפיתוח'!Y92</f>
        <v>0</v>
      </c>
      <c r="Z92" s="2">
        <f>'החברה לפיתוח'!Z92</f>
        <v>0</v>
      </c>
      <c r="AA92" s="94">
        <f>'החברה לפיתוח'!AA92</f>
        <v>810000</v>
      </c>
    </row>
    <row r="93" spans="1:32">
      <c r="A93" s="1">
        <f t="shared" si="6"/>
        <v>80</v>
      </c>
      <c r="B93" s="69">
        <v>2026</v>
      </c>
      <c r="C93" s="1" t="s">
        <v>1032</v>
      </c>
      <c r="D93" s="2">
        <f>'החברה לפיתוח'!D93</f>
        <v>7340000</v>
      </c>
      <c r="E93" s="2">
        <f>'החברה לפיתוח'!E93</f>
        <v>0</v>
      </c>
      <c r="F93" s="2">
        <f>'החברה לפיתוח'!F93</f>
        <v>7340000</v>
      </c>
      <c r="G93" s="2">
        <f>'החברה לפיתוח'!G93</f>
        <v>0</v>
      </c>
      <c r="H93" s="2">
        <f>'החברה לפיתוח'!H93</f>
        <v>0</v>
      </c>
      <c r="I93" s="2">
        <f>'החברה לפיתוח'!I93</f>
        <v>0</v>
      </c>
      <c r="J93" s="2">
        <f>'החברה לפיתוח'!J93</f>
        <v>0</v>
      </c>
      <c r="K93" s="2">
        <f>'החברה לפיתוח'!K93</f>
        <v>0</v>
      </c>
      <c r="L93" s="2">
        <f>'החברה לפיתוח'!L93</f>
        <v>0</v>
      </c>
      <c r="M93" s="2">
        <f>'החברה לפיתוח'!M93</f>
        <v>0</v>
      </c>
      <c r="N93" s="2">
        <f>'החברה לפיתוח'!N93</f>
        <v>3000000</v>
      </c>
      <c r="O93" s="2">
        <f>'החברה לפיתוח'!O93</f>
        <v>4340000</v>
      </c>
      <c r="P93" s="2">
        <f>'החברה לפיתוח'!P93</f>
        <v>0</v>
      </c>
      <c r="Q93" s="2">
        <f>'החברה לפיתוח'!Q93</f>
        <v>0</v>
      </c>
      <c r="R93" s="2">
        <f>'החברה לפיתוח'!R93</f>
        <v>0</v>
      </c>
      <c r="S93" s="2">
        <f>'החברה לפיתוח'!S93</f>
        <v>0</v>
      </c>
      <c r="T93" s="2">
        <f>'החברה לפיתוח'!T93</f>
        <v>0</v>
      </c>
      <c r="U93" s="2">
        <f>'החברה לפיתוח'!U93</f>
        <v>3000000</v>
      </c>
      <c r="V93" s="2">
        <f>'החברה לפיתוח'!V93</f>
        <v>3000000</v>
      </c>
      <c r="W93" s="2">
        <f>'החברה לפיתוח'!W93</f>
        <v>0</v>
      </c>
      <c r="X93" s="2">
        <f>'החברה לפיתוח'!X93</f>
        <v>0</v>
      </c>
      <c r="Y93" s="2">
        <f>'החברה לפיתוח'!Y93</f>
        <v>0</v>
      </c>
      <c r="Z93" s="2">
        <f>'החברה לפיתוח'!Z93</f>
        <v>0</v>
      </c>
      <c r="AA93" s="94">
        <f>'החברה לפיתוח'!AA93</f>
        <v>810000</v>
      </c>
    </row>
    <row r="94" spans="1:32" s="77" customFormat="1">
      <c r="A94" s="48"/>
      <c r="B94" s="76">
        <v>6</v>
      </c>
      <c r="C94" s="48" t="s">
        <v>1040</v>
      </c>
      <c r="D94" s="33">
        <f>SUM(D72:D93)</f>
        <v>425600000</v>
      </c>
      <c r="E94" s="33">
        <f t="shared" ref="E94:Z94" si="7">SUM(E72:E93)</f>
        <v>376340000</v>
      </c>
      <c r="F94" s="33">
        <f t="shared" si="7"/>
        <v>49260000</v>
      </c>
      <c r="G94" s="33">
        <f t="shared" si="7"/>
        <v>68353304</v>
      </c>
      <c r="H94" s="33">
        <f t="shared" si="7"/>
        <v>14317783</v>
      </c>
      <c r="I94" s="33">
        <f t="shared" si="7"/>
        <v>0</v>
      </c>
      <c r="J94" s="33">
        <f t="shared" si="7"/>
        <v>9441868.4799999986</v>
      </c>
      <c r="K94" s="33">
        <f t="shared" si="7"/>
        <v>9441868.4799999986</v>
      </c>
      <c r="L94" s="33">
        <f t="shared" si="7"/>
        <v>23759651.480000004</v>
      </c>
      <c r="M94" s="33">
        <f t="shared" si="7"/>
        <v>47205414.519999996</v>
      </c>
      <c r="N94" s="33">
        <f t="shared" si="7"/>
        <v>100640830</v>
      </c>
      <c r="O94" s="33">
        <f t="shared" si="7"/>
        <v>253994104</v>
      </c>
      <c r="P94" s="33">
        <f t="shared" si="7"/>
        <v>44593652.519999996</v>
      </c>
      <c r="Q94" s="33">
        <f t="shared" si="7"/>
        <v>2611762</v>
      </c>
      <c r="R94" s="33">
        <f t="shared" si="7"/>
        <v>0</v>
      </c>
      <c r="S94" s="33">
        <f t="shared" si="7"/>
        <v>2611762</v>
      </c>
      <c r="T94" s="33">
        <f t="shared" si="7"/>
        <v>0</v>
      </c>
      <c r="U94" s="33">
        <f t="shared" si="7"/>
        <v>100640830</v>
      </c>
      <c r="V94" s="33">
        <f t="shared" si="7"/>
        <v>49958670</v>
      </c>
      <c r="W94" s="33">
        <f t="shared" si="7"/>
        <v>0</v>
      </c>
      <c r="X94" s="33">
        <f t="shared" si="7"/>
        <v>0</v>
      </c>
      <c r="Y94" s="33">
        <f t="shared" si="7"/>
        <v>27262500</v>
      </c>
      <c r="Z94" s="33">
        <f t="shared" si="7"/>
        <v>23419660</v>
      </c>
      <c r="AA94" s="96"/>
    </row>
    <row r="95" spans="1:32">
      <c r="A95" s="1"/>
      <c r="B95" s="1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94"/>
      <c r="AD95" s="47"/>
    </row>
    <row r="96" spans="1:32">
      <c r="A96" s="1">
        <f>A93+1</f>
        <v>81</v>
      </c>
      <c r="B96" s="1">
        <v>1396</v>
      </c>
      <c r="C96" s="1" t="s">
        <v>277</v>
      </c>
      <c r="D96" s="2">
        <f>'החברה לפיתוח'!D19</f>
        <v>6280000</v>
      </c>
      <c r="E96" s="2">
        <f>'החברה לפיתוח'!E19</f>
        <v>6280000</v>
      </c>
      <c r="F96" s="2">
        <f>'החברה לפיתוח'!F19</f>
        <v>0</v>
      </c>
      <c r="G96" s="2">
        <f>'החברה לפיתוח'!G19</f>
        <v>6280000</v>
      </c>
      <c r="H96" s="2">
        <f>'החברה לפיתוח'!H19</f>
        <v>5687644.4100000001</v>
      </c>
      <c r="I96" s="2">
        <f>'החברה לפיתוח'!I19</f>
        <v>0</v>
      </c>
      <c r="J96" s="2">
        <f>'החברה לפיתוח'!J19</f>
        <v>540897.4</v>
      </c>
      <c r="K96" s="2">
        <f>'החברה לפיתוח'!K19</f>
        <v>540897.4</v>
      </c>
      <c r="L96" s="2">
        <f>'החברה לפיתוח'!L19</f>
        <v>6228541.8100000005</v>
      </c>
      <c r="M96" s="2">
        <f>'החברה לפיתוח'!M19</f>
        <v>51458.189999999478</v>
      </c>
      <c r="N96" s="2">
        <f>'החברה לפיתוח'!N19</f>
        <v>0</v>
      </c>
      <c r="O96" s="2">
        <f>'החברה לפיתוח'!O19</f>
        <v>0</v>
      </c>
      <c r="P96" s="2">
        <f>'החברה לפיתוח'!P19</f>
        <v>51458.189999999478</v>
      </c>
      <c r="Q96" s="2">
        <f>'החברה לפיתוח'!Q19</f>
        <v>0</v>
      </c>
      <c r="R96" s="2">
        <f>'החברה לפיתוח'!R19</f>
        <v>0</v>
      </c>
      <c r="S96" s="2">
        <f>'החברה לפיתוח'!S19</f>
        <v>0</v>
      </c>
      <c r="T96" s="2">
        <f>'החברה לפיתוח'!T19</f>
        <v>0</v>
      </c>
      <c r="U96" s="2">
        <f>'החברה לפיתוח'!U19</f>
        <v>0</v>
      </c>
      <c r="V96" s="2">
        <f>'החברה לפיתוח'!V19</f>
        <v>0</v>
      </c>
      <c r="W96" s="2">
        <f>'החברה לפיתוח'!W19</f>
        <v>0</v>
      </c>
      <c r="X96" s="2">
        <f>'החברה לפיתוח'!X19</f>
        <v>0</v>
      </c>
      <c r="Y96" s="2">
        <f>'החברה לפיתוח'!Y19</f>
        <v>0</v>
      </c>
      <c r="Z96" s="2">
        <f>'החברה לפיתוח'!Z19</f>
        <v>0</v>
      </c>
      <c r="AA96" s="94">
        <f>'החברה לפיתוח'!AA19</f>
        <v>826000</v>
      </c>
      <c r="AB96" s="7"/>
      <c r="AC96" s="7"/>
      <c r="AD96" s="7"/>
      <c r="AE96" s="7"/>
      <c r="AF96" s="7"/>
    </row>
    <row r="97" spans="1:32">
      <c r="A97" s="1">
        <f>A96+1</f>
        <v>82</v>
      </c>
      <c r="B97" s="1">
        <v>1403</v>
      </c>
      <c r="C97" s="1" t="s">
        <v>175</v>
      </c>
      <c r="D97" s="2">
        <f>'החברה לפיתוח'!D21</f>
        <v>29750000</v>
      </c>
      <c r="E97" s="2">
        <f>'החברה לפיתוח'!E21</f>
        <v>26050000</v>
      </c>
      <c r="F97" s="2">
        <f>'החברה לפיתוח'!F21</f>
        <v>3700000</v>
      </c>
      <c r="G97" s="2">
        <f>'החברה לפיתוח'!G21</f>
        <v>15550000</v>
      </c>
      <c r="H97" s="2">
        <f>'החברה לפיתוח'!H21</f>
        <v>4399774.8600000003</v>
      </c>
      <c r="I97" s="2">
        <f>'החברה לפיתוח'!I21</f>
        <v>0</v>
      </c>
      <c r="J97" s="2">
        <f>'החברה לפיתוח'!J21</f>
        <v>7848899.2300000004</v>
      </c>
      <c r="K97" s="2">
        <f>'החברה לפיתוח'!K21</f>
        <v>7848899.2300000004</v>
      </c>
      <c r="L97" s="2">
        <f>'החברה לפיתוח'!L21</f>
        <v>12248674.09</v>
      </c>
      <c r="M97" s="2">
        <f>'החברה לפיתוח'!M21</f>
        <v>3301325.91</v>
      </c>
      <c r="N97" s="2">
        <f>'החברה לפיתוח'!N21</f>
        <v>14200000</v>
      </c>
      <c r="O97" s="2">
        <f>'החברה לפיתוח'!O21</f>
        <v>0</v>
      </c>
      <c r="P97" s="2">
        <f>'החברה לפיתוח'!P21</f>
        <v>3301325.91</v>
      </c>
      <c r="Q97" s="2">
        <f>'החברה לפיתוח'!Q21</f>
        <v>0</v>
      </c>
      <c r="R97" s="2">
        <f>'החברה לפיתוח'!R21</f>
        <v>0</v>
      </c>
      <c r="S97" s="2">
        <f>'החברה לפיתוח'!S21</f>
        <v>0</v>
      </c>
      <c r="T97" s="2">
        <f>'החברה לפיתוח'!T21</f>
        <v>0</v>
      </c>
      <c r="U97" s="2">
        <f>'החברה לפיתוח'!U21</f>
        <v>14200000</v>
      </c>
      <c r="V97" s="2">
        <f>'החברה לפיתוח'!V21</f>
        <v>650000</v>
      </c>
      <c r="W97" s="2">
        <f>'החברה לפיתוח'!W21</f>
        <v>0</v>
      </c>
      <c r="X97" s="2">
        <f>'החברה לפיתוח'!X21</f>
        <v>1250000</v>
      </c>
      <c r="Y97" s="2">
        <f>'החברה לפיתוח'!Y21</f>
        <v>0</v>
      </c>
      <c r="Z97" s="2">
        <f>'החברה לפיתוח'!Z21</f>
        <v>12300000</v>
      </c>
      <c r="AA97" s="94">
        <f>'החברה לפיתוח'!AA21</f>
        <v>826000</v>
      </c>
      <c r="AB97" s="3"/>
      <c r="AC97" s="3"/>
      <c r="AD97" s="3"/>
      <c r="AE97" s="3"/>
      <c r="AF97" s="3"/>
    </row>
    <row r="98" spans="1:32">
      <c r="A98" s="1">
        <f t="shared" ref="A98:A116" si="8">A97+1</f>
        <v>83</v>
      </c>
      <c r="B98" s="1">
        <v>1541</v>
      </c>
      <c r="C98" s="1" t="s">
        <v>264</v>
      </c>
      <c r="D98" s="2">
        <f>'החברה לפיתוח'!D28</f>
        <v>2650000</v>
      </c>
      <c r="E98" s="2">
        <f>'החברה לפיתוח'!E28</f>
        <v>2650000</v>
      </c>
      <c r="F98" s="2">
        <f>'החברה לפיתוח'!F28</f>
        <v>0</v>
      </c>
      <c r="G98" s="2">
        <f>'החברה לפיתוח'!G28</f>
        <v>2650000</v>
      </c>
      <c r="H98" s="2">
        <f>'החברה לפיתוח'!H28</f>
        <v>2560554.56</v>
      </c>
      <c r="I98" s="2">
        <f>'החברה לפיתוח'!I28</f>
        <v>0</v>
      </c>
      <c r="J98" s="2">
        <f>'החברה לפיתוח'!J28</f>
        <v>0</v>
      </c>
      <c r="K98" s="2">
        <f>'החברה לפיתוח'!K28</f>
        <v>0</v>
      </c>
      <c r="L98" s="2">
        <f>'החברה לפיתוח'!L28</f>
        <v>2560554.56</v>
      </c>
      <c r="M98" s="2">
        <f>'החברה לפיתוח'!M28</f>
        <v>89445.439999999944</v>
      </c>
      <c r="N98" s="2">
        <f>'החברה לפיתוח'!N28</f>
        <v>0</v>
      </c>
      <c r="O98" s="2">
        <f>'החברה לפיתוח'!O28</f>
        <v>0</v>
      </c>
      <c r="P98" s="2">
        <f>'החברה לפיתוח'!P28</f>
        <v>89445.439999999944</v>
      </c>
      <c r="Q98" s="2">
        <f>'החברה לפיתוח'!Q28</f>
        <v>0</v>
      </c>
      <c r="R98" s="2">
        <f>'החברה לפיתוח'!R28</f>
        <v>0</v>
      </c>
      <c r="S98" s="2">
        <f>'החברה לפיתוח'!S28</f>
        <v>0</v>
      </c>
      <c r="T98" s="2">
        <f>'החברה לפיתוח'!T28</f>
        <v>0</v>
      </c>
      <c r="U98" s="2">
        <f>'החברה לפיתוח'!U28</f>
        <v>0</v>
      </c>
      <c r="V98" s="2">
        <f>'החברה לפיתוח'!V28</f>
        <v>0</v>
      </c>
      <c r="W98" s="2">
        <f>'החברה לפיתוח'!W28</f>
        <v>0</v>
      </c>
      <c r="X98" s="2">
        <f>'החברה לפיתוח'!X28</f>
        <v>0</v>
      </c>
      <c r="Y98" s="2">
        <f>'החברה לפיתוח'!Y28</f>
        <v>0</v>
      </c>
      <c r="Z98" s="2">
        <f>'החברה לפיתוח'!Z28</f>
        <v>0</v>
      </c>
      <c r="AA98" s="94">
        <f>'החברה לפיתוח'!AA28</f>
        <v>829000</v>
      </c>
      <c r="AB98" s="7"/>
      <c r="AC98" s="7"/>
      <c r="AD98" s="7"/>
      <c r="AE98" s="7"/>
      <c r="AF98" s="7"/>
    </row>
    <row r="99" spans="1:32">
      <c r="A99" s="1">
        <f t="shared" si="8"/>
        <v>84</v>
      </c>
      <c r="B99" s="1">
        <v>1555</v>
      </c>
      <c r="C99" s="1" t="s">
        <v>178</v>
      </c>
      <c r="D99" s="2">
        <f>'החברה לפיתוח'!D29</f>
        <v>4250000</v>
      </c>
      <c r="E99" s="2">
        <f>'החברה לפיתוח'!E29</f>
        <v>4250000</v>
      </c>
      <c r="F99" s="2">
        <f>'החברה לפיתוח'!F29</f>
        <v>0</v>
      </c>
      <c r="G99" s="2">
        <f>'החברה לפיתוח'!G29</f>
        <v>4250000</v>
      </c>
      <c r="H99" s="2">
        <f>'החברה לפיתוח'!H29</f>
        <v>3663275</v>
      </c>
      <c r="I99" s="2">
        <f>'החברה לפיתוח'!I29</f>
        <v>0</v>
      </c>
      <c r="J99" s="2">
        <f>'החברה לפיתוח'!J29</f>
        <v>561713.98</v>
      </c>
      <c r="K99" s="2">
        <f>'החברה לפיתוח'!K29</f>
        <v>561713.98</v>
      </c>
      <c r="L99" s="2">
        <f>'החברה לפיתוח'!L29</f>
        <v>4224988.9800000004</v>
      </c>
      <c r="M99" s="2">
        <f>'החברה לפיתוח'!M29</f>
        <v>25011.019999999553</v>
      </c>
      <c r="N99" s="2">
        <f>'החברה לפיתוח'!N29</f>
        <v>0</v>
      </c>
      <c r="O99" s="2">
        <f>'החברה לפיתוח'!O29</f>
        <v>0</v>
      </c>
      <c r="P99" s="2">
        <f>'החברה לפיתוח'!P29</f>
        <v>25011.019999999553</v>
      </c>
      <c r="Q99" s="2">
        <f>'החברה לפיתוח'!Q29</f>
        <v>0</v>
      </c>
      <c r="R99" s="2">
        <f>'החברה לפיתוח'!R29</f>
        <v>0</v>
      </c>
      <c r="S99" s="2">
        <f>'החברה לפיתוח'!S29</f>
        <v>0</v>
      </c>
      <c r="T99" s="2">
        <f>'החברה לפיתוח'!T29</f>
        <v>0</v>
      </c>
      <c r="U99" s="2">
        <f>'החברה לפיתוח'!U29</f>
        <v>0</v>
      </c>
      <c r="V99" s="2">
        <f>'החברה לפיתוח'!V29</f>
        <v>0</v>
      </c>
      <c r="W99" s="2">
        <f>'החברה לפיתוח'!W29</f>
        <v>0</v>
      </c>
      <c r="X99" s="2">
        <f>'החברה לפיתוח'!X29</f>
        <v>0</v>
      </c>
      <c r="Y99" s="2">
        <f>'החברה לפיתוח'!Y29</f>
        <v>0</v>
      </c>
      <c r="Z99" s="2">
        <f>'החברה לפיתוח'!Z29</f>
        <v>0</v>
      </c>
      <c r="AA99" s="94">
        <f>'החברה לפיתוח'!AA29</f>
        <v>828000</v>
      </c>
      <c r="AB99" s="7"/>
      <c r="AC99" s="7"/>
      <c r="AD99" s="7"/>
      <c r="AE99" s="7"/>
      <c r="AF99" s="7"/>
    </row>
    <row r="100" spans="1:32">
      <c r="A100" s="1">
        <f t="shared" si="8"/>
        <v>85</v>
      </c>
      <c r="B100" s="1">
        <v>1625</v>
      </c>
      <c r="C100" s="1" t="s">
        <v>265</v>
      </c>
      <c r="D100" s="2">
        <f>'החברה לפיתוח'!D34</f>
        <v>100000000</v>
      </c>
      <c r="E100" s="2">
        <f>'החברה לפיתוח'!E34</f>
        <v>13300000</v>
      </c>
      <c r="F100" s="2">
        <f>'החברה לפיתוח'!F34</f>
        <v>86700000</v>
      </c>
      <c r="G100" s="2">
        <f>'החברה לפיתוח'!G34</f>
        <v>5125000</v>
      </c>
      <c r="H100" s="2">
        <f>'החברה לפיתוח'!H34</f>
        <v>4884231.58</v>
      </c>
      <c r="I100" s="2">
        <f>'החברה לפיתוח'!I34</f>
        <v>0</v>
      </c>
      <c r="J100" s="2">
        <f>'החברה לפיתוח'!J34</f>
        <v>174697.69</v>
      </c>
      <c r="K100" s="2">
        <f>'החברה לפיתוח'!K34</f>
        <v>174697.69</v>
      </c>
      <c r="L100" s="2">
        <f>'החברה לפיתוח'!L34</f>
        <v>5058929.2700000005</v>
      </c>
      <c r="M100" s="2">
        <f>'החברה לפיתוח'!M34</f>
        <v>66070.729999999516</v>
      </c>
      <c r="N100" s="2">
        <f>'החברה לפיתוח'!N34</f>
        <v>0</v>
      </c>
      <c r="O100" s="2">
        <f>'החברה לפיתוח'!O34</f>
        <v>94875000</v>
      </c>
      <c r="P100" s="2">
        <f>'החברה לפיתוח'!P34</f>
        <v>66070.729999999516</v>
      </c>
      <c r="Q100" s="2">
        <f>'החברה לפיתוח'!Q34</f>
        <v>0</v>
      </c>
      <c r="R100" s="2">
        <f>'החברה לפיתוח'!R34</f>
        <v>0</v>
      </c>
      <c r="S100" s="2">
        <f>'החברה לפיתוח'!S34</f>
        <v>0</v>
      </c>
      <c r="T100" s="2">
        <f>'החברה לפיתוח'!T34</f>
        <v>0</v>
      </c>
      <c r="U100" s="2">
        <f>'החברה לפיתוח'!U34</f>
        <v>0</v>
      </c>
      <c r="V100" s="2">
        <f>'החברה לפיתוח'!V34</f>
        <v>0</v>
      </c>
      <c r="W100" s="2">
        <f>'החברה לפיתוח'!W34</f>
        <v>0</v>
      </c>
      <c r="X100" s="2">
        <f>'החברה לפיתוח'!X34</f>
        <v>0</v>
      </c>
      <c r="Y100" s="2">
        <f>'החברה לפיתוח'!Y34</f>
        <v>0</v>
      </c>
      <c r="Z100" s="2">
        <f>'החברה לפיתוח'!Z34</f>
        <v>0</v>
      </c>
      <c r="AA100" s="94">
        <f>'החברה לפיתוח'!AA34</f>
        <v>829000</v>
      </c>
      <c r="AB100" s="3"/>
      <c r="AC100" s="3"/>
      <c r="AD100" s="3"/>
      <c r="AE100" s="3"/>
      <c r="AF100" s="3"/>
    </row>
    <row r="101" spans="1:32" ht="30">
      <c r="A101" s="1">
        <f t="shared" si="8"/>
        <v>86</v>
      </c>
      <c r="B101" s="1">
        <v>1772</v>
      </c>
      <c r="C101" s="1" t="s">
        <v>1003</v>
      </c>
      <c r="D101" s="2">
        <f>'החברה לפיתוח'!D49</f>
        <v>3210000</v>
      </c>
      <c r="E101" s="2">
        <f>'החברה לפיתוח'!E49</f>
        <v>3210000</v>
      </c>
      <c r="F101" s="2">
        <f>'החברה לפיתוח'!F49</f>
        <v>0</v>
      </c>
      <c r="G101" s="2">
        <f>'החברה לפיתוח'!G49</f>
        <v>3210000</v>
      </c>
      <c r="H101" s="2">
        <f>'החברה לפיתוח'!H49</f>
        <v>2922582.84</v>
      </c>
      <c r="I101" s="2">
        <f>'החברה לפיתוח'!I49</f>
        <v>0</v>
      </c>
      <c r="J101" s="2">
        <f>'החברה לפיתוח'!J49</f>
        <v>263570.05</v>
      </c>
      <c r="K101" s="2">
        <f>'החברה לפיתוח'!K49</f>
        <v>263570.05</v>
      </c>
      <c r="L101" s="2">
        <f>'החברה לפיתוח'!L49</f>
        <v>3186152.8899999997</v>
      </c>
      <c r="M101" s="2">
        <f>'החברה לפיתוח'!M49</f>
        <v>23847.110000000335</v>
      </c>
      <c r="N101" s="2">
        <f>'החברה לפיתוח'!N49</f>
        <v>0</v>
      </c>
      <c r="O101" s="2">
        <f>'החברה לפיתוח'!O49</f>
        <v>0</v>
      </c>
      <c r="P101" s="2">
        <f>'החברה לפיתוח'!P49</f>
        <v>23847.110000000335</v>
      </c>
      <c r="Q101" s="2">
        <f>'החברה לפיתוח'!Q49</f>
        <v>0</v>
      </c>
      <c r="R101" s="2">
        <f>'החברה לפיתוח'!R49</f>
        <v>0</v>
      </c>
      <c r="S101" s="2">
        <f>'החברה לפיתוח'!S49</f>
        <v>0</v>
      </c>
      <c r="T101" s="2">
        <f>'החברה לפיתוח'!T49</f>
        <v>0</v>
      </c>
      <c r="U101" s="2">
        <f>'החברה לפיתוח'!U49</f>
        <v>0</v>
      </c>
      <c r="V101" s="2">
        <f>'החברה לפיתוח'!V49</f>
        <v>0</v>
      </c>
      <c r="W101" s="2">
        <f>'החברה לפיתוח'!W49</f>
        <v>0</v>
      </c>
      <c r="X101" s="2">
        <f>'החברה לפיתוח'!X49</f>
        <v>0</v>
      </c>
      <c r="Y101" s="2">
        <f>'החברה לפיתוח'!Y49</f>
        <v>0</v>
      </c>
      <c r="Z101" s="2">
        <f>'החברה לפיתוח'!Z49</f>
        <v>0</v>
      </c>
      <c r="AA101" s="94">
        <f>'החברה לפיתוח'!AA49</f>
        <v>829000</v>
      </c>
      <c r="AB101" s="10"/>
      <c r="AC101" s="10"/>
      <c r="AD101" s="10"/>
      <c r="AE101" s="10"/>
      <c r="AF101" s="10"/>
    </row>
    <row r="102" spans="1:32">
      <c r="A102" s="1">
        <f t="shared" si="8"/>
        <v>87</v>
      </c>
      <c r="B102" s="1">
        <v>1797</v>
      </c>
      <c r="C102" s="1" t="s">
        <v>232</v>
      </c>
      <c r="D102" s="2">
        <f>'החברה לפיתוח'!D98</f>
        <v>3000000</v>
      </c>
      <c r="E102" s="2">
        <f>'החברה לפיתוח'!E98</f>
        <v>3000000</v>
      </c>
      <c r="F102" s="2">
        <f>'החברה לפיתוח'!F98</f>
        <v>0</v>
      </c>
      <c r="G102" s="2">
        <f>'החברה לפיתוח'!G98</f>
        <v>1761262</v>
      </c>
      <c r="H102" s="2">
        <f>'החברה לפיתוח'!H98</f>
        <v>0</v>
      </c>
      <c r="I102" s="2">
        <f>'החברה לפיתוח'!I98</f>
        <v>0</v>
      </c>
      <c r="J102" s="2">
        <f>'החברה לפיתוח'!J98</f>
        <v>0</v>
      </c>
      <c r="K102" s="2">
        <f>'החברה לפיתוח'!K98</f>
        <v>0</v>
      </c>
      <c r="L102" s="2">
        <f>'החברה לפיתוח'!L98</f>
        <v>0</v>
      </c>
      <c r="M102" s="2">
        <f>'החברה לפיתוח'!M98</f>
        <v>249500</v>
      </c>
      <c r="N102" s="2">
        <f>'החברה לפיתוח'!N98</f>
        <v>0</v>
      </c>
      <c r="O102" s="2">
        <f>'החברה לפיתוח'!O98</f>
        <v>2750500</v>
      </c>
      <c r="P102" s="2">
        <f>'החברה לפיתוח'!P98</f>
        <v>1761262</v>
      </c>
      <c r="Q102" s="2">
        <f>'החברה לפיתוח'!Q98</f>
        <v>-1511762</v>
      </c>
      <c r="R102" s="2">
        <f>'החברה לפיתוח'!R98</f>
        <v>0</v>
      </c>
      <c r="S102" s="2">
        <f>'החברה לפיתוח'!S98</f>
        <v>-1511762</v>
      </c>
      <c r="T102" s="2">
        <f>'החברה לפיתוח'!T98</f>
        <v>0</v>
      </c>
      <c r="U102" s="2">
        <f>'החברה לפיתוח'!U98</f>
        <v>0</v>
      </c>
      <c r="V102" s="2">
        <f>'החברה לפיתוח'!V98</f>
        <v>0</v>
      </c>
      <c r="W102" s="2">
        <f>'החברה לפיתוח'!W98</f>
        <v>0</v>
      </c>
      <c r="X102" s="2">
        <f>'החברה לפיתוח'!X98</f>
        <v>0</v>
      </c>
      <c r="Y102" s="2">
        <f>'החברה לפיתוח'!Y98</f>
        <v>0</v>
      </c>
      <c r="Z102" s="2">
        <f>'החברה לפיתוח'!Z98</f>
        <v>0</v>
      </c>
      <c r="AA102" s="94">
        <f>'החברה לפיתוח'!AA98</f>
        <v>820000</v>
      </c>
      <c r="AB102" s="7"/>
      <c r="AC102" s="7"/>
      <c r="AD102" s="43"/>
      <c r="AE102" s="7"/>
      <c r="AF102" s="7"/>
    </row>
    <row r="103" spans="1:32">
      <c r="A103" s="1">
        <f t="shared" si="8"/>
        <v>88</v>
      </c>
      <c r="B103" s="1">
        <v>1798</v>
      </c>
      <c r="C103" s="1" t="s">
        <v>233</v>
      </c>
      <c r="D103" s="2">
        <f>'החברה לפיתוח'!D50</f>
        <v>1600000</v>
      </c>
      <c r="E103" s="2">
        <f>'החברה לפיתוח'!E50</f>
        <v>1600000</v>
      </c>
      <c r="F103" s="2">
        <f>'החברה לפיתוח'!F50</f>
        <v>0</v>
      </c>
      <c r="G103" s="2">
        <f>'החברה לפיתוח'!G50</f>
        <v>1600000</v>
      </c>
      <c r="H103" s="2">
        <f>'החברה לפיתוח'!H50</f>
        <v>437562</v>
      </c>
      <c r="I103" s="2">
        <f>'החברה לפיתוח'!I50</f>
        <v>0</v>
      </c>
      <c r="J103" s="2">
        <f>'החברה לפיתוח'!J50</f>
        <v>642832.57999999996</v>
      </c>
      <c r="K103" s="2">
        <f>'החברה לפיתוח'!K50</f>
        <v>642832.57999999996</v>
      </c>
      <c r="L103" s="2">
        <f>'החברה לפיתוח'!L50</f>
        <v>1080394.58</v>
      </c>
      <c r="M103" s="2">
        <f>'החברה לפיתוח'!M50</f>
        <v>519605.41999999993</v>
      </c>
      <c r="N103" s="2">
        <f>'החברה לפיתוח'!N50</f>
        <v>0</v>
      </c>
      <c r="O103" s="2">
        <f>'החברה לפיתוח'!O50</f>
        <v>0</v>
      </c>
      <c r="P103" s="2">
        <f>'החברה לפיתוח'!P50</f>
        <v>519605.41999999993</v>
      </c>
      <c r="Q103" s="2">
        <f>'החברה לפיתוח'!Q50</f>
        <v>0</v>
      </c>
      <c r="R103" s="2">
        <f>'החברה לפיתוח'!R50</f>
        <v>0</v>
      </c>
      <c r="S103" s="2">
        <f>'החברה לפיתוח'!S50</f>
        <v>0</v>
      </c>
      <c r="T103" s="2">
        <f>'החברה לפיתוח'!T50</f>
        <v>0</v>
      </c>
      <c r="U103" s="2">
        <f>'החברה לפיתוח'!U50</f>
        <v>0</v>
      </c>
      <c r="V103" s="2">
        <f>'החברה לפיתוח'!V50</f>
        <v>0</v>
      </c>
      <c r="W103" s="2">
        <f>'החברה לפיתוח'!W50</f>
        <v>0</v>
      </c>
      <c r="X103" s="2">
        <f>'החברה לפיתוח'!X50</f>
        <v>0</v>
      </c>
      <c r="Y103" s="2">
        <f>'החברה לפיתוח'!Y50</f>
        <v>0</v>
      </c>
      <c r="Z103" s="2">
        <f>'החברה לפיתוח'!Z50</f>
        <v>0</v>
      </c>
      <c r="AA103" s="94">
        <f>'החברה לפיתוח'!AA50</f>
        <v>829000</v>
      </c>
      <c r="AB103" s="694"/>
      <c r="AC103" s="7"/>
      <c r="AD103" s="7"/>
      <c r="AE103" s="7"/>
      <c r="AF103" s="7"/>
    </row>
    <row r="104" spans="1:32" s="77" customFormat="1">
      <c r="A104" s="1">
        <f t="shared" si="8"/>
        <v>89</v>
      </c>
      <c r="B104" s="8">
        <v>1833</v>
      </c>
      <c r="C104" s="1" t="s">
        <v>267</v>
      </c>
      <c r="D104" s="2">
        <f>'החברה לפיתוח'!D57</f>
        <v>24000000</v>
      </c>
      <c r="E104" s="2">
        <f>'החברה לפיתוח'!E57</f>
        <v>20000000</v>
      </c>
      <c r="F104" s="2">
        <f>'החברה לפיתוח'!F57</f>
        <v>4000000</v>
      </c>
      <c r="G104" s="2">
        <f>'החברה לפיתוח'!G57</f>
        <v>500000</v>
      </c>
      <c r="H104" s="2">
        <f>'החברה לפיתוח'!H57</f>
        <v>2480</v>
      </c>
      <c r="I104" s="2">
        <f>'החברה לפיתוח'!I57</f>
        <v>0</v>
      </c>
      <c r="J104" s="2">
        <f>'החברה לפיתוח'!J57</f>
        <v>497517.93</v>
      </c>
      <c r="K104" s="2">
        <f>'החברה לפיתוח'!K57</f>
        <v>497517.93</v>
      </c>
      <c r="L104" s="2">
        <f>'החברה לפיתוח'!L57</f>
        <v>499997.93</v>
      </c>
      <c r="M104" s="2">
        <f>'החברה לפיתוח'!M57</f>
        <v>2.0700000000069849</v>
      </c>
      <c r="N104" s="2">
        <f>'החברה לפיתוח'!N57</f>
        <v>14400000</v>
      </c>
      <c r="O104" s="2">
        <f>'החברה לפיתוח'!O57</f>
        <v>9100000</v>
      </c>
      <c r="P104" s="2">
        <f>'החברה לפיתוח'!P57</f>
        <v>2.0700000000069849</v>
      </c>
      <c r="Q104" s="2">
        <f>'החברה לפיתוח'!Q57</f>
        <v>0</v>
      </c>
      <c r="R104" s="2">
        <f>'החברה לפיתוח'!R57</f>
        <v>0</v>
      </c>
      <c r="S104" s="2">
        <f>'החברה לפיתוח'!S57</f>
        <v>0</v>
      </c>
      <c r="T104" s="2">
        <f>'החברה לפיתוח'!T57</f>
        <v>0</v>
      </c>
      <c r="U104" s="2">
        <f>'החברה לפיתוח'!U57</f>
        <v>14400000</v>
      </c>
      <c r="V104" s="2">
        <f>'החברה לפיתוח'!V57</f>
        <v>0</v>
      </c>
      <c r="W104" s="2">
        <f>'החברה לפיתוח'!W57</f>
        <v>0</v>
      </c>
      <c r="X104" s="2">
        <f>'החברה לפיתוח'!X57</f>
        <v>0</v>
      </c>
      <c r="Y104" s="2">
        <f>'החברה לפיתוח'!Y57</f>
        <v>0</v>
      </c>
      <c r="Z104" s="2">
        <f>'החברה לפיתוח'!Z57</f>
        <v>14400000</v>
      </c>
      <c r="AA104" s="94">
        <f>'החברה לפיתוח'!AA57</f>
        <v>829000</v>
      </c>
      <c r="AB104" s="11"/>
      <c r="AC104" s="11"/>
      <c r="AD104" s="11"/>
      <c r="AE104" s="11"/>
      <c r="AF104" s="11"/>
    </row>
    <row r="105" spans="1:32" s="77" customFormat="1">
      <c r="A105" s="1">
        <f t="shared" si="8"/>
        <v>90</v>
      </c>
      <c r="B105" s="1">
        <v>1834</v>
      </c>
      <c r="C105" s="1" t="s">
        <v>248</v>
      </c>
      <c r="D105" s="2">
        <f>'החברה לפיתוח'!D58</f>
        <v>60000000</v>
      </c>
      <c r="E105" s="2">
        <f>'החברה לפיתוח'!E58</f>
        <v>40000000</v>
      </c>
      <c r="F105" s="2">
        <f>'החברה לפיתוח'!F58</f>
        <v>20000000</v>
      </c>
      <c r="G105" s="2">
        <f>'החברה לפיתוח'!G58</f>
        <v>350000</v>
      </c>
      <c r="H105" s="2">
        <f>'החברה לפיתוח'!H58</f>
        <v>32256</v>
      </c>
      <c r="I105" s="2">
        <f>'החברה לפיתוח'!I58</f>
        <v>0</v>
      </c>
      <c r="J105" s="2">
        <f>'החברה לפיתוח'!J58</f>
        <v>36152.370000000003</v>
      </c>
      <c r="K105" s="2">
        <f>'החברה לפיתוח'!K58</f>
        <v>36152.370000000003</v>
      </c>
      <c r="L105" s="2">
        <f>'החברה לפיתוח'!L58</f>
        <v>68408.37</v>
      </c>
      <c r="M105" s="2">
        <f>'החברה לפיתוח'!M58</f>
        <v>2031591.63</v>
      </c>
      <c r="N105" s="2">
        <f>'החברה לפיתוח'!N58</f>
        <v>3000000</v>
      </c>
      <c r="O105" s="2">
        <f>'החברה לפיתוח'!O58</f>
        <v>54900000</v>
      </c>
      <c r="P105" s="2">
        <f>'החברה לפיתוח'!P58</f>
        <v>281591.63</v>
      </c>
      <c r="Q105" s="2">
        <f>'החברה לפיתוח'!Q58</f>
        <v>1750000</v>
      </c>
      <c r="R105" s="2">
        <f>'החברה לפיתוח'!R58</f>
        <v>0</v>
      </c>
      <c r="S105" s="2">
        <f>'החברה לפיתוח'!S58</f>
        <v>1750000</v>
      </c>
      <c r="T105" s="2">
        <f>'החברה לפיתוח'!T58</f>
        <v>0</v>
      </c>
      <c r="U105" s="2">
        <f>'החברה לפיתוח'!U58</f>
        <v>3000000</v>
      </c>
      <c r="V105" s="2">
        <f>'החברה לפיתוח'!V58</f>
        <v>3000000</v>
      </c>
      <c r="W105" s="2">
        <f>'החברה לפיתוח'!W58</f>
        <v>0</v>
      </c>
      <c r="X105" s="2">
        <f>'החברה לפיתוח'!X58</f>
        <v>0</v>
      </c>
      <c r="Y105" s="2">
        <f>'החברה לפיתוח'!Y58</f>
        <v>0</v>
      </c>
      <c r="Z105" s="2">
        <f>'החברה לפיתוח'!Z58</f>
        <v>0</v>
      </c>
      <c r="AA105" s="94">
        <f>'החברה לפיתוח'!AA58</f>
        <v>824000</v>
      </c>
      <c r="AB105" s="3"/>
      <c r="AC105" s="3"/>
      <c r="AD105" s="3"/>
      <c r="AE105" s="3"/>
      <c r="AF105" s="3"/>
    </row>
    <row r="106" spans="1:32" s="77" customFormat="1">
      <c r="A106" s="1">
        <f t="shared" si="8"/>
        <v>91</v>
      </c>
      <c r="B106" s="1">
        <v>1835</v>
      </c>
      <c r="C106" s="1" t="s">
        <v>249</v>
      </c>
      <c r="D106" s="2">
        <f>'החברה לפיתוח'!D59</f>
        <v>58000000</v>
      </c>
      <c r="E106" s="2">
        <f>'החברה לפיתוח'!E59</f>
        <v>30000000</v>
      </c>
      <c r="F106" s="2">
        <f>'החברה לפיתוח'!F59</f>
        <v>28000000</v>
      </c>
      <c r="G106" s="2">
        <f>'החברה לפיתוח'!G59</f>
        <v>600000</v>
      </c>
      <c r="H106" s="2">
        <f>'החברה לפיתוח'!H59</f>
        <v>168842</v>
      </c>
      <c r="I106" s="2">
        <f>'החברה לפיתוח'!I59</f>
        <v>0</v>
      </c>
      <c r="J106" s="2">
        <f>'החברה לפיתוח'!J59</f>
        <v>173361.47</v>
      </c>
      <c r="K106" s="2">
        <f>'החברה לפיתוח'!K59</f>
        <v>173361.47</v>
      </c>
      <c r="L106" s="2">
        <f>'החברה לפיתוח'!L59</f>
        <v>342203.47</v>
      </c>
      <c r="M106" s="2">
        <f>'החברה לפיתוח'!M59</f>
        <v>3057796.5300000003</v>
      </c>
      <c r="N106" s="2">
        <f>'החברה לפיתוח'!N59</f>
        <v>8500000</v>
      </c>
      <c r="O106" s="2">
        <f>'החברה לפיתוח'!O59</f>
        <v>46100000</v>
      </c>
      <c r="P106" s="2">
        <f>'החברה לפיתוח'!P59</f>
        <v>257796.53000000003</v>
      </c>
      <c r="Q106" s="2">
        <f>'החברה לפיתוח'!Q59</f>
        <v>2800000</v>
      </c>
      <c r="R106" s="2">
        <f>'החברה לפיתוח'!R59</f>
        <v>0</v>
      </c>
      <c r="S106" s="2">
        <f>'החברה לפיתוח'!S59</f>
        <v>2800000</v>
      </c>
      <c r="T106" s="2">
        <f>'החברה לפיתוח'!T59</f>
        <v>0</v>
      </c>
      <c r="U106" s="2">
        <f>'החברה לפיתוח'!U59</f>
        <v>8500000</v>
      </c>
      <c r="V106" s="2">
        <f>'החברה לפיתוח'!V59</f>
        <v>8500000</v>
      </c>
      <c r="W106" s="2">
        <f>'החברה לפיתוח'!W59</f>
        <v>0</v>
      </c>
      <c r="X106" s="2">
        <f>'החברה לפיתוח'!X59</f>
        <v>0</v>
      </c>
      <c r="Y106" s="2">
        <f>'החברה לפיתוח'!Y59</f>
        <v>0</v>
      </c>
      <c r="Z106" s="2">
        <f>'החברה לפיתוח'!Z59</f>
        <v>0</v>
      </c>
      <c r="AA106" s="94">
        <f>'החברה לפיתוח'!AA59</f>
        <v>824000</v>
      </c>
      <c r="AB106" s="3"/>
      <c r="AC106" s="3"/>
      <c r="AD106" s="3"/>
      <c r="AE106" s="3"/>
      <c r="AF106" s="3"/>
    </row>
    <row r="107" spans="1:32" s="3" customFormat="1" ht="15" customHeight="1">
      <c r="A107" s="1">
        <f t="shared" si="8"/>
        <v>92</v>
      </c>
      <c r="B107" s="8">
        <v>1896</v>
      </c>
      <c r="C107" s="1" t="s">
        <v>297</v>
      </c>
      <c r="D107" s="2">
        <f>'החברה לפיתוח'!D67</f>
        <v>18560000</v>
      </c>
      <c r="E107" s="2">
        <f>'החברה לפיתוח'!E67</f>
        <v>18560000</v>
      </c>
      <c r="F107" s="2">
        <f>'החברה לפיתוח'!F67</f>
        <v>0</v>
      </c>
      <c r="G107" s="2">
        <f>'החברה לפיתוח'!G67</f>
        <v>1000000</v>
      </c>
      <c r="H107" s="2">
        <f>'החברה לפיתוח'!H67</f>
        <v>0</v>
      </c>
      <c r="I107" s="2">
        <f>'החברה לפיתוח'!I67</f>
        <v>0</v>
      </c>
      <c r="J107" s="2">
        <f>'החברה לפיתוח'!J67</f>
        <v>0</v>
      </c>
      <c r="K107" s="2">
        <f>'החברה לפיתוח'!K67</f>
        <v>0</v>
      </c>
      <c r="L107" s="2">
        <f>'החברה לפיתוח'!L67</f>
        <v>0</v>
      </c>
      <c r="M107" s="2">
        <f>'החברה לפיתוח'!M67</f>
        <v>1000000</v>
      </c>
      <c r="N107" s="2">
        <f>'החברה לפיתוח'!N67</f>
        <v>3000000</v>
      </c>
      <c r="O107" s="2">
        <f>'החברה לפיתוח'!O67</f>
        <v>14560000</v>
      </c>
      <c r="P107" s="2">
        <f>'החברה לפיתוח'!P67</f>
        <v>1000000</v>
      </c>
      <c r="Q107" s="2">
        <f>'החברה לפיתוח'!Q67</f>
        <v>0</v>
      </c>
      <c r="R107" s="2">
        <f>'החברה לפיתוח'!R67</f>
        <v>0</v>
      </c>
      <c r="S107" s="2">
        <f>'החברה לפיתוח'!S67</f>
        <v>0</v>
      </c>
      <c r="T107" s="2">
        <f>'החברה לפיתוח'!T67</f>
        <v>0</v>
      </c>
      <c r="U107" s="2">
        <f>'החברה לפיתוח'!U67</f>
        <v>3000000</v>
      </c>
      <c r="V107" s="2">
        <f>'החברה לפיתוח'!V67</f>
        <v>3000000</v>
      </c>
      <c r="W107" s="2">
        <f>'החברה לפיתוח'!W67</f>
        <v>0</v>
      </c>
      <c r="X107" s="2">
        <f>'החברה לפיתוח'!X67</f>
        <v>0</v>
      </c>
      <c r="Y107" s="2">
        <f>'החברה לפיתוח'!Y67</f>
        <v>0</v>
      </c>
      <c r="Z107" s="2">
        <f>'החברה לפיתוח'!Z67</f>
        <v>0</v>
      </c>
      <c r="AA107" s="94">
        <f>'החברה לפיתוח'!AA67</f>
        <v>829000</v>
      </c>
      <c r="AB107" s="11"/>
      <c r="AC107" s="11"/>
      <c r="AD107" s="11"/>
      <c r="AE107" s="11"/>
      <c r="AF107" s="11"/>
    </row>
    <row r="108" spans="1:32" s="7" customFormat="1" ht="15" customHeight="1">
      <c r="A108" s="1">
        <f t="shared" si="8"/>
        <v>93</v>
      </c>
      <c r="B108" s="8">
        <v>1910</v>
      </c>
      <c r="C108" s="1" t="s">
        <v>272</v>
      </c>
      <c r="D108" s="2">
        <f>'החברה לפיתוח'!D105</f>
        <v>650000</v>
      </c>
      <c r="E108" s="2">
        <f>'החברה לפיתוח'!E105</f>
        <v>650000</v>
      </c>
      <c r="F108" s="2">
        <f>'החברה לפיתוח'!F105</f>
        <v>0</v>
      </c>
      <c r="G108" s="2">
        <f>'החברה לפיתוח'!G105</f>
        <v>650000</v>
      </c>
      <c r="H108" s="2">
        <f>'החברה לפיתוח'!H105</f>
        <v>0</v>
      </c>
      <c r="I108" s="2">
        <f>'החברה לפיתוח'!I105</f>
        <v>0</v>
      </c>
      <c r="J108" s="2">
        <f>'החברה לפיתוח'!J105</f>
        <v>0</v>
      </c>
      <c r="K108" s="2">
        <f>'החברה לפיתוח'!K105</f>
        <v>0</v>
      </c>
      <c r="L108" s="2">
        <f>'החברה לפיתוח'!L105</f>
        <v>0</v>
      </c>
      <c r="M108" s="2">
        <f>'החברה לפיתוח'!M105</f>
        <v>650000</v>
      </c>
      <c r="N108" s="2">
        <f>'החברה לפיתוח'!N105</f>
        <v>0</v>
      </c>
      <c r="O108" s="2">
        <f>'החברה לפיתוח'!O105</f>
        <v>0</v>
      </c>
      <c r="P108" s="2">
        <f>'החברה לפיתוח'!P105</f>
        <v>650000</v>
      </c>
      <c r="Q108" s="2">
        <f>'החברה לפיתוח'!Q105</f>
        <v>0</v>
      </c>
      <c r="R108" s="2">
        <f>'החברה לפיתוח'!R105</f>
        <v>0</v>
      </c>
      <c r="S108" s="2">
        <f>'החברה לפיתוח'!S105</f>
        <v>0</v>
      </c>
      <c r="T108" s="2">
        <f>'החברה לפיתוח'!T105</f>
        <v>0</v>
      </c>
      <c r="U108" s="2">
        <f>'החברה לפיתוח'!U105</f>
        <v>0</v>
      </c>
      <c r="V108" s="2">
        <f>'החברה לפיתוח'!V105</f>
        <v>0</v>
      </c>
      <c r="W108" s="2">
        <f>'החברה לפיתוח'!W105</f>
        <v>0</v>
      </c>
      <c r="X108" s="2">
        <f>'החברה לפיתוח'!X105</f>
        <v>0</v>
      </c>
      <c r="Y108" s="2">
        <f>'החברה לפיתוח'!Y105</f>
        <v>0</v>
      </c>
      <c r="Z108" s="2">
        <f>'החברה לפיתוח'!Z105</f>
        <v>0</v>
      </c>
      <c r="AA108" s="94">
        <f>'החברה לפיתוח'!AA105</f>
        <v>823000</v>
      </c>
      <c r="AB108" s="11"/>
      <c r="AC108" s="11"/>
      <c r="AD108" s="11"/>
      <c r="AE108" s="11"/>
      <c r="AF108" s="11"/>
    </row>
    <row r="109" spans="1:32" ht="30">
      <c r="A109" s="1">
        <f t="shared" si="8"/>
        <v>94</v>
      </c>
      <c r="B109" s="8">
        <v>1913</v>
      </c>
      <c r="C109" s="1" t="s">
        <v>1007</v>
      </c>
      <c r="D109" s="2">
        <f>'החברה לפיתוח'!D108</f>
        <v>400000</v>
      </c>
      <c r="E109" s="2">
        <f>'החברה לפיתוח'!E108</f>
        <v>400000</v>
      </c>
      <c r="F109" s="2">
        <f>'החברה לפיתוח'!F108</f>
        <v>0</v>
      </c>
      <c r="G109" s="2">
        <f>'החברה לפיתוח'!G108</f>
        <v>400000</v>
      </c>
      <c r="H109" s="2">
        <f>'החברה לפיתוח'!H108</f>
        <v>0</v>
      </c>
      <c r="I109" s="2">
        <f>'החברה לפיתוח'!I108</f>
        <v>0</v>
      </c>
      <c r="J109" s="2">
        <f>'החברה לפיתוח'!J108</f>
        <v>0</v>
      </c>
      <c r="K109" s="2">
        <f>'החברה לפיתוח'!K108</f>
        <v>0</v>
      </c>
      <c r="L109" s="2">
        <f>'החברה לפיתוח'!L108</f>
        <v>0</v>
      </c>
      <c r="M109" s="2">
        <f>'החברה לפיתוח'!M108</f>
        <v>400000</v>
      </c>
      <c r="N109" s="2">
        <f>'החברה לפיתוח'!N108</f>
        <v>0</v>
      </c>
      <c r="O109" s="2">
        <f>'החברה לפיתוח'!O108</f>
        <v>0</v>
      </c>
      <c r="P109" s="2">
        <f>'החברה לפיתוח'!P108</f>
        <v>400000</v>
      </c>
      <c r="Q109" s="2">
        <f>'החברה לפיתוח'!Q108</f>
        <v>0</v>
      </c>
      <c r="R109" s="2">
        <f>'החברה לפיתוח'!R108</f>
        <v>0</v>
      </c>
      <c r="S109" s="2">
        <f>'החברה לפיתוח'!S108</f>
        <v>0</v>
      </c>
      <c r="T109" s="2">
        <f>'החברה לפיתוח'!T108</f>
        <v>0</v>
      </c>
      <c r="U109" s="2">
        <f>'החברה לפיתוח'!U108</f>
        <v>0</v>
      </c>
      <c r="V109" s="2">
        <f>'החברה לפיתוח'!V108</f>
        <v>0</v>
      </c>
      <c r="W109" s="2">
        <f>'החברה לפיתוח'!W108</f>
        <v>0</v>
      </c>
      <c r="X109" s="2">
        <f>'החברה לפיתוח'!X108</f>
        <v>0</v>
      </c>
      <c r="Y109" s="2">
        <f>'החברה לפיתוח'!Y108</f>
        <v>0</v>
      </c>
      <c r="Z109" s="2">
        <f>'החברה לפיתוח'!Z108</f>
        <v>0</v>
      </c>
      <c r="AA109" s="94">
        <f>'החברה לפיתוח'!AA108</f>
        <v>823000</v>
      </c>
      <c r="AD109" s="47"/>
    </row>
    <row r="110" spans="1:32" s="3" customFormat="1" ht="15" customHeight="1">
      <c r="A110" s="1">
        <f t="shared" si="8"/>
        <v>95</v>
      </c>
      <c r="B110" s="8">
        <v>1921</v>
      </c>
      <c r="C110" s="1" t="s">
        <v>274</v>
      </c>
      <c r="D110" s="2">
        <f>'החברה לפיתוח'!D70</f>
        <v>6820000</v>
      </c>
      <c r="E110" s="2">
        <f>'החברה לפיתוח'!E70</f>
        <v>4500000</v>
      </c>
      <c r="F110" s="2">
        <f>'החברה לפיתוח'!F70</f>
        <v>2320000</v>
      </c>
      <c r="G110" s="2">
        <f>'החברה לפיתוח'!G70</f>
        <v>4500000</v>
      </c>
      <c r="H110" s="2">
        <f>'החברה לפיתוח'!H70</f>
        <v>2599309</v>
      </c>
      <c r="I110" s="2">
        <f>'החברה לפיתוח'!I70</f>
        <v>0</v>
      </c>
      <c r="J110" s="2">
        <f>'החברה לפיתוח'!J70</f>
        <v>1050443.96</v>
      </c>
      <c r="K110" s="2">
        <f>'החברה לפיתוח'!K70</f>
        <v>1050443.96</v>
      </c>
      <c r="L110" s="2">
        <f>'החברה לפיתוח'!L70</f>
        <v>3649752.96</v>
      </c>
      <c r="M110" s="2">
        <f>'החברה לפיתוח'!M70</f>
        <v>850247.04</v>
      </c>
      <c r="N110" s="2">
        <f>'החברה לפיתוח'!N70</f>
        <v>2320000</v>
      </c>
      <c r="O110" s="2">
        <f>'החברה לפיתוח'!O70</f>
        <v>0</v>
      </c>
      <c r="P110" s="2">
        <f>'החברה לפיתוח'!P70</f>
        <v>850247.04</v>
      </c>
      <c r="Q110" s="2">
        <f>'החברה לפיתוח'!Q70</f>
        <v>0</v>
      </c>
      <c r="R110" s="2">
        <f>'החברה לפיתוח'!R70</f>
        <v>0</v>
      </c>
      <c r="S110" s="2">
        <f>'החברה לפיתוח'!S70</f>
        <v>0</v>
      </c>
      <c r="T110" s="2">
        <f>'החברה לפיתוח'!T70</f>
        <v>0</v>
      </c>
      <c r="U110" s="2">
        <f>'החברה לפיתוח'!U70</f>
        <v>2320000</v>
      </c>
      <c r="V110" s="2">
        <f>'החברה לפיתוח'!V70</f>
        <v>1752339</v>
      </c>
      <c r="W110" s="2">
        <f>'החברה לפיתוח'!W70</f>
        <v>0</v>
      </c>
      <c r="X110" s="2">
        <f>'החברה לפיתוח'!X70</f>
        <v>0</v>
      </c>
      <c r="Y110" s="2">
        <f>'החברה לפיתוח'!Y70</f>
        <v>0</v>
      </c>
      <c r="Z110" s="2">
        <f>'החברה לפיתוח'!Z70</f>
        <v>567661</v>
      </c>
      <c r="AA110" s="94">
        <f>'החברה לפיתוח'!AA70</f>
        <v>829000</v>
      </c>
      <c r="AB110" s="11"/>
      <c r="AC110" s="11"/>
      <c r="AD110" s="11"/>
      <c r="AE110" s="11"/>
      <c r="AF110" s="11"/>
    </row>
    <row r="111" spans="1:32" s="3" customFormat="1" ht="15" customHeight="1">
      <c r="A111" s="1">
        <f t="shared" si="8"/>
        <v>96</v>
      </c>
      <c r="B111" s="8">
        <v>1924</v>
      </c>
      <c r="C111" s="1" t="s">
        <v>275</v>
      </c>
      <c r="D111" s="2">
        <f>'החברה לפיתוח'!D71</f>
        <v>1800000</v>
      </c>
      <c r="E111" s="2">
        <f>'החברה לפיתוח'!E71</f>
        <v>1800000</v>
      </c>
      <c r="F111" s="2">
        <f>'החברה לפיתוח'!F71</f>
        <v>0</v>
      </c>
      <c r="G111" s="2">
        <f>'החברה לפיתוח'!G71</f>
        <v>1800000</v>
      </c>
      <c r="H111" s="2">
        <f>'החברה לפיתוח'!H71</f>
        <v>1100093</v>
      </c>
      <c r="I111" s="2">
        <f>'החברה לפיתוח'!I71</f>
        <v>0</v>
      </c>
      <c r="J111" s="2">
        <f>'החברה לפיתוח'!J71</f>
        <v>696554.54</v>
      </c>
      <c r="K111" s="2">
        <f>'החברה לפיתוח'!K71</f>
        <v>696554.54</v>
      </c>
      <c r="L111" s="2">
        <f>'החברה לפיתוח'!L71</f>
        <v>1796647.54</v>
      </c>
      <c r="M111" s="2">
        <f>'החברה לפיתוח'!M71</f>
        <v>3352.4599999999627</v>
      </c>
      <c r="N111" s="2">
        <f>'החברה לפיתוח'!N71</f>
        <v>0</v>
      </c>
      <c r="O111" s="2">
        <f>'החברה לפיתוח'!O71</f>
        <v>0</v>
      </c>
      <c r="P111" s="2">
        <f>'החברה לפיתוח'!P71</f>
        <v>3352.4599999999627</v>
      </c>
      <c r="Q111" s="2">
        <f>'החברה לפיתוח'!Q71</f>
        <v>0</v>
      </c>
      <c r="R111" s="2">
        <f>'החברה לפיתוח'!R71</f>
        <v>0</v>
      </c>
      <c r="S111" s="2">
        <f>'החברה לפיתוח'!S71</f>
        <v>0</v>
      </c>
      <c r="T111" s="2">
        <f>'החברה לפיתוח'!T71</f>
        <v>0</v>
      </c>
      <c r="U111" s="2">
        <f>'החברה לפיתוח'!U71</f>
        <v>0</v>
      </c>
      <c r="V111" s="2">
        <f>'החברה לפיתוח'!V71</f>
        <v>0</v>
      </c>
      <c r="W111" s="2">
        <f>'החברה לפיתוח'!W71</f>
        <v>0</v>
      </c>
      <c r="X111" s="2">
        <f>'החברה לפיתוח'!X71</f>
        <v>0</v>
      </c>
      <c r="Y111" s="2">
        <f>'החברה לפיתוח'!Y71</f>
        <v>0</v>
      </c>
      <c r="Z111" s="2">
        <f>'החברה לפיתוח'!Z71</f>
        <v>0</v>
      </c>
      <c r="AA111" s="94">
        <f>'החברה לפיתוח'!AA71</f>
        <v>826000</v>
      </c>
      <c r="AB111" s="11"/>
      <c r="AC111" s="11"/>
      <c r="AD111" s="11"/>
      <c r="AE111" s="11"/>
      <c r="AF111" s="11"/>
    </row>
    <row r="112" spans="1:32" s="3" customFormat="1" ht="15" customHeight="1">
      <c r="A112" s="1">
        <f t="shared" si="8"/>
        <v>97</v>
      </c>
      <c r="B112" s="8">
        <v>1927</v>
      </c>
      <c r="C112" s="1" t="s">
        <v>276</v>
      </c>
      <c r="D112" s="2">
        <f>'החברה לפיתוח'!D72</f>
        <v>860000</v>
      </c>
      <c r="E112" s="2">
        <f>'החברה לפיתוח'!E72</f>
        <v>860000</v>
      </c>
      <c r="F112" s="2">
        <f>'החברה לפיתוח'!F72</f>
        <v>0</v>
      </c>
      <c r="G112" s="2">
        <f>'החברה לפיתוח'!G72</f>
        <v>860000</v>
      </c>
      <c r="H112" s="2">
        <f>'החברה לפיתוח'!H72</f>
        <v>846677</v>
      </c>
      <c r="I112" s="2">
        <f>'החברה לפיתוח'!I72</f>
        <v>0</v>
      </c>
      <c r="J112" s="2">
        <f>'החברה לפיתוח'!J72</f>
        <v>369.57</v>
      </c>
      <c r="K112" s="2">
        <f>'החברה לפיתוח'!K72</f>
        <v>369.57</v>
      </c>
      <c r="L112" s="2">
        <f>'החברה לפיתוח'!L72</f>
        <v>847046.57</v>
      </c>
      <c r="M112" s="2">
        <f>'החברה לפיתוח'!M72</f>
        <v>12953.430000000051</v>
      </c>
      <c r="N112" s="2">
        <f>'החברה לפיתוח'!N72</f>
        <v>0</v>
      </c>
      <c r="O112" s="2">
        <f>'החברה לפיתוח'!O72</f>
        <v>0</v>
      </c>
      <c r="P112" s="2">
        <f>'החברה לפיתוח'!P72</f>
        <v>12953.430000000051</v>
      </c>
      <c r="Q112" s="2">
        <f>'החברה לפיתוח'!Q72</f>
        <v>0</v>
      </c>
      <c r="R112" s="2">
        <f>'החברה לפיתוח'!R72</f>
        <v>0</v>
      </c>
      <c r="S112" s="2">
        <f>'החברה לפיתוח'!S72</f>
        <v>0</v>
      </c>
      <c r="T112" s="2">
        <f>'החברה לפיתוח'!T72</f>
        <v>0</v>
      </c>
      <c r="U112" s="2">
        <f>'החברה לפיתוח'!U72</f>
        <v>0</v>
      </c>
      <c r="V112" s="2">
        <f>'החברה לפיתוח'!V72</f>
        <v>0</v>
      </c>
      <c r="W112" s="2">
        <f>'החברה לפיתוח'!W72</f>
        <v>0</v>
      </c>
      <c r="X112" s="2">
        <f>'החברה לפיתוח'!X72</f>
        <v>0</v>
      </c>
      <c r="Y112" s="2">
        <f>'החברה לפיתוח'!Y72</f>
        <v>0</v>
      </c>
      <c r="Z112" s="2">
        <f>'החברה לפיתוח'!Z72</f>
        <v>0</v>
      </c>
      <c r="AA112" s="94">
        <f>'החברה לפיתוח'!AA72</f>
        <v>824000</v>
      </c>
      <c r="AB112" s="11"/>
      <c r="AC112" s="11"/>
      <c r="AD112" s="11"/>
      <c r="AE112" s="11"/>
      <c r="AF112" s="11"/>
    </row>
    <row r="113" spans="1:32" s="3" customFormat="1" ht="15" customHeight="1">
      <c r="A113" s="1">
        <f t="shared" si="8"/>
        <v>98</v>
      </c>
      <c r="B113" s="8">
        <v>1958</v>
      </c>
      <c r="C113" s="1" t="s">
        <v>398</v>
      </c>
      <c r="D113" s="2">
        <f>'החברה לפיתוח'!D80</f>
        <v>850000</v>
      </c>
      <c r="E113" s="2">
        <f>'החברה לפיתוח'!E80</f>
        <v>850000</v>
      </c>
      <c r="F113" s="2">
        <f>'החברה לפיתוח'!F80</f>
        <v>0</v>
      </c>
      <c r="G113" s="2">
        <f>'החברה לפיתוח'!G80</f>
        <v>850000</v>
      </c>
      <c r="H113" s="2">
        <f>'החברה לפיתוח'!H80</f>
        <v>811715</v>
      </c>
      <c r="I113" s="2">
        <f>'החברה לפיתוח'!I80</f>
        <v>0</v>
      </c>
      <c r="J113" s="2">
        <f>'החברה לפיתוח'!J80</f>
        <v>32057.200000000001</v>
      </c>
      <c r="K113" s="2">
        <f>'החברה לפיתוח'!K80</f>
        <v>32057.200000000001</v>
      </c>
      <c r="L113" s="2">
        <f>'החברה לפיתוח'!L80</f>
        <v>843772.2</v>
      </c>
      <c r="M113" s="2">
        <f>'החברה לפיתוח'!M80</f>
        <v>6227.8000000000466</v>
      </c>
      <c r="N113" s="2">
        <f>'החברה לפיתוח'!N80</f>
        <v>0</v>
      </c>
      <c r="O113" s="2">
        <f>'החברה לפיתוח'!O80</f>
        <v>0</v>
      </c>
      <c r="P113" s="2">
        <f>'החברה לפיתוח'!P80</f>
        <v>6227.8000000000466</v>
      </c>
      <c r="Q113" s="2">
        <f>'החברה לפיתוח'!Q80</f>
        <v>0</v>
      </c>
      <c r="R113" s="2">
        <f>'החברה לפיתוח'!R80</f>
        <v>0</v>
      </c>
      <c r="S113" s="2">
        <f>'החברה לפיתוח'!S80</f>
        <v>0</v>
      </c>
      <c r="T113" s="2">
        <f>'החברה לפיתוח'!T80</f>
        <v>0</v>
      </c>
      <c r="U113" s="2">
        <f>'החברה לפיתוח'!U80</f>
        <v>0</v>
      </c>
      <c r="V113" s="2">
        <f>'החברה לפיתוח'!V80</f>
        <v>0</v>
      </c>
      <c r="W113" s="2">
        <f>'החברה לפיתוח'!W80</f>
        <v>0</v>
      </c>
      <c r="X113" s="2">
        <f>'החברה לפיתוח'!X80</f>
        <v>0</v>
      </c>
      <c r="Y113" s="2">
        <f>'החברה לפיתוח'!Y80</f>
        <v>0</v>
      </c>
      <c r="Z113" s="2">
        <f>'החברה לפיתוח'!Z80</f>
        <v>0</v>
      </c>
      <c r="AA113" s="94">
        <f>'החברה לפיתוח'!AA80</f>
        <v>829000</v>
      </c>
      <c r="AB113" s="11"/>
      <c r="AC113" s="11"/>
      <c r="AD113" s="11"/>
      <c r="AE113" s="11"/>
      <c r="AF113" s="11"/>
    </row>
    <row r="114" spans="1:32">
      <c r="A114" s="1">
        <f t="shared" si="8"/>
        <v>99</v>
      </c>
      <c r="B114" s="8">
        <v>1991</v>
      </c>
      <c r="C114" s="1" t="s">
        <v>430</v>
      </c>
      <c r="D114" s="2">
        <f>'החברה לפיתוח'!D81</f>
        <v>2000000</v>
      </c>
      <c r="E114" s="2">
        <f>'החברה לפיתוח'!E81</f>
        <v>2000000</v>
      </c>
      <c r="F114" s="2">
        <f>'החברה לפיתוח'!F81</f>
        <v>0</v>
      </c>
      <c r="G114" s="2">
        <f>'החברה לפיתוח'!G81</f>
        <v>2000000</v>
      </c>
      <c r="H114" s="2">
        <f>'החברה לפיתוח'!H81</f>
        <v>0</v>
      </c>
      <c r="I114" s="2">
        <f>'החברה לפיתוח'!I81</f>
        <v>0</v>
      </c>
      <c r="J114" s="2">
        <f>'החברה לפיתוח'!J81</f>
        <v>0</v>
      </c>
      <c r="K114" s="2">
        <f>'החברה לפיתוח'!K81</f>
        <v>0</v>
      </c>
      <c r="L114" s="2">
        <f>'החברה לפיתוח'!L81</f>
        <v>0</v>
      </c>
      <c r="M114" s="2">
        <f>'החברה לפיתוח'!M81</f>
        <v>2000000</v>
      </c>
      <c r="N114" s="2">
        <f>'החברה לפיתוח'!N81</f>
        <v>0</v>
      </c>
      <c r="O114" s="2">
        <f>'החברה לפיתוח'!O81</f>
        <v>0</v>
      </c>
      <c r="P114" s="2">
        <f>'החברה לפיתוח'!P81</f>
        <v>2000000</v>
      </c>
      <c r="Q114" s="2">
        <f>'החברה לפיתוח'!Q81</f>
        <v>0</v>
      </c>
      <c r="R114" s="2">
        <f>'החברה לפיתוח'!R81</f>
        <v>0</v>
      </c>
      <c r="S114" s="2">
        <f>'החברה לפיתוח'!S81</f>
        <v>0</v>
      </c>
      <c r="T114" s="2">
        <f>'החברה לפיתוח'!T81</f>
        <v>0</v>
      </c>
      <c r="U114" s="2">
        <f>'החברה לפיתוח'!U81</f>
        <v>0</v>
      </c>
      <c r="V114" s="2">
        <f>'החברה לפיתוח'!V81</f>
        <v>0</v>
      </c>
      <c r="W114" s="2">
        <f>'החברה לפיתוח'!W81</f>
        <v>0</v>
      </c>
      <c r="X114" s="2">
        <f>'החברה לפיתוח'!X81</f>
        <v>0</v>
      </c>
      <c r="Y114" s="2">
        <f>'החברה לפיתוח'!Y81</f>
        <v>0</v>
      </c>
      <c r="Z114" s="2">
        <f>'החברה לפיתוח'!Z81</f>
        <v>0</v>
      </c>
      <c r="AA114" s="94">
        <f>'החברה לפיתוח'!AA81</f>
        <v>823000</v>
      </c>
      <c r="AD114" s="43"/>
    </row>
    <row r="115" spans="1:32">
      <c r="A115" s="1">
        <f t="shared" si="8"/>
        <v>100</v>
      </c>
      <c r="B115" s="69">
        <v>2002</v>
      </c>
      <c r="C115" s="1" t="s">
        <v>460</v>
      </c>
      <c r="D115" s="2">
        <f>'החברה לפיתוח'!D89</f>
        <v>20000000</v>
      </c>
      <c r="E115" s="2">
        <f>'החברה לפיתוח'!E89</f>
        <v>0</v>
      </c>
      <c r="F115" s="2">
        <f>'החברה לפיתוח'!F89</f>
        <v>20000000</v>
      </c>
      <c r="G115" s="2">
        <f>'החברה לפיתוח'!G89</f>
        <v>0</v>
      </c>
      <c r="H115" s="2">
        <f>'החברה לפיתוח'!H89</f>
        <v>0</v>
      </c>
      <c r="I115" s="2">
        <f>'החברה לפיתוח'!I89</f>
        <v>0</v>
      </c>
      <c r="J115" s="2">
        <f>'החברה לפיתוח'!J89</f>
        <v>0</v>
      </c>
      <c r="K115" s="2">
        <f>'החברה לפיתוח'!K89</f>
        <v>0</v>
      </c>
      <c r="L115" s="2">
        <f>'החברה לפיתוח'!L89</f>
        <v>0</v>
      </c>
      <c r="M115" s="2">
        <f>'החברה לפיתוח'!M89</f>
        <v>0</v>
      </c>
      <c r="N115" s="2">
        <f>'החברה לפיתוח'!N89</f>
        <v>2000000</v>
      </c>
      <c r="O115" s="2">
        <f>'החברה לפיתוח'!O89</f>
        <v>18000000</v>
      </c>
      <c r="P115" s="2">
        <f>'החברה לפיתוח'!P89</f>
        <v>0</v>
      </c>
      <c r="Q115" s="2">
        <f>'החברה לפיתוח'!Q89</f>
        <v>0</v>
      </c>
      <c r="R115" s="2">
        <f>'החברה לפיתוח'!R89</f>
        <v>0</v>
      </c>
      <c r="S115" s="2">
        <f>'החברה לפיתוח'!S89</f>
        <v>0</v>
      </c>
      <c r="T115" s="2">
        <f>'החברה לפיתוח'!T89</f>
        <v>0</v>
      </c>
      <c r="U115" s="2">
        <f>'החברה לפיתוח'!U89</f>
        <v>2000000</v>
      </c>
      <c r="V115" s="2">
        <f>'החברה לפיתוח'!V89</f>
        <v>2000000</v>
      </c>
      <c r="W115" s="2">
        <f>'החברה לפיתוח'!W89</f>
        <v>0</v>
      </c>
      <c r="X115" s="2">
        <f>'החברה לפיתוח'!X89</f>
        <v>0</v>
      </c>
      <c r="Y115" s="2">
        <f>'החברה לפיתוח'!Y89</f>
        <v>0</v>
      </c>
      <c r="Z115" s="2">
        <f>'החברה לפיתוח'!Z89</f>
        <v>0</v>
      </c>
      <c r="AA115" s="94">
        <f>'החברה לפיתוח'!AA89</f>
        <v>829000</v>
      </c>
    </row>
    <row r="116" spans="1:32">
      <c r="A116" s="1">
        <f t="shared" si="8"/>
        <v>101</v>
      </c>
      <c r="B116" s="69">
        <v>2017</v>
      </c>
      <c r="C116" s="1" t="s">
        <v>457</v>
      </c>
      <c r="D116" s="2">
        <f>'החברה לפיתוח'!D84</f>
        <v>2000000</v>
      </c>
      <c r="E116" s="2">
        <f>'החברה לפיתוח'!E84</f>
        <v>0</v>
      </c>
      <c r="F116" s="2">
        <f>'החברה לפיתוח'!F84</f>
        <v>2000000</v>
      </c>
      <c r="G116" s="2">
        <f>'החברה לפיתוח'!G84</f>
        <v>0</v>
      </c>
      <c r="H116" s="2">
        <f>'החברה לפיתוח'!H84</f>
        <v>0</v>
      </c>
      <c r="I116" s="2">
        <f>'החברה לפיתוח'!I84</f>
        <v>0</v>
      </c>
      <c r="J116" s="2">
        <f>'החברה לפיתוח'!J84</f>
        <v>0</v>
      </c>
      <c r="K116" s="2">
        <f>'החברה לפיתוח'!K84</f>
        <v>0</v>
      </c>
      <c r="L116" s="2">
        <f>'החברה לפיתוח'!L84</f>
        <v>0</v>
      </c>
      <c r="M116" s="2">
        <f>'החברה לפיתוח'!M84</f>
        <v>0</v>
      </c>
      <c r="N116" s="2">
        <f>'החברה לפיתוח'!N84</f>
        <v>1000000</v>
      </c>
      <c r="O116" s="2">
        <f>'החברה לפיתוח'!O84</f>
        <v>1000000</v>
      </c>
      <c r="P116" s="2">
        <f>'החברה לפיתוח'!P84</f>
        <v>0</v>
      </c>
      <c r="Q116" s="2">
        <f>'החברה לפיתוח'!Q84</f>
        <v>0</v>
      </c>
      <c r="R116" s="2">
        <f>'החברה לפיתוח'!R84</f>
        <v>0</v>
      </c>
      <c r="S116" s="2">
        <f>'החברה לפיתוח'!S84</f>
        <v>0</v>
      </c>
      <c r="T116" s="2">
        <f>'החברה לפיתוח'!T84</f>
        <v>0</v>
      </c>
      <c r="U116" s="2">
        <f>'החברה לפיתוח'!U84</f>
        <v>1000000</v>
      </c>
      <c r="V116" s="2">
        <f>'החברה לפיתוח'!V84</f>
        <v>1000000</v>
      </c>
      <c r="W116" s="2">
        <f>'החברה לפיתוח'!W84</f>
        <v>0</v>
      </c>
      <c r="X116" s="2">
        <f>'החברה לפיתוח'!X84</f>
        <v>0</v>
      </c>
      <c r="Y116" s="2">
        <f>'החברה לפיתוח'!Y84</f>
        <v>0</v>
      </c>
      <c r="Z116" s="2">
        <f>'החברה לפיתוח'!Z84</f>
        <v>0</v>
      </c>
      <c r="AA116" s="94">
        <f>'החברה לפיתוח'!AA84</f>
        <v>824000</v>
      </c>
      <c r="AD116" s="43"/>
    </row>
    <row r="117" spans="1:32" s="77" customFormat="1">
      <c r="A117" s="48"/>
      <c r="B117" s="76">
        <v>6</v>
      </c>
      <c r="C117" s="48" t="s">
        <v>1041</v>
      </c>
      <c r="D117" s="33">
        <f>SUM(D96:D116)</f>
        <v>346680000</v>
      </c>
      <c r="E117" s="33">
        <f t="shared" ref="E117:Z117" si="9">SUM(E96:E116)</f>
        <v>179960000</v>
      </c>
      <c r="F117" s="33">
        <f t="shared" si="9"/>
        <v>166720000</v>
      </c>
      <c r="G117" s="33">
        <f t="shared" si="9"/>
        <v>53936262</v>
      </c>
      <c r="H117" s="33">
        <f t="shared" si="9"/>
        <v>30116997.25</v>
      </c>
      <c r="I117" s="33">
        <f t="shared" si="9"/>
        <v>0</v>
      </c>
      <c r="J117" s="33">
        <f t="shared" si="9"/>
        <v>12519067.969999999</v>
      </c>
      <c r="K117" s="33">
        <f t="shared" si="9"/>
        <v>12519067.969999999</v>
      </c>
      <c r="L117" s="33">
        <f t="shared" si="9"/>
        <v>42636065.219999999</v>
      </c>
      <c r="M117" s="33">
        <f t="shared" si="9"/>
        <v>14338434.780000001</v>
      </c>
      <c r="N117" s="33">
        <f t="shared" si="9"/>
        <v>48420000</v>
      </c>
      <c r="O117" s="33">
        <f t="shared" si="9"/>
        <v>241285500</v>
      </c>
      <c r="P117" s="33">
        <f t="shared" si="9"/>
        <v>11300196.780000001</v>
      </c>
      <c r="Q117" s="33">
        <f t="shared" si="9"/>
        <v>3038238</v>
      </c>
      <c r="R117" s="33">
        <f t="shared" si="9"/>
        <v>0</v>
      </c>
      <c r="S117" s="33">
        <f t="shared" si="9"/>
        <v>3038238</v>
      </c>
      <c r="T117" s="33">
        <f t="shared" si="9"/>
        <v>0</v>
      </c>
      <c r="U117" s="33">
        <f t="shared" si="9"/>
        <v>48420000</v>
      </c>
      <c r="V117" s="33">
        <f t="shared" si="9"/>
        <v>19902339</v>
      </c>
      <c r="W117" s="33">
        <f t="shared" si="9"/>
        <v>0</v>
      </c>
      <c r="X117" s="33">
        <f t="shared" si="9"/>
        <v>1250000</v>
      </c>
      <c r="Y117" s="33">
        <f t="shared" si="9"/>
        <v>0</v>
      </c>
      <c r="Z117" s="33">
        <f t="shared" si="9"/>
        <v>27267661</v>
      </c>
      <c r="AA117" s="96"/>
    </row>
    <row r="118" spans="1:32">
      <c r="A118" s="1"/>
      <c r="B118" s="69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94"/>
    </row>
    <row r="119" spans="1:32">
      <c r="A119" s="1">
        <f>A116+1</f>
        <v>102</v>
      </c>
      <c r="B119" s="1">
        <v>1448</v>
      </c>
      <c r="C119" s="1" t="s">
        <v>177</v>
      </c>
      <c r="D119" s="2">
        <f>'החברה לפיתוח'!D24</f>
        <v>6002877</v>
      </c>
      <c r="E119" s="2">
        <f>'החברה לפיתוח'!E24</f>
        <v>6002877</v>
      </c>
      <c r="F119" s="2">
        <f>'החברה לפיתוח'!F24</f>
        <v>0</v>
      </c>
      <c r="G119" s="2">
        <f>'החברה לפיתוח'!G24</f>
        <v>6002877</v>
      </c>
      <c r="H119" s="2">
        <f>'החברה לפיתוח'!H24</f>
        <v>5965343</v>
      </c>
      <c r="I119" s="2">
        <f>'החברה לפיתוח'!I24</f>
        <v>0</v>
      </c>
      <c r="J119" s="2">
        <f>'החברה לפיתוח'!J24</f>
        <v>0</v>
      </c>
      <c r="K119" s="2">
        <f>'החברה לפיתוח'!K24</f>
        <v>0</v>
      </c>
      <c r="L119" s="2">
        <f>'החברה לפיתוח'!L24</f>
        <v>5965343</v>
      </c>
      <c r="M119" s="2">
        <f>'החברה לפיתוח'!M24</f>
        <v>37534</v>
      </c>
      <c r="N119" s="2">
        <f>'החברה לפיתוח'!N24</f>
        <v>0</v>
      </c>
      <c r="O119" s="2">
        <f>'החברה לפיתוח'!O24</f>
        <v>0</v>
      </c>
      <c r="P119" s="2">
        <f>'החברה לפיתוח'!P24</f>
        <v>37534</v>
      </c>
      <c r="Q119" s="2">
        <f>'החברה לפיתוח'!Q24</f>
        <v>0</v>
      </c>
      <c r="R119" s="2">
        <f>'החברה לפיתוח'!R24</f>
        <v>0</v>
      </c>
      <c r="S119" s="2">
        <f>'החברה לפיתוח'!S24</f>
        <v>0</v>
      </c>
      <c r="T119" s="2">
        <f>'החברה לפיתוח'!T24</f>
        <v>0</v>
      </c>
      <c r="U119" s="2">
        <f>'החברה לפיתוח'!U24</f>
        <v>0</v>
      </c>
      <c r="V119" s="2">
        <f>'החברה לפיתוח'!V24</f>
        <v>0</v>
      </c>
      <c r="W119" s="2">
        <f>'החברה לפיתוח'!W24</f>
        <v>0</v>
      </c>
      <c r="X119" s="2">
        <f>'החברה לפיתוח'!X24</f>
        <v>0</v>
      </c>
      <c r="Y119" s="2">
        <f>'החברה לפיתוח'!Y24</f>
        <v>0</v>
      </c>
      <c r="Z119" s="2">
        <f>'החברה לפיתוח'!Z24</f>
        <v>0</v>
      </c>
      <c r="AA119" s="94">
        <f>'החברה לפיתוח'!AA24</f>
        <v>850000</v>
      </c>
      <c r="AB119" s="3"/>
      <c r="AC119" s="3"/>
      <c r="AD119" s="3"/>
      <c r="AE119" s="3"/>
      <c r="AF119" s="3"/>
    </row>
    <row r="120" spans="1:32">
      <c r="A120" s="1">
        <f>A119+1</f>
        <v>103</v>
      </c>
      <c r="B120" s="8">
        <v>1837</v>
      </c>
      <c r="C120" s="1" t="s">
        <v>268</v>
      </c>
      <c r="D120" s="2">
        <f>'החברה לפיתוח'!D61</f>
        <v>3200000</v>
      </c>
      <c r="E120" s="2">
        <f>'החברה לפיתוח'!E61</f>
        <v>3000000</v>
      </c>
      <c r="F120" s="2">
        <f>'החברה לפיתוח'!F61</f>
        <v>200000</v>
      </c>
      <c r="G120" s="2">
        <f>'החברה לפיתוח'!G61</f>
        <v>175000</v>
      </c>
      <c r="H120" s="2">
        <f>'החברה לפיתוח'!H61</f>
        <v>71033</v>
      </c>
      <c r="I120" s="2">
        <f>'החברה לפיתוח'!I61</f>
        <v>0</v>
      </c>
      <c r="J120" s="2">
        <f>'החברה לפיתוח'!J61</f>
        <v>28967.439999999999</v>
      </c>
      <c r="K120" s="2">
        <f>'החברה לפיתוח'!K61</f>
        <v>28967.439999999999</v>
      </c>
      <c r="L120" s="2">
        <f>'החברה לפיתוח'!L61</f>
        <v>100000.44</v>
      </c>
      <c r="M120" s="2">
        <f>'החברה לפיתוח'!M61</f>
        <v>1899999.56</v>
      </c>
      <c r="N120" s="2">
        <f>'החברה לפיתוח'!N61</f>
        <v>1200000</v>
      </c>
      <c r="O120" s="2">
        <f>'החברה לפיתוח'!O61</f>
        <v>0</v>
      </c>
      <c r="P120" s="2">
        <f>'החברה לפיתוח'!P61</f>
        <v>74999.56</v>
      </c>
      <c r="Q120" s="2">
        <f>'החברה לפיתוח'!Q61</f>
        <v>1825000</v>
      </c>
      <c r="R120" s="2">
        <f>'החברה לפיתוח'!R61</f>
        <v>0</v>
      </c>
      <c r="S120" s="2">
        <f>'החברה לפיתוח'!S61</f>
        <v>1825000</v>
      </c>
      <c r="T120" s="2">
        <f>'החברה לפיתוח'!T61</f>
        <v>0</v>
      </c>
      <c r="U120" s="2">
        <f>'החברה לפיתוח'!U61</f>
        <v>1200000</v>
      </c>
      <c r="V120" s="2">
        <f>'החברה לפיתוח'!V61</f>
        <v>1200000</v>
      </c>
      <c r="W120" s="2">
        <f>'החברה לפיתוח'!W61</f>
        <v>0</v>
      </c>
      <c r="X120" s="2">
        <f>'החברה לפיתוח'!X61</f>
        <v>0</v>
      </c>
      <c r="Y120" s="2">
        <f>'החברה לפיתוח'!Y61</f>
        <v>0</v>
      </c>
      <c r="Z120" s="2">
        <f>'החברה לפיתוח'!Z61</f>
        <v>0</v>
      </c>
      <c r="AA120" s="94">
        <f>'החברה לפיתוח'!AA61</f>
        <v>850000</v>
      </c>
    </row>
    <row r="121" spans="1:32">
      <c r="A121" s="1">
        <f>A120+1</f>
        <v>104</v>
      </c>
      <c r="B121" s="69">
        <v>2011</v>
      </c>
      <c r="C121" s="1" t="s">
        <v>931</v>
      </c>
      <c r="D121" s="2">
        <f>'החברה לפיתוח'!D88</f>
        <v>500000</v>
      </c>
      <c r="E121" s="2">
        <f>'החברה לפיתוח'!E88</f>
        <v>0</v>
      </c>
      <c r="F121" s="2">
        <f>'החברה לפיתוח'!F88</f>
        <v>500000</v>
      </c>
      <c r="G121" s="2">
        <f>'החברה לפיתוח'!G88</f>
        <v>0</v>
      </c>
      <c r="H121" s="2">
        <f>'החברה לפיתוח'!H88</f>
        <v>0</v>
      </c>
      <c r="I121" s="2">
        <f>'החברה לפיתוח'!I88</f>
        <v>0</v>
      </c>
      <c r="J121" s="2">
        <f>'החברה לפיתוח'!J88</f>
        <v>0</v>
      </c>
      <c r="K121" s="2">
        <f>'החברה לפיתוח'!K88</f>
        <v>0</v>
      </c>
      <c r="L121" s="2">
        <f>'החברה לפיתוח'!L88</f>
        <v>0</v>
      </c>
      <c r="M121" s="2">
        <f>'החברה לפיתוח'!M88</f>
        <v>0</v>
      </c>
      <c r="N121" s="2">
        <f>'החברה לפיתוח'!N88</f>
        <v>500000</v>
      </c>
      <c r="O121" s="2">
        <f>'החברה לפיתוח'!O88</f>
        <v>0</v>
      </c>
      <c r="P121" s="2">
        <f>'החברה לפיתוח'!P88</f>
        <v>0</v>
      </c>
      <c r="Q121" s="2">
        <f>'החברה לפיתוח'!Q88</f>
        <v>0</v>
      </c>
      <c r="R121" s="2">
        <f>'החברה לפיתוח'!R88</f>
        <v>0</v>
      </c>
      <c r="S121" s="2">
        <f>'החברה לפיתוח'!S88</f>
        <v>0</v>
      </c>
      <c r="T121" s="2">
        <f>'החברה לפיתוח'!T88</f>
        <v>0</v>
      </c>
      <c r="U121" s="2">
        <f>'החברה לפיתוח'!U88</f>
        <v>500000</v>
      </c>
      <c r="V121" s="2">
        <f>'החברה לפיתוח'!V88</f>
        <v>500000</v>
      </c>
      <c r="W121" s="2">
        <f>'החברה לפיתוח'!W88</f>
        <v>0</v>
      </c>
      <c r="X121" s="2">
        <f>'החברה לפיתוח'!X88</f>
        <v>0</v>
      </c>
      <c r="Y121" s="2">
        <f>'החברה לפיתוח'!Y88</f>
        <v>0</v>
      </c>
      <c r="Z121" s="2">
        <f>'החברה לפיתוח'!Z88</f>
        <v>0</v>
      </c>
      <c r="AA121" s="94">
        <f>'החברה לפיתוח'!AA88</f>
        <v>850000</v>
      </c>
    </row>
    <row r="122" spans="1:32" s="77" customFormat="1">
      <c r="A122" s="48"/>
      <c r="B122" s="76">
        <v>7</v>
      </c>
      <c r="C122" s="48" t="s">
        <v>1044</v>
      </c>
      <c r="D122" s="33">
        <f>SUM(D119:D121)</f>
        <v>9702877</v>
      </c>
      <c r="E122" s="33">
        <f t="shared" ref="E122:Z122" si="10">SUM(E119:E121)</f>
        <v>9002877</v>
      </c>
      <c r="F122" s="33">
        <f t="shared" si="10"/>
        <v>700000</v>
      </c>
      <c r="G122" s="33">
        <f t="shared" si="10"/>
        <v>6177877</v>
      </c>
      <c r="H122" s="33">
        <f t="shared" si="10"/>
        <v>6036376</v>
      </c>
      <c r="I122" s="33">
        <f t="shared" si="10"/>
        <v>0</v>
      </c>
      <c r="J122" s="33">
        <f t="shared" si="10"/>
        <v>28967.439999999999</v>
      </c>
      <c r="K122" s="33">
        <f t="shared" si="10"/>
        <v>28967.439999999999</v>
      </c>
      <c r="L122" s="33">
        <f t="shared" si="10"/>
        <v>6065343.4400000004</v>
      </c>
      <c r="M122" s="33">
        <f t="shared" si="10"/>
        <v>1937533.56</v>
      </c>
      <c r="N122" s="33">
        <f t="shared" si="10"/>
        <v>1700000</v>
      </c>
      <c r="O122" s="33">
        <f t="shared" si="10"/>
        <v>0</v>
      </c>
      <c r="P122" s="33">
        <f t="shared" si="10"/>
        <v>112533.56</v>
      </c>
      <c r="Q122" s="33">
        <f t="shared" si="10"/>
        <v>1825000</v>
      </c>
      <c r="R122" s="33">
        <f t="shared" si="10"/>
        <v>0</v>
      </c>
      <c r="S122" s="33">
        <f t="shared" si="10"/>
        <v>1825000</v>
      </c>
      <c r="T122" s="33">
        <f t="shared" si="10"/>
        <v>0</v>
      </c>
      <c r="U122" s="33">
        <f t="shared" si="10"/>
        <v>1700000</v>
      </c>
      <c r="V122" s="33">
        <f t="shared" si="10"/>
        <v>1700000</v>
      </c>
      <c r="W122" s="33">
        <f t="shared" si="10"/>
        <v>0</v>
      </c>
      <c r="X122" s="33">
        <f t="shared" si="10"/>
        <v>0</v>
      </c>
      <c r="Y122" s="33">
        <f t="shared" si="10"/>
        <v>0</v>
      </c>
      <c r="Z122" s="33">
        <f t="shared" si="10"/>
        <v>0</v>
      </c>
      <c r="AA122" s="96"/>
    </row>
    <row r="123" spans="1:32">
      <c r="A123" s="1"/>
      <c r="B123" s="69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94"/>
    </row>
    <row r="124" spans="1:32">
      <c r="A124" s="1">
        <f>A121+1</f>
        <v>105</v>
      </c>
      <c r="B124" s="1">
        <v>1312</v>
      </c>
      <c r="C124" s="1" t="s">
        <v>46</v>
      </c>
      <c r="D124" s="2">
        <f>'החברה לפיתוח'!D17</f>
        <v>121000000</v>
      </c>
      <c r="E124" s="2">
        <f>'החברה לפיתוח'!E17</f>
        <v>115000000</v>
      </c>
      <c r="F124" s="2">
        <f>'החברה לפיתוח'!F17</f>
        <v>6000000</v>
      </c>
      <c r="G124" s="2">
        <f>'החברה לפיתוח'!G17</f>
        <v>109500000</v>
      </c>
      <c r="H124" s="2">
        <f>'החברה לפיתוח'!H17</f>
        <v>96034748</v>
      </c>
      <c r="I124" s="2">
        <f>'החברה לפיתוח'!I17</f>
        <v>0</v>
      </c>
      <c r="J124" s="2">
        <f>'החברה לפיתוח'!J17</f>
        <v>12441678.390000001</v>
      </c>
      <c r="K124" s="2">
        <f>'החברה לפיתוח'!K17</f>
        <v>12441678.390000001</v>
      </c>
      <c r="L124" s="2">
        <f>'החברה לפיתוח'!L17</f>
        <v>108476426.39</v>
      </c>
      <c r="M124" s="2">
        <f>'החברה לפיתוח'!M17</f>
        <v>1023573.6099999994</v>
      </c>
      <c r="N124" s="2">
        <f>'החברה לפיתוח'!N17</f>
        <v>500000</v>
      </c>
      <c r="O124" s="2">
        <f>'החברה לפיתוח'!O17</f>
        <v>11000000</v>
      </c>
      <c r="P124" s="2">
        <f>'החברה לפיתוח'!P17</f>
        <v>1023573.6099999994</v>
      </c>
      <c r="Q124" s="2">
        <f>'החברה לפיתוח'!Q17</f>
        <v>0</v>
      </c>
      <c r="R124" s="2">
        <f>'החברה לפיתוח'!R17</f>
        <v>0</v>
      </c>
      <c r="S124" s="2">
        <f>'החברה לפיתוח'!S17</f>
        <v>0</v>
      </c>
      <c r="T124" s="2">
        <f>'החברה לפיתוח'!T17</f>
        <v>0</v>
      </c>
      <c r="U124" s="2">
        <f>'החברה לפיתוח'!U17</f>
        <v>500000</v>
      </c>
      <c r="V124" s="2">
        <f>'החברה לפיתוח'!V17</f>
        <v>500000</v>
      </c>
      <c r="W124" s="2">
        <f>'החברה לפיתוח'!W17</f>
        <v>0</v>
      </c>
      <c r="X124" s="2">
        <f>'החברה לפיתוח'!X17</f>
        <v>0</v>
      </c>
      <c r="Y124" s="2">
        <f>'החברה לפיתוח'!Y17</f>
        <v>0</v>
      </c>
      <c r="Z124" s="2">
        <f>'החברה לפיתוח'!Z17</f>
        <v>0</v>
      </c>
      <c r="AA124" s="94">
        <f>'החברה לפיתוח'!AA17</f>
        <v>930000</v>
      </c>
      <c r="AB124" s="3"/>
      <c r="AC124" s="3"/>
      <c r="AD124" s="3"/>
      <c r="AE124" s="3"/>
      <c r="AF124" s="3"/>
    </row>
    <row r="125" spans="1:32">
      <c r="A125" s="1">
        <f>A124+1</f>
        <v>106</v>
      </c>
      <c r="B125" s="1">
        <v>1616</v>
      </c>
      <c r="C125" s="1" t="s">
        <v>179</v>
      </c>
      <c r="D125" s="2">
        <f>'החברה לפיתוח'!D33</f>
        <v>1275000</v>
      </c>
      <c r="E125" s="2">
        <f>'החברה לפיתוח'!E33</f>
        <v>1275000</v>
      </c>
      <c r="F125" s="2">
        <f>'החברה לפיתוח'!F33</f>
        <v>0</v>
      </c>
      <c r="G125" s="2">
        <f>'החברה לפיתוח'!G33</f>
        <v>1275000</v>
      </c>
      <c r="H125" s="2">
        <f>'החברה לפיתוח'!H33</f>
        <v>900628</v>
      </c>
      <c r="I125" s="2">
        <f>'החברה לפיתוח'!I33</f>
        <v>0</v>
      </c>
      <c r="J125" s="2">
        <f>'החברה לפיתוח'!J33</f>
        <v>374313.58</v>
      </c>
      <c r="K125" s="2">
        <f>'החברה לפיתוח'!K33</f>
        <v>374313.58</v>
      </c>
      <c r="L125" s="2">
        <f>'החברה לפיתוח'!L33</f>
        <v>1274941.58</v>
      </c>
      <c r="M125" s="2">
        <f>'החברה לפיתוח'!M33</f>
        <v>58.419999999925494</v>
      </c>
      <c r="N125" s="2">
        <f>'החברה לפיתוח'!N33</f>
        <v>0</v>
      </c>
      <c r="O125" s="2">
        <f>'החברה לפיתוח'!O33</f>
        <v>0</v>
      </c>
      <c r="P125" s="2">
        <f>'החברה לפיתוח'!P33</f>
        <v>58.419999999925494</v>
      </c>
      <c r="Q125" s="2">
        <f>'החברה לפיתוח'!Q33</f>
        <v>0</v>
      </c>
      <c r="R125" s="2">
        <f>'החברה לפיתוח'!R33</f>
        <v>0</v>
      </c>
      <c r="S125" s="2">
        <f>'החברה לפיתוח'!S33</f>
        <v>0</v>
      </c>
      <c r="T125" s="2">
        <f>'החברה לפיתוח'!T33</f>
        <v>0</v>
      </c>
      <c r="U125" s="2">
        <f>'החברה לפיתוח'!U33</f>
        <v>0</v>
      </c>
      <c r="V125" s="2">
        <f>'החברה לפיתוח'!V33</f>
        <v>0</v>
      </c>
      <c r="W125" s="2">
        <f>'החברה לפיתוח'!W33</f>
        <v>0</v>
      </c>
      <c r="X125" s="2">
        <f>'החברה לפיתוח'!X33</f>
        <v>0</v>
      </c>
      <c r="Y125" s="2">
        <f>'החברה לפיתוח'!Y33</f>
        <v>0</v>
      </c>
      <c r="Z125" s="2">
        <f>'החברה לפיתוח'!Z33</f>
        <v>0</v>
      </c>
      <c r="AA125" s="94">
        <f>'החברה לפיתוח'!AA33</f>
        <v>930000</v>
      </c>
      <c r="AB125" s="3"/>
      <c r="AC125" s="3"/>
      <c r="AD125" s="3"/>
      <c r="AE125" s="3"/>
      <c r="AF125" s="3"/>
    </row>
    <row r="126" spans="1:32">
      <c r="A126" s="1">
        <f>A125+1</f>
        <v>107</v>
      </c>
      <c r="B126" s="1">
        <v>1836</v>
      </c>
      <c r="C126" s="1" t="s">
        <v>250</v>
      </c>
      <c r="D126" s="2">
        <f>'החברה לפיתוח'!D60</f>
        <v>500000</v>
      </c>
      <c r="E126" s="2">
        <f>'החברה לפיתוח'!E60</f>
        <v>500000</v>
      </c>
      <c r="F126" s="2">
        <f>'החברה לפיתוח'!F60</f>
        <v>0</v>
      </c>
      <c r="G126" s="2">
        <f>'החברה לפיתוח'!G60</f>
        <v>500000</v>
      </c>
      <c r="H126" s="2">
        <f>'החברה לפיתוח'!H60</f>
        <v>125392</v>
      </c>
      <c r="I126" s="2">
        <f>'החברה לפיתוח'!I60</f>
        <v>0</v>
      </c>
      <c r="J126" s="2">
        <f>'החברה לפיתוח'!J60</f>
        <v>259732.76</v>
      </c>
      <c r="K126" s="2">
        <f>'החברה לפיתוח'!K60</f>
        <v>259732.76</v>
      </c>
      <c r="L126" s="2">
        <f>'החברה לפיתוח'!L60</f>
        <v>385124.76</v>
      </c>
      <c r="M126" s="2">
        <f>'החברה לפיתוח'!M60</f>
        <v>114875.23999999999</v>
      </c>
      <c r="N126" s="2">
        <f>'החברה לפיתוח'!N60</f>
        <v>0</v>
      </c>
      <c r="O126" s="2">
        <f>'החברה לפיתוח'!O60</f>
        <v>0</v>
      </c>
      <c r="P126" s="2">
        <f>'החברה לפיתוח'!P60</f>
        <v>114875.23999999999</v>
      </c>
      <c r="Q126" s="2">
        <f>'החברה לפיתוח'!Q60</f>
        <v>0</v>
      </c>
      <c r="R126" s="2">
        <f>'החברה לפיתוח'!R60</f>
        <v>0</v>
      </c>
      <c r="S126" s="2">
        <f>'החברה לפיתוח'!S60</f>
        <v>0</v>
      </c>
      <c r="T126" s="2">
        <f>'החברה לפיתוח'!T60</f>
        <v>0</v>
      </c>
      <c r="U126" s="2">
        <f>'החברה לפיתוח'!U60</f>
        <v>0</v>
      </c>
      <c r="V126" s="2">
        <f>'החברה לפיתוח'!V60</f>
        <v>0</v>
      </c>
      <c r="W126" s="2">
        <f>'החברה לפיתוח'!W60</f>
        <v>0</v>
      </c>
      <c r="X126" s="2">
        <f>'החברה לפיתוח'!X60</f>
        <v>0</v>
      </c>
      <c r="Y126" s="2">
        <f>'החברה לפיתוח'!Y60</f>
        <v>0</v>
      </c>
      <c r="Z126" s="2">
        <f>'החברה לפיתוח'!Z60</f>
        <v>0</v>
      </c>
      <c r="AA126" s="94">
        <f>'החברה לפיתוח'!AA60</f>
        <v>930000</v>
      </c>
      <c r="AB126" s="3"/>
      <c r="AC126" s="3"/>
      <c r="AD126" s="3"/>
      <c r="AE126" s="3"/>
      <c r="AF126" s="3"/>
    </row>
    <row r="127" spans="1:32">
      <c r="A127" s="1">
        <f>A126+1</f>
        <v>108</v>
      </c>
      <c r="B127" s="8">
        <v>1903</v>
      </c>
      <c r="C127" s="1" t="s">
        <v>271</v>
      </c>
      <c r="D127" s="2">
        <f>'החברה לפיתוח'!D68</f>
        <v>1700000</v>
      </c>
      <c r="E127" s="2">
        <f>'החברה לפיתוח'!E68</f>
        <v>1700000</v>
      </c>
      <c r="F127" s="2">
        <f>'החברה לפיתוח'!F68</f>
        <v>0</v>
      </c>
      <c r="G127" s="2">
        <f>'החברה לפיתוח'!G68</f>
        <v>1700000</v>
      </c>
      <c r="H127" s="2">
        <f>'החברה לפיתוח'!H68</f>
        <v>1126319</v>
      </c>
      <c r="I127" s="2">
        <f>'החברה לפיתוח'!I68</f>
        <v>0</v>
      </c>
      <c r="J127" s="2">
        <f>'החברה לפיתוח'!J68</f>
        <v>573676.81999999995</v>
      </c>
      <c r="K127" s="2">
        <f>'החברה לפיתוח'!K68</f>
        <v>573676.81999999995</v>
      </c>
      <c r="L127" s="2">
        <f>'החברה לפיתוח'!L68</f>
        <v>1699995.8199999998</v>
      </c>
      <c r="M127" s="2">
        <f>'החברה לפיתוח'!M68</f>
        <v>4.1800000001676381</v>
      </c>
      <c r="N127" s="2">
        <f>'החברה לפיתוח'!N68</f>
        <v>0</v>
      </c>
      <c r="O127" s="2">
        <f>'החברה לפיתוח'!O68</f>
        <v>0</v>
      </c>
      <c r="P127" s="2">
        <f>'החברה לפיתוח'!P68</f>
        <v>4.1800000001676381</v>
      </c>
      <c r="Q127" s="2">
        <f>'החברה לפיתוח'!Q68</f>
        <v>0</v>
      </c>
      <c r="R127" s="2">
        <f>'החברה לפיתוח'!R68</f>
        <v>0</v>
      </c>
      <c r="S127" s="2">
        <f>'החברה לפיתוח'!S68</f>
        <v>0</v>
      </c>
      <c r="T127" s="2">
        <f>'החברה לפיתוח'!T68</f>
        <v>0</v>
      </c>
      <c r="U127" s="2">
        <f>'החברה לפיתוח'!U68</f>
        <v>0</v>
      </c>
      <c r="V127" s="2">
        <f>'החברה לפיתוח'!V68</f>
        <v>0</v>
      </c>
      <c r="W127" s="2">
        <f>'החברה לפיתוח'!W68</f>
        <v>0</v>
      </c>
      <c r="X127" s="2">
        <f>'החברה לפיתוח'!X68</f>
        <v>0</v>
      </c>
      <c r="Y127" s="2">
        <f>'החברה לפיתוח'!Y68</f>
        <v>0</v>
      </c>
      <c r="Z127" s="2">
        <f>'החברה לפיתוח'!Z68</f>
        <v>0</v>
      </c>
      <c r="AA127" s="94">
        <f>'החברה לפיתוח'!AA68</f>
        <v>930000</v>
      </c>
    </row>
    <row r="128" spans="1:32" s="77" customFormat="1">
      <c r="A128" s="48"/>
      <c r="B128" s="76">
        <v>11</v>
      </c>
      <c r="C128" s="48" t="s">
        <v>1046</v>
      </c>
      <c r="D128" s="33">
        <f>SUM(D124:D127)</f>
        <v>124475000</v>
      </c>
      <c r="E128" s="33">
        <f t="shared" ref="E128:Y128" si="11">SUM(E124:E127)</f>
        <v>118475000</v>
      </c>
      <c r="F128" s="33">
        <f t="shared" si="11"/>
        <v>6000000</v>
      </c>
      <c r="G128" s="33">
        <f t="shared" si="11"/>
        <v>112975000</v>
      </c>
      <c r="H128" s="33">
        <f t="shared" si="11"/>
        <v>98187087</v>
      </c>
      <c r="I128" s="33">
        <f t="shared" si="11"/>
        <v>0</v>
      </c>
      <c r="J128" s="33">
        <f t="shared" si="11"/>
        <v>13649401.550000001</v>
      </c>
      <c r="K128" s="33">
        <f t="shared" si="11"/>
        <v>13649401.550000001</v>
      </c>
      <c r="L128" s="33">
        <f t="shared" si="11"/>
        <v>111836488.55</v>
      </c>
      <c r="M128" s="33">
        <f t="shared" si="11"/>
        <v>1138511.4499999995</v>
      </c>
      <c r="N128" s="33">
        <f t="shared" si="11"/>
        <v>500000</v>
      </c>
      <c r="O128" s="33">
        <f t="shared" si="11"/>
        <v>11000000</v>
      </c>
      <c r="P128" s="33">
        <f t="shared" si="11"/>
        <v>1138511.4499999995</v>
      </c>
      <c r="Q128" s="33">
        <f t="shared" si="11"/>
        <v>0</v>
      </c>
      <c r="R128" s="33">
        <f t="shared" si="11"/>
        <v>0</v>
      </c>
      <c r="S128" s="33">
        <f t="shared" si="11"/>
        <v>0</v>
      </c>
      <c r="T128" s="33">
        <f t="shared" si="11"/>
        <v>0</v>
      </c>
      <c r="U128" s="33">
        <f t="shared" si="11"/>
        <v>500000</v>
      </c>
      <c r="V128" s="33">
        <f t="shared" si="11"/>
        <v>500000</v>
      </c>
      <c r="W128" s="33">
        <f t="shared" si="11"/>
        <v>0</v>
      </c>
      <c r="X128" s="33">
        <f t="shared" si="11"/>
        <v>0</v>
      </c>
      <c r="Y128" s="33">
        <f t="shared" si="11"/>
        <v>0</v>
      </c>
      <c r="Z128" s="33"/>
      <c r="AA128" s="96"/>
    </row>
    <row r="129" spans="1:27">
      <c r="A129" s="1"/>
      <c r="B129" s="8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94"/>
    </row>
    <row r="130" spans="1:27" s="77" customFormat="1">
      <c r="A130" s="48"/>
      <c r="B130" s="76"/>
      <c r="C130" s="48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96"/>
    </row>
    <row r="131" spans="1:27" s="684" customFormat="1" ht="15.75">
      <c r="A131" s="49">
        <f>A127</f>
        <v>108</v>
      </c>
      <c r="B131" s="683"/>
      <c r="C131" s="49" t="s">
        <v>180</v>
      </c>
      <c r="D131" s="34">
        <f>D128+D122+D117+D94+D70+D67+D17+D7</f>
        <v>2140043405</v>
      </c>
      <c r="E131" s="34">
        <f t="shared" ref="E131:Z131" si="12">E128+E122+E117+E94+E70+E67+E17+E7</f>
        <v>1862963405</v>
      </c>
      <c r="F131" s="34">
        <f t="shared" si="12"/>
        <v>277080000</v>
      </c>
      <c r="G131" s="34">
        <f t="shared" si="12"/>
        <v>851682826</v>
      </c>
      <c r="H131" s="34">
        <f t="shared" si="12"/>
        <v>598935415.00999999</v>
      </c>
      <c r="I131" s="34">
        <f t="shared" si="12"/>
        <v>2323301.5699999998</v>
      </c>
      <c r="J131" s="34">
        <f t="shared" si="12"/>
        <v>85421661.919999987</v>
      </c>
      <c r="K131" s="34">
        <f t="shared" si="12"/>
        <v>87744963.48999998</v>
      </c>
      <c r="L131" s="34">
        <f t="shared" si="12"/>
        <v>686680378.49999988</v>
      </c>
      <c r="M131" s="34">
        <f t="shared" si="12"/>
        <v>194957060.5</v>
      </c>
      <c r="N131" s="34">
        <f t="shared" si="12"/>
        <v>397780568</v>
      </c>
      <c r="O131" s="34">
        <f t="shared" si="12"/>
        <v>860625398</v>
      </c>
      <c r="P131" s="34">
        <f t="shared" si="12"/>
        <v>165002447.5</v>
      </c>
      <c r="Q131" s="34">
        <f t="shared" si="12"/>
        <v>32554613</v>
      </c>
      <c r="R131" s="34">
        <f t="shared" si="12"/>
        <v>-1200000</v>
      </c>
      <c r="S131" s="34">
        <f t="shared" si="12"/>
        <v>31354613</v>
      </c>
      <c r="T131" s="34">
        <f t="shared" si="12"/>
        <v>1400000</v>
      </c>
      <c r="U131" s="34">
        <f t="shared" si="12"/>
        <v>396380568</v>
      </c>
      <c r="V131" s="34">
        <f t="shared" si="12"/>
        <v>158809940.93023255</v>
      </c>
      <c r="W131" s="34">
        <f t="shared" si="12"/>
        <v>0</v>
      </c>
      <c r="X131" s="34">
        <f t="shared" si="12"/>
        <v>1250000</v>
      </c>
      <c r="Y131" s="34">
        <f t="shared" si="12"/>
        <v>48962500</v>
      </c>
      <c r="Z131" s="34">
        <f t="shared" si="12"/>
        <v>187358127.06976745</v>
      </c>
      <c r="AA131" s="97"/>
    </row>
    <row r="132" spans="1:27" ht="15.75">
      <c r="A132" s="76"/>
      <c r="B132" s="49"/>
      <c r="C132" s="49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97"/>
    </row>
    <row r="133" spans="1:27" ht="15.75">
      <c r="A133" s="79"/>
      <c r="B133" s="50"/>
      <c r="C133" s="50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50"/>
    </row>
    <row r="134" spans="1:27" ht="15.75">
      <c r="A134" s="79"/>
      <c r="B134" s="50"/>
      <c r="C134" s="50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50"/>
    </row>
    <row r="135" spans="1:27">
      <c r="B135" s="10"/>
      <c r="C135" s="10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10"/>
      <c r="V135" s="10"/>
      <c r="W135" s="10"/>
      <c r="X135" s="10"/>
      <c r="Y135" s="10"/>
      <c r="Z135" s="46"/>
      <c r="AA135" s="10"/>
    </row>
    <row r="136" spans="1:27">
      <c r="B136" s="10"/>
      <c r="C136" s="10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Q136" s="46" t="e">
        <f>#REF!-#REF!</f>
        <v>#REF!</v>
      </c>
      <c r="R136" s="46">
        <f>R12+R114</f>
        <v>0</v>
      </c>
      <c r="S136" s="46"/>
      <c r="U136" s="10"/>
      <c r="V136" s="10"/>
      <c r="W136" s="10"/>
      <c r="X136" s="10"/>
      <c r="Y136" s="10"/>
      <c r="AA136" s="10"/>
    </row>
    <row r="137" spans="1:27">
      <c r="C137" s="71"/>
      <c r="D137" s="70"/>
      <c r="E137" s="70"/>
      <c r="F137" s="70"/>
      <c r="G137" s="70"/>
      <c r="H137" s="70"/>
      <c r="I137" s="70"/>
      <c r="J137" s="70"/>
      <c r="K137" s="70"/>
      <c r="L137" s="70"/>
      <c r="M137" s="71"/>
      <c r="P137" s="70"/>
      <c r="Q137" s="70"/>
      <c r="R137" s="70">
        <f>SUM(R136:R136)</f>
        <v>0</v>
      </c>
      <c r="S137" s="70"/>
      <c r="T137" s="46"/>
      <c r="U137" s="46"/>
    </row>
    <row r="138" spans="1:27">
      <c r="C138" s="71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P138" s="71"/>
      <c r="Q138" s="70"/>
      <c r="R138" s="70" t="e">
        <f>#REF!-R137</f>
        <v>#REF!</v>
      </c>
      <c r="S138" s="70"/>
      <c r="T138" s="46"/>
      <c r="U138" s="46"/>
      <c r="Y138" s="47"/>
    </row>
    <row r="139" spans="1:27">
      <c r="C139" s="71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P139" s="71"/>
      <c r="Q139" s="70"/>
      <c r="R139" s="70"/>
      <c r="S139" s="70"/>
      <c r="T139" s="46"/>
      <c r="U139" s="46"/>
      <c r="V139" s="47"/>
      <c r="Y139" s="47"/>
    </row>
    <row r="140" spans="1:27">
      <c r="C140" s="71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1"/>
      <c r="P140" s="72">
        <v>4429613</v>
      </c>
      <c r="Q140" s="70" t="s">
        <v>936</v>
      </c>
      <c r="R140" s="70"/>
      <c r="S140" s="70"/>
      <c r="T140" s="46"/>
      <c r="U140" s="46"/>
    </row>
    <row r="141" spans="1:27">
      <c r="C141" s="71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1"/>
      <c r="O141" s="71"/>
      <c r="P141" s="70"/>
      <c r="Q141" s="70"/>
      <c r="R141" s="70"/>
      <c r="S141" s="70"/>
    </row>
    <row r="142" spans="1:27">
      <c r="C142" s="71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S142" s="70"/>
    </row>
    <row r="143" spans="1:27">
      <c r="C143" s="71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</row>
    <row r="144" spans="1:27">
      <c r="C144" s="71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558"/>
      <c r="Q144" s="70"/>
      <c r="R144" s="70"/>
      <c r="S144" s="70"/>
    </row>
    <row r="145" spans="3:20">
      <c r="C145" s="71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558"/>
      <c r="Q145" s="70"/>
      <c r="R145" s="70"/>
      <c r="S145" s="70"/>
    </row>
    <row r="146" spans="3:20">
      <c r="C146" s="71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</row>
    <row r="147" spans="3:20">
      <c r="C147" s="71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</row>
    <row r="148" spans="3:20">
      <c r="C148" s="71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</row>
    <row r="149" spans="3:20">
      <c r="C149" s="71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S149" s="70"/>
    </row>
    <row r="150" spans="3:20">
      <c r="C150" s="71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1"/>
      <c r="O150" s="71"/>
      <c r="P150" s="70"/>
      <c r="Q150" s="70"/>
      <c r="R150" s="70"/>
      <c r="S150" s="70"/>
    </row>
    <row r="151" spans="3:20">
      <c r="C151" s="71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1"/>
      <c r="Q151" s="71"/>
      <c r="R151" s="70"/>
      <c r="S151" s="70"/>
    </row>
    <row r="152" spans="3:20"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1"/>
      <c r="Q152" s="71"/>
      <c r="R152" s="70"/>
      <c r="S152" s="70"/>
      <c r="T152" s="70"/>
    </row>
    <row r="153" spans="3:20"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1"/>
      <c r="S153" s="70"/>
      <c r="T153" s="70"/>
    </row>
    <row r="154" spans="3:20"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1"/>
      <c r="S154" s="70"/>
      <c r="T154" s="70"/>
    </row>
    <row r="155" spans="3:20"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1"/>
      <c r="S155" s="70"/>
      <c r="T155" s="70"/>
    </row>
    <row r="156" spans="3:20"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1"/>
      <c r="S156" s="70"/>
      <c r="T156" s="70"/>
    </row>
    <row r="157" spans="3:20"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</row>
    <row r="158" spans="3:20"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2"/>
      <c r="S158" s="70"/>
      <c r="T158" s="70"/>
    </row>
    <row r="159" spans="3:20"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</row>
    <row r="160" spans="3:20"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</row>
    <row r="161" spans="6:20"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</row>
    <row r="162" spans="6:20"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43"/>
      <c r="R162" s="70"/>
      <c r="S162" s="70"/>
      <c r="T162" s="70"/>
    </row>
    <row r="163" spans="6:20"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</row>
    <row r="164" spans="6:20"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</row>
    <row r="165" spans="6:20"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</row>
    <row r="166" spans="6:20"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43"/>
      <c r="S166" s="70"/>
      <c r="T166" s="70"/>
    </row>
    <row r="167" spans="6:20"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</row>
    <row r="168" spans="6:20"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</row>
    <row r="169" spans="6:20"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</row>
    <row r="170" spans="6:20"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</row>
  </sheetData>
  <sheetProtection formatCells="0" formatColumns="0" formatRows="0" insertColumns="0" insertRows="0" insertHyperlinks="0" deleteColumns="0" deleteRows="0" sort="0" autoFilter="0" pivotTables="0"/>
  <sortState ref="A96:AF116">
    <sortCondition ref="B96:B116"/>
  </sortState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I104"/>
  <sheetViews>
    <sheetView showZeros="0" rightToLeft="1" zoomScaleNormal="100" workbookViewId="0">
      <pane xSplit="3" ySplit="4" topLeftCell="D68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3.42578125" style="66" customWidth="1"/>
    <col min="2" max="2" width="4.85546875" style="29" customWidth="1"/>
    <col min="3" max="3" width="36.7109375" style="29" customWidth="1"/>
    <col min="4" max="4" width="11.28515625" style="31" customWidth="1"/>
    <col min="5" max="5" width="11" style="31" customWidth="1"/>
    <col min="6" max="6" width="11.28515625" style="31" customWidth="1"/>
    <col min="7" max="10" width="12.7109375" style="31" hidden="1" customWidth="1"/>
    <col min="11" max="11" width="11.28515625" style="31" hidden="1" customWidth="1"/>
    <col min="12" max="12" width="10.85546875" style="31" customWidth="1"/>
    <col min="13" max="13" width="10.28515625" style="31" customWidth="1"/>
    <col min="14" max="14" width="9.85546875" style="31" customWidth="1"/>
    <col min="15" max="15" width="11.140625" style="31" bestFit="1" customWidth="1"/>
    <col min="16" max="17" width="11.140625" style="31" hidden="1" customWidth="1"/>
    <col min="18" max="18" width="12" style="31" hidden="1" customWidth="1"/>
    <col min="19" max="19" width="10.28515625" style="31" hidden="1" customWidth="1"/>
    <col min="20" max="20" width="8.85546875" style="31" customWidth="1"/>
    <col min="21" max="21" width="11.42578125" style="29" customWidth="1"/>
    <col min="22" max="22" width="10.140625" style="29" customWidth="1"/>
    <col min="23" max="23" width="10.28515625" style="29" customWidth="1"/>
    <col min="24" max="25" width="9.140625" style="29" hidden="1" customWidth="1"/>
    <col min="26" max="26" width="10.140625" style="29" customWidth="1"/>
    <col min="27" max="27" width="7.85546875" style="29" hidden="1" customWidth="1"/>
    <col min="28" max="28" width="2.5703125" style="29" customWidth="1"/>
    <col min="29" max="29" width="11.140625" style="37" bestFit="1" customWidth="1"/>
    <col min="30" max="31" width="10.140625" style="37" bestFit="1" customWidth="1"/>
    <col min="32" max="32" width="2.140625" style="37" customWidth="1"/>
    <col min="33" max="33" width="9.140625" style="37" customWidth="1"/>
    <col min="34" max="34" width="10.140625" style="37" customWidth="1"/>
    <col min="35" max="35" width="10.140625" style="29" customWidth="1"/>
    <col min="36" max="16384" width="9.140625" style="29"/>
  </cols>
  <sheetData>
    <row r="2" spans="1:34" ht="18.75">
      <c r="A2" s="541" t="s">
        <v>469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65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B2" s="541"/>
    </row>
    <row r="3" spans="1:34">
      <c r="X3" s="31"/>
      <c r="Y3" s="31"/>
    </row>
    <row r="4" spans="1:34" s="60" customFormat="1" ht="75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57"/>
      <c r="AC4" s="57"/>
    </row>
    <row r="5" spans="1:34" s="15" customFormat="1" ht="18" customHeigh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101"/>
      <c r="AB5" s="57"/>
      <c r="AC5" s="57"/>
      <c r="AD5" s="57"/>
      <c r="AE5" s="57"/>
      <c r="AF5" s="57"/>
      <c r="AG5" s="57"/>
      <c r="AH5" s="57"/>
    </row>
    <row r="6" spans="1:34" s="15" customFormat="1">
      <c r="A6" s="13">
        <v>1</v>
      </c>
      <c r="B6" s="13">
        <v>1247</v>
      </c>
      <c r="C6" s="13" t="s">
        <v>84</v>
      </c>
      <c r="D6" s="14">
        <v>9500000</v>
      </c>
      <c r="E6" s="14">
        <v>9500000</v>
      </c>
      <c r="F6" s="14">
        <f t="shared" ref="F6:F70" si="0">D6-E6</f>
        <v>0</v>
      </c>
      <c r="G6" s="14">
        <f>8350000+100000</f>
        <v>8450000</v>
      </c>
      <c r="H6" s="14">
        <v>7752686</v>
      </c>
      <c r="I6" s="14"/>
      <c r="J6" s="14">
        <v>498203</v>
      </c>
      <c r="K6" s="14">
        <f>SUM(I6:J6)</f>
        <v>498203</v>
      </c>
      <c r="L6" s="14">
        <f>K6+H6</f>
        <v>8250889</v>
      </c>
      <c r="M6" s="14">
        <f>P6+S6</f>
        <v>199111</v>
      </c>
      <c r="N6" s="14">
        <v>200000</v>
      </c>
      <c r="O6" s="14">
        <f>D6-L6-M6-N6</f>
        <v>850000</v>
      </c>
      <c r="P6" s="14">
        <f>G6-L6</f>
        <v>199111</v>
      </c>
      <c r="Q6" s="14">
        <f>100000-100000</f>
        <v>0</v>
      </c>
      <c r="R6" s="14"/>
      <c r="S6" s="14">
        <f t="shared" ref="S6:S62" si="1">SUM(Q6:R6)</f>
        <v>0</v>
      </c>
      <c r="T6" s="14">
        <f>P6-M6+S6</f>
        <v>0</v>
      </c>
      <c r="U6" s="14">
        <f t="shared" ref="U6:U71" si="2">N6-T6</f>
        <v>200000</v>
      </c>
      <c r="V6" s="14">
        <f>N6-W6-Y6-Z6</f>
        <v>200000</v>
      </c>
      <c r="W6" s="14"/>
      <c r="X6" s="14"/>
      <c r="Y6" s="14"/>
      <c r="Z6" s="13"/>
      <c r="AA6" s="101">
        <v>732000</v>
      </c>
      <c r="AB6" s="57"/>
      <c r="AC6" s="57"/>
      <c r="AD6" s="55"/>
      <c r="AE6" s="55"/>
      <c r="AF6" s="57"/>
      <c r="AG6" s="57"/>
      <c r="AH6" s="55"/>
    </row>
    <row r="7" spans="1:34" s="15" customFormat="1">
      <c r="A7" s="13">
        <f t="shared" ref="A7:A71" si="3">A6+1</f>
        <v>2</v>
      </c>
      <c r="B7" s="13">
        <v>1250</v>
      </c>
      <c r="C7" s="13" t="s">
        <v>85</v>
      </c>
      <c r="D7" s="14">
        <v>1450000</v>
      </c>
      <c r="E7" s="14">
        <v>1450000</v>
      </c>
      <c r="F7" s="14">
        <f t="shared" si="0"/>
        <v>0</v>
      </c>
      <c r="G7" s="14">
        <v>1000000</v>
      </c>
      <c r="H7" s="14">
        <v>708018.48</v>
      </c>
      <c r="I7" s="14"/>
      <c r="J7" s="14">
        <v>105927.1</v>
      </c>
      <c r="K7" s="14">
        <f t="shared" ref="K7:K63" si="4">SUM(I7:J7)</f>
        <v>105927.1</v>
      </c>
      <c r="L7" s="14">
        <f t="shared" ref="L7:L71" si="5">K7+H7</f>
        <v>813945.58</v>
      </c>
      <c r="M7" s="14">
        <f>P7+S7</f>
        <v>186054.42000000004</v>
      </c>
      <c r="N7" s="14"/>
      <c r="O7" s="14">
        <f>D7-L7-M7-N7</f>
        <v>450000</v>
      </c>
      <c r="P7" s="14">
        <f>G7-L7</f>
        <v>186054.42000000004</v>
      </c>
      <c r="Q7" s="14"/>
      <c r="R7" s="14"/>
      <c r="S7" s="14">
        <f t="shared" si="1"/>
        <v>0</v>
      </c>
      <c r="T7" s="14">
        <f t="shared" ref="T7:T71" si="6">P7-M7+S7</f>
        <v>0</v>
      </c>
      <c r="U7" s="14">
        <f t="shared" si="2"/>
        <v>0</v>
      </c>
      <c r="V7" s="14"/>
      <c r="W7" s="14">
        <f>U7-V7-Y7-AB7</f>
        <v>0</v>
      </c>
      <c r="X7" s="14"/>
      <c r="Y7" s="14"/>
      <c r="Z7" s="13"/>
      <c r="AA7" s="101">
        <v>749000</v>
      </c>
      <c r="AB7" s="57"/>
      <c r="AC7" s="57"/>
      <c r="AD7" s="55"/>
      <c r="AE7" s="55"/>
      <c r="AF7" s="57"/>
      <c r="AG7" s="57"/>
      <c r="AH7" s="55"/>
    </row>
    <row r="8" spans="1:34" s="15" customFormat="1">
      <c r="A8" s="13">
        <f t="shared" si="3"/>
        <v>3</v>
      </c>
      <c r="B8" s="13">
        <v>1253</v>
      </c>
      <c r="C8" s="13" t="s">
        <v>86</v>
      </c>
      <c r="D8" s="14">
        <f>3900000+300000</f>
        <v>4200000</v>
      </c>
      <c r="E8" s="14">
        <v>3900000</v>
      </c>
      <c r="F8" s="14">
        <f t="shared" si="0"/>
        <v>300000</v>
      </c>
      <c r="G8" s="14">
        <v>3700000</v>
      </c>
      <c r="H8" s="14">
        <v>3269133</v>
      </c>
      <c r="I8" s="14"/>
      <c r="J8" s="14">
        <v>260499.41</v>
      </c>
      <c r="K8" s="14">
        <f t="shared" si="4"/>
        <v>260499.41</v>
      </c>
      <c r="L8" s="14">
        <f t="shared" si="5"/>
        <v>3529632.41</v>
      </c>
      <c r="M8" s="14">
        <f>P8+S8</f>
        <v>170367.58999999985</v>
      </c>
      <c r="N8" s="14">
        <f>300000+200000</f>
        <v>500000</v>
      </c>
      <c r="O8" s="14">
        <f>D8-L8-M8-N8</f>
        <v>0</v>
      </c>
      <c r="P8" s="14">
        <f>G8-L8</f>
        <v>170367.58999999985</v>
      </c>
      <c r="Q8" s="14"/>
      <c r="R8" s="45"/>
      <c r="S8" s="14">
        <f t="shared" si="1"/>
        <v>0</v>
      </c>
      <c r="T8" s="14">
        <f t="shared" si="6"/>
        <v>0</v>
      </c>
      <c r="U8" s="14">
        <f t="shared" si="2"/>
        <v>500000</v>
      </c>
      <c r="V8" s="14"/>
      <c r="W8" s="14">
        <f>U8-V8-Y8-Z8</f>
        <v>500000</v>
      </c>
      <c r="X8" s="14"/>
      <c r="Y8" s="14"/>
      <c r="Z8" s="13"/>
      <c r="AA8" s="101">
        <v>850000</v>
      </c>
      <c r="AB8" s="57"/>
      <c r="AC8" s="57"/>
      <c r="AD8" s="55"/>
      <c r="AE8" s="55"/>
      <c r="AF8" s="57"/>
      <c r="AG8" s="57"/>
      <c r="AH8" s="55"/>
    </row>
    <row r="9" spans="1:34" s="15" customFormat="1">
      <c r="A9" s="13">
        <f t="shared" si="3"/>
        <v>4</v>
      </c>
      <c r="B9" s="13">
        <v>1281</v>
      </c>
      <c r="C9" s="13" t="s">
        <v>87</v>
      </c>
      <c r="D9" s="14">
        <v>213755840</v>
      </c>
      <c r="E9" s="14">
        <v>213755840</v>
      </c>
      <c r="F9" s="14">
        <f t="shared" si="0"/>
        <v>0</v>
      </c>
      <c r="G9" s="14">
        <v>213755840</v>
      </c>
      <c r="H9" s="14">
        <v>212334871.83000001</v>
      </c>
      <c r="I9" s="14">
        <v>1313261.3600000001</v>
      </c>
      <c r="J9" s="14">
        <v>97066</v>
      </c>
      <c r="K9" s="14">
        <f t="shared" si="4"/>
        <v>1410327.36</v>
      </c>
      <c r="L9" s="14">
        <f t="shared" si="5"/>
        <v>213745199.19000003</v>
      </c>
      <c r="M9" s="14">
        <f>P9+S9</f>
        <v>10640.809999972582</v>
      </c>
      <c r="N9" s="14"/>
      <c r="O9" s="14">
        <f>D9-L9-M9-N9</f>
        <v>0</v>
      </c>
      <c r="P9" s="14">
        <f>G9-L9</f>
        <v>10640.809999972582</v>
      </c>
      <c r="Q9" s="14"/>
      <c r="R9" s="14"/>
      <c r="S9" s="14">
        <f t="shared" si="1"/>
        <v>0</v>
      </c>
      <c r="T9" s="14">
        <f t="shared" si="6"/>
        <v>0</v>
      </c>
      <c r="U9" s="14">
        <f t="shared" si="2"/>
        <v>0</v>
      </c>
      <c r="V9" s="14"/>
      <c r="W9" s="14">
        <f t="shared" ref="W9:W71" si="7">U9-V9-Y9-Z9</f>
        <v>0</v>
      </c>
      <c r="X9" s="14"/>
      <c r="Y9" s="14"/>
      <c r="Z9" s="13"/>
      <c r="AA9" s="101">
        <v>810000</v>
      </c>
      <c r="AB9" s="57"/>
      <c r="AC9" s="57"/>
      <c r="AD9" s="55"/>
      <c r="AE9" s="55"/>
      <c r="AF9" s="57"/>
      <c r="AG9" s="57"/>
      <c r="AH9" s="55"/>
    </row>
    <row r="10" spans="1:34" s="15" customFormat="1">
      <c r="A10" s="13">
        <f t="shared" si="3"/>
        <v>5</v>
      </c>
      <c r="B10" s="13">
        <v>1372</v>
      </c>
      <c r="C10" s="13" t="s">
        <v>88</v>
      </c>
      <c r="D10" s="14">
        <v>2900000</v>
      </c>
      <c r="E10" s="14">
        <v>2900000</v>
      </c>
      <c r="F10" s="14">
        <f t="shared" si="0"/>
        <v>0</v>
      </c>
      <c r="G10" s="14">
        <v>1500000</v>
      </c>
      <c r="H10" s="14">
        <v>1471934</v>
      </c>
      <c r="I10" s="14"/>
      <c r="J10" s="14">
        <v>25919</v>
      </c>
      <c r="K10" s="14">
        <f t="shared" si="4"/>
        <v>25919</v>
      </c>
      <c r="L10" s="14">
        <f t="shared" si="5"/>
        <v>1497853</v>
      </c>
      <c r="M10" s="14">
        <f t="shared" ref="M10:M69" si="8">P10+S10</f>
        <v>2147</v>
      </c>
      <c r="N10" s="14"/>
      <c r="O10" s="14">
        <f t="shared" ref="O10:O72" si="9">D10-L10-M10-N10</f>
        <v>1400000</v>
      </c>
      <c r="P10" s="14">
        <f t="shared" ref="P10:P69" si="10">G10-L10</f>
        <v>2147</v>
      </c>
      <c r="Q10" s="14"/>
      <c r="R10" s="14"/>
      <c r="S10" s="14">
        <f t="shared" si="1"/>
        <v>0</v>
      </c>
      <c r="T10" s="14">
        <f t="shared" si="6"/>
        <v>0</v>
      </c>
      <c r="U10" s="14">
        <f t="shared" si="2"/>
        <v>0</v>
      </c>
      <c r="V10" s="14"/>
      <c r="W10" s="14">
        <f t="shared" si="7"/>
        <v>0</v>
      </c>
      <c r="X10" s="14"/>
      <c r="Y10" s="14"/>
      <c r="Z10" s="13"/>
      <c r="AA10" s="101">
        <v>810000</v>
      </c>
      <c r="AB10" s="57"/>
      <c r="AC10" s="57"/>
      <c r="AD10" s="55"/>
      <c r="AE10" s="55"/>
      <c r="AF10" s="57"/>
      <c r="AG10" s="57"/>
      <c r="AH10" s="55"/>
    </row>
    <row r="11" spans="1:34" s="15" customFormat="1">
      <c r="A11" s="13">
        <f t="shared" si="3"/>
        <v>6</v>
      </c>
      <c r="B11" s="13">
        <v>1415</v>
      </c>
      <c r="C11" s="13" t="s">
        <v>89</v>
      </c>
      <c r="D11" s="14">
        <v>1150000</v>
      </c>
      <c r="E11" s="14">
        <v>1150000</v>
      </c>
      <c r="F11" s="14">
        <f t="shared" si="0"/>
        <v>0</v>
      </c>
      <c r="G11" s="14">
        <v>900000</v>
      </c>
      <c r="H11" s="14">
        <v>787794</v>
      </c>
      <c r="I11" s="14"/>
      <c r="J11" s="14">
        <v>41960</v>
      </c>
      <c r="K11" s="14">
        <f t="shared" si="4"/>
        <v>41960</v>
      </c>
      <c r="L11" s="14">
        <f t="shared" si="5"/>
        <v>829754</v>
      </c>
      <c r="M11" s="14">
        <f t="shared" si="8"/>
        <v>70246</v>
      </c>
      <c r="N11" s="14">
        <v>100000</v>
      </c>
      <c r="O11" s="14">
        <f t="shared" si="9"/>
        <v>150000</v>
      </c>
      <c r="P11" s="14">
        <f t="shared" si="10"/>
        <v>70246</v>
      </c>
      <c r="Q11" s="14"/>
      <c r="R11" s="14"/>
      <c r="S11" s="14">
        <f t="shared" si="1"/>
        <v>0</v>
      </c>
      <c r="T11" s="14">
        <f t="shared" si="6"/>
        <v>0</v>
      </c>
      <c r="U11" s="14">
        <f t="shared" si="2"/>
        <v>100000</v>
      </c>
      <c r="V11" s="14"/>
      <c r="W11" s="14">
        <f t="shared" si="7"/>
        <v>100000</v>
      </c>
      <c r="X11" s="14"/>
      <c r="Y11" s="14"/>
      <c r="Z11" s="13"/>
      <c r="AA11" s="101">
        <v>930000</v>
      </c>
      <c r="AB11" s="57"/>
      <c r="AC11" s="57"/>
      <c r="AD11" s="55"/>
      <c r="AE11" s="55"/>
      <c r="AF11" s="57"/>
      <c r="AG11" s="57"/>
      <c r="AH11" s="55"/>
    </row>
    <row r="12" spans="1:34" s="15" customFormat="1">
      <c r="A12" s="13">
        <f t="shared" si="3"/>
        <v>7</v>
      </c>
      <c r="B12" s="13">
        <v>1416</v>
      </c>
      <c r="C12" s="13" t="s">
        <v>228</v>
      </c>
      <c r="D12" s="14">
        <v>1700000</v>
      </c>
      <c r="E12" s="14">
        <v>1700000</v>
      </c>
      <c r="F12" s="14">
        <f t="shared" si="0"/>
        <v>0</v>
      </c>
      <c r="G12" s="14">
        <v>1250000</v>
      </c>
      <c r="H12" s="14">
        <v>1116948.9099999999</v>
      </c>
      <c r="I12" s="14"/>
      <c r="J12" s="14">
        <v>20000</v>
      </c>
      <c r="K12" s="14">
        <f t="shared" si="4"/>
        <v>20000</v>
      </c>
      <c r="L12" s="14">
        <f t="shared" si="5"/>
        <v>1136948.9099999999</v>
      </c>
      <c r="M12" s="14">
        <f t="shared" si="8"/>
        <v>113051.09000000008</v>
      </c>
      <c r="N12" s="14">
        <v>100000</v>
      </c>
      <c r="O12" s="14">
        <f t="shared" si="9"/>
        <v>350000</v>
      </c>
      <c r="P12" s="14">
        <f t="shared" si="10"/>
        <v>113051.09000000008</v>
      </c>
      <c r="Q12" s="14"/>
      <c r="R12" s="14"/>
      <c r="S12" s="14">
        <f t="shared" si="1"/>
        <v>0</v>
      </c>
      <c r="T12" s="14">
        <f t="shared" si="6"/>
        <v>0</v>
      </c>
      <c r="U12" s="14">
        <f t="shared" si="2"/>
        <v>100000</v>
      </c>
      <c r="V12" s="14"/>
      <c r="W12" s="14">
        <f t="shared" si="7"/>
        <v>100000</v>
      </c>
      <c r="X12" s="14"/>
      <c r="Y12" s="14"/>
      <c r="Z12" s="13"/>
      <c r="AA12" s="101">
        <v>930000</v>
      </c>
      <c r="AB12" s="57"/>
      <c r="AC12" s="57"/>
      <c r="AD12" s="55"/>
      <c r="AE12" s="55"/>
      <c r="AF12" s="57"/>
      <c r="AG12" s="57"/>
      <c r="AH12" s="55"/>
    </row>
    <row r="13" spans="1:34" s="15" customFormat="1">
      <c r="A13" s="13">
        <f t="shared" si="3"/>
        <v>8</v>
      </c>
      <c r="B13" s="13">
        <v>1472</v>
      </c>
      <c r="C13" s="13" t="s">
        <v>90</v>
      </c>
      <c r="D13" s="14">
        <f>10850000+500000</f>
        <v>11350000</v>
      </c>
      <c r="E13" s="14">
        <v>10850000</v>
      </c>
      <c r="F13" s="14">
        <f t="shared" si="0"/>
        <v>500000</v>
      </c>
      <c r="G13" s="14">
        <v>10850000</v>
      </c>
      <c r="H13" s="14">
        <v>10188653</v>
      </c>
      <c r="I13" s="14"/>
      <c r="J13" s="14">
        <v>629383</v>
      </c>
      <c r="K13" s="14">
        <f t="shared" si="4"/>
        <v>629383</v>
      </c>
      <c r="L13" s="14">
        <f t="shared" si="5"/>
        <v>10818036</v>
      </c>
      <c r="M13" s="14">
        <f t="shared" si="8"/>
        <v>31964</v>
      </c>
      <c r="N13" s="14">
        <v>300000</v>
      </c>
      <c r="O13" s="14">
        <f t="shared" si="9"/>
        <v>200000</v>
      </c>
      <c r="P13" s="14">
        <f t="shared" si="10"/>
        <v>31964</v>
      </c>
      <c r="Q13" s="14"/>
      <c r="R13" s="14"/>
      <c r="S13" s="14">
        <f t="shared" si="1"/>
        <v>0</v>
      </c>
      <c r="T13" s="14">
        <f t="shared" si="6"/>
        <v>0</v>
      </c>
      <c r="U13" s="14">
        <f t="shared" si="2"/>
        <v>300000</v>
      </c>
      <c r="V13" s="14"/>
      <c r="W13" s="14">
        <f t="shared" si="7"/>
        <v>300000</v>
      </c>
      <c r="X13" s="14"/>
      <c r="Y13" s="14"/>
      <c r="Z13" s="13"/>
      <c r="AA13" s="101">
        <v>810000</v>
      </c>
      <c r="AB13" s="57"/>
      <c r="AC13" s="57"/>
      <c r="AD13" s="55"/>
      <c r="AE13" s="55"/>
      <c r="AF13" s="57"/>
      <c r="AG13" s="57"/>
      <c r="AH13" s="55"/>
    </row>
    <row r="14" spans="1:34" s="15" customFormat="1">
      <c r="A14" s="13">
        <f t="shared" si="3"/>
        <v>9</v>
      </c>
      <c r="B14" s="13">
        <v>1474</v>
      </c>
      <c r="C14" s="13" t="s">
        <v>91</v>
      </c>
      <c r="D14" s="14">
        <v>2105000</v>
      </c>
      <c r="E14" s="14">
        <v>2105000</v>
      </c>
      <c r="F14" s="14">
        <f t="shared" si="0"/>
        <v>0</v>
      </c>
      <c r="G14" s="14">
        <v>2105000</v>
      </c>
      <c r="H14" s="14">
        <v>1862888.8</v>
      </c>
      <c r="I14" s="14"/>
      <c r="J14" s="14">
        <v>242111.2</v>
      </c>
      <c r="K14" s="14">
        <f t="shared" si="4"/>
        <v>242111.2</v>
      </c>
      <c r="L14" s="14">
        <f t="shared" si="5"/>
        <v>2105000</v>
      </c>
      <c r="M14" s="14">
        <f t="shared" si="8"/>
        <v>0</v>
      </c>
      <c r="N14" s="14"/>
      <c r="O14" s="14">
        <f t="shared" si="9"/>
        <v>0</v>
      </c>
      <c r="P14" s="14">
        <f t="shared" si="10"/>
        <v>0</v>
      </c>
      <c r="Q14" s="14"/>
      <c r="R14" s="14"/>
      <c r="S14" s="14">
        <f t="shared" si="1"/>
        <v>0</v>
      </c>
      <c r="T14" s="14">
        <f t="shared" si="6"/>
        <v>0</v>
      </c>
      <c r="U14" s="14">
        <f t="shared" si="2"/>
        <v>0</v>
      </c>
      <c r="V14" s="14"/>
      <c r="W14" s="14">
        <f t="shared" si="7"/>
        <v>0</v>
      </c>
      <c r="X14" s="14"/>
      <c r="Y14" s="14"/>
      <c r="Z14" s="13"/>
      <c r="AA14" s="101">
        <v>812000</v>
      </c>
      <c r="AB14" s="57"/>
      <c r="AC14" s="57"/>
      <c r="AD14" s="55"/>
      <c r="AE14" s="55"/>
      <c r="AF14" s="57"/>
      <c r="AG14" s="57"/>
      <c r="AH14" s="55"/>
    </row>
    <row r="15" spans="1:34" s="15" customFormat="1">
      <c r="A15" s="13">
        <f t="shared" si="3"/>
        <v>10</v>
      </c>
      <c r="B15" s="13">
        <v>1476</v>
      </c>
      <c r="C15" s="13" t="s">
        <v>388</v>
      </c>
      <c r="D15" s="14">
        <v>900000</v>
      </c>
      <c r="E15" s="14">
        <v>900000</v>
      </c>
      <c r="F15" s="14">
        <f t="shared" si="0"/>
        <v>0</v>
      </c>
      <c r="G15" s="14">
        <v>900000</v>
      </c>
      <c r="H15" s="14">
        <v>789809.93</v>
      </c>
      <c r="I15" s="14"/>
      <c r="J15" s="14">
        <v>100720.91</v>
      </c>
      <c r="K15" s="14">
        <f t="shared" si="4"/>
        <v>100720.91</v>
      </c>
      <c r="L15" s="14">
        <f t="shared" si="5"/>
        <v>890530.84000000008</v>
      </c>
      <c r="M15" s="14">
        <f t="shared" si="8"/>
        <v>9469.1599999999162</v>
      </c>
      <c r="N15" s="14"/>
      <c r="O15" s="14">
        <f t="shared" si="9"/>
        <v>0</v>
      </c>
      <c r="P15" s="14">
        <f t="shared" si="10"/>
        <v>9469.1599999999162</v>
      </c>
      <c r="Q15" s="14"/>
      <c r="R15" s="14"/>
      <c r="S15" s="14">
        <f t="shared" si="1"/>
        <v>0</v>
      </c>
      <c r="T15" s="14">
        <f t="shared" si="6"/>
        <v>0</v>
      </c>
      <c r="U15" s="14">
        <f t="shared" si="2"/>
        <v>0</v>
      </c>
      <c r="V15" s="14"/>
      <c r="W15" s="14">
        <f t="shared" si="7"/>
        <v>0</v>
      </c>
      <c r="X15" s="14"/>
      <c r="Y15" s="14"/>
      <c r="Z15" s="13"/>
      <c r="AA15" s="101">
        <v>810000</v>
      </c>
      <c r="AB15" s="57"/>
      <c r="AC15" s="57"/>
      <c r="AD15" s="55"/>
      <c r="AE15" s="55"/>
      <c r="AF15" s="57"/>
      <c r="AG15" s="57"/>
      <c r="AH15" s="55"/>
    </row>
    <row r="16" spans="1:34" s="15" customFormat="1">
      <c r="A16" s="13">
        <f t="shared" si="3"/>
        <v>11</v>
      </c>
      <c r="B16" s="13">
        <v>1477</v>
      </c>
      <c r="C16" s="13" t="s">
        <v>92</v>
      </c>
      <c r="D16" s="14">
        <v>2200000</v>
      </c>
      <c r="E16" s="14">
        <v>2200000</v>
      </c>
      <c r="F16" s="14">
        <f t="shared" si="0"/>
        <v>0</v>
      </c>
      <c r="G16" s="14">
        <v>2200000</v>
      </c>
      <c r="H16" s="14">
        <v>1952434.39</v>
      </c>
      <c r="I16" s="14"/>
      <c r="J16" s="14">
        <v>247564.22</v>
      </c>
      <c r="K16" s="14">
        <f t="shared" si="4"/>
        <v>247564.22</v>
      </c>
      <c r="L16" s="14">
        <f t="shared" si="5"/>
        <v>2199998.61</v>
      </c>
      <c r="M16" s="14">
        <f t="shared" si="8"/>
        <v>1.3900000001303852</v>
      </c>
      <c r="N16" s="14"/>
      <c r="O16" s="14">
        <f t="shared" si="9"/>
        <v>0</v>
      </c>
      <c r="P16" s="14">
        <f t="shared" si="10"/>
        <v>1.3900000001303852</v>
      </c>
      <c r="Q16" s="14"/>
      <c r="R16" s="14"/>
      <c r="S16" s="14">
        <f t="shared" si="1"/>
        <v>0</v>
      </c>
      <c r="T16" s="14">
        <f t="shared" si="6"/>
        <v>0</v>
      </c>
      <c r="U16" s="14">
        <f t="shared" si="2"/>
        <v>0</v>
      </c>
      <c r="V16" s="14"/>
      <c r="W16" s="14">
        <f t="shared" si="7"/>
        <v>0</v>
      </c>
      <c r="X16" s="14"/>
      <c r="Y16" s="14"/>
      <c r="Z16" s="13"/>
      <c r="AA16" s="101">
        <v>810000</v>
      </c>
      <c r="AB16" s="57"/>
      <c r="AC16" s="57"/>
      <c r="AD16" s="55"/>
      <c r="AE16" s="55"/>
      <c r="AF16" s="57"/>
      <c r="AG16" s="57"/>
      <c r="AH16" s="55"/>
    </row>
    <row r="17" spans="1:34" s="15" customFormat="1">
      <c r="A17" s="13">
        <f t="shared" si="3"/>
        <v>12</v>
      </c>
      <c r="B17" s="13">
        <v>1478</v>
      </c>
      <c r="C17" s="13" t="s">
        <v>383</v>
      </c>
      <c r="D17" s="14">
        <v>1800000</v>
      </c>
      <c r="E17" s="14">
        <v>1800000</v>
      </c>
      <c r="F17" s="14">
        <f t="shared" si="0"/>
        <v>0</v>
      </c>
      <c r="G17" s="14">
        <v>1800000</v>
      </c>
      <c r="H17" s="14">
        <v>1758057.55</v>
      </c>
      <c r="I17" s="14"/>
      <c r="J17" s="14">
        <v>15097.45</v>
      </c>
      <c r="K17" s="14">
        <f t="shared" si="4"/>
        <v>15097.45</v>
      </c>
      <c r="L17" s="14">
        <f t="shared" si="5"/>
        <v>1773155</v>
      </c>
      <c r="M17" s="14">
        <f t="shared" si="8"/>
        <v>26845</v>
      </c>
      <c r="N17" s="14"/>
      <c r="O17" s="14">
        <f t="shared" si="9"/>
        <v>0</v>
      </c>
      <c r="P17" s="14">
        <f t="shared" si="10"/>
        <v>26845</v>
      </c>
      <c r="Q17" s="14"/>
      <c r="R17" s="14"/>
      <c r="S17" s="14">
        <f t="shared" si="1"/>
        <v>0</v>
      </c>
      <c r="T17" s="14">
        <f t="shared" si="6"/>
        <v>0</v>
      </c>
      <c r="U17" s="14">
        <f t="shared" si="2"/>
        <v>0</v>
      </c>
      <c r="V17" s="14"/>
      <c r="W17" s="14">
        <f>U17-V17-Y17-Z17</f>
        <v>0</v>
      </c>
      <c r="X17" s="14"/>
      <c r="Y17" s="14"/>
      <c r="Z17" s="13"/>
      <c r="AA17" s="101">
        <v>930000</v>
      </c>
      <c r="AB17" s="57"/>
      <c r="AC17" s="57"/>
      <c r="AD17" s="55"/>
      <c r="AE17" s="55"/>
      <c r="AF17" s="57"/>
      <c r="AG17" s="57"/>
      <c r="AH17" s="55"/>
    </row>
    <row r="18" spans="1:34" s="15" customFormat="1">
      <c r="A18" s="13">
        <f t="shared" si="3"/>
        <v>13</v>
      </c>
      <c r="B18" s="13">
        <v>1479</v>
      </c>
      <c r="C18" s="13" t="s">
        <v>93</v>
      </c>
      <c r="D18" s="14">
        <v>1400000</v>
      </c>
      <c r="E18" s="14">
        <v>1400000</v>
      </c>
      <c r="F18" s="14">
        <f t="shared" si="0"/>
        <v>0</v>
      </c>
      <c r="G18" s="14">
        <v>1400000</v>
      </c>
      <c r="H18" s="14">
        <v>1176317.28</v>
      </c>
      <c r="I18" s="14"/>
      <c r="J18" s="14">
        <v>218439.94</v>
      </c>
      <c r="K18" s="14">
        <f t="shared" si="4"/>
        <v>218439.94</v>
      </c>
      <c r="L18" s="14">
        <f t="shared" si="5"/>
        <v>1394757.22</v>
      </c>
      <c r="M18" s="14">
        <f t="shared" si="8"/>
        <v>5242.7800000000279</v>
      </c>
      <c r="N18" s="14"/>
      <c r="O18" s="14">
        <f t="shared" si="9"/>
        <v>0</v>
      </c>
      <c r="P18" s="14">
        <f t="shared" si="10"/>
        <v>5242.7800000000279</v>
      </c>
      <c r="Q18" s="14"/>
      <c r="R18" s="14"/>
      <c r="S18" s="14">
        <f t="shared" si="1"/>
        <v>0</v>
      </c>
      <c r="T18" s="14">
        <f t="shared" si="6"/>
        <v>0</v>
      </c>
      <c r="U18" s="14">
        <f t="shared" si="2"/>
        <v>0</v>
      </c>
      <c r="V18" s="14"/>
      <c r="W18" s="14">
        <f t="shared" si="7"/>
        <v>0</v>
      </c>
      <c r="X18" s="14"/>
      <c r="Y18" s="14"/>
      <c r="Z18" s="13"/>
      <c r="AA18" s="101">
        <v>810000</v>
      </c>
      <c r="AB18" s="57"/>
      <c r="AC18" s="57"/>
      <c r="AD18" s="55"/>
      <c r="AE18" s="55"/>
      <c r="AF18" s="57"/>
      <c r="AG18" s="57"/>
      <c r="AH18" s="55"/>
    </row>
    <row r="19" spans="1:34" s="15" customFormat="1">
      <c r="A19" s="13">
        <f t="shared" si="3"/>
        <v>14</v>
      </c>
      <c r="B19" s="13">
        <v>1480</v>
      </c>
      <c r="C19" s="13" t="s">
        <v>94</v>
      </c>
      <c r="D19" s="14">
        <v>4500000</v>
      </c>
      <c r="E19" s="14">
        <v>4500000</v>
      </c>
      <c r="F19" s="14">
        <f t="shared" si="0"/>
        <v>0</v>
      </c>
      <c r="G19" s="14">
        <f>2900000+100000</f>
        <v>3000000</v>
      </c>
      <c r="H19" s="14">
        <v>2246459.44</v>
      </c>
      <c r="I19" s="14"/>
      <c r="J19" s="14">
        <v>727346.23</v>
      </c>
      <c r="K19" s="14">
        <f t="shared" si="4"/>
        <v>727346.23</v>
      </c>
      <c r="L19" s="14">
        <f t="shared" si="5"/>
        <v>2973805.67</v>
      </c>
      <c r="M19" s="14">
        <f t="shared" si="8"/>
        <v>26194.330000000075</v>
      </c>
      <c r="N19" s="14">
        <f>1000000-500000</f>
        <v>500000</v>
      </c>
      <c r="O19" s="14">
        <f t="shared" si="9"/>
        <v>1000000</v>
      </c>
      <c r="P19" s="14">
        <f t="shared" si="10"/>
        <v>26194.330000000075</v>
      </c>
      <c r="Q19" s="14">
        <f>100000-100000</f>
        <v>0</v>
      </c>
      <c r="R19" s="14"/>
      <c r="S19" s="14">
        <f t="shared" si="1"/>
        <v>0</v>
      </c>
      <c r="T19" s="14">
        <f t="shared" si="6"/>
        <v>0</v>
      </c>
      <c r="U19" s="14">
        <f t="shared" si="2"/>
        <v>500000</v>
      </c>
      <c r="V19" s="14"/>
      <c r="W19" s="14">
        <f t="shared" si="7"/>
        <v>500000</v>
      </c>
      <c r="X19" s="14"/>
      <c r="Y19" s="14"/>
      <c r="Z19" s="13"/>
      <c r="AA19" s="101">
        <v>810000</v>
      </c>
      <c r="AB19" s="57"/>
      <c r="AC19" s="57"/>
      <c r="AD19" s="55"/>
      <c r="AE19" s="55"/>
      <c r="AF19" s="57"/>
      <c r="AG19" s="57"/>
      <c r="AH19" s="55"/>
    </row>
    <row r="20" spans="1:34" s="15" customFormat="1">
      <c r="A20" s="13">
        <f t="shared" si="3"/>
        <v>15</v>
      </c>
      <c r="B20" s="13">
        <v>1481</v>
      </c>
      <c r="C20" s="13" t="s">
        <v>389</v>
      </c>
      <c r="D20" s="14">
        <v>6980000</v>
      </c>
      <c r="E20" s="14">
        <v>6980000</v>
      </c>
      <c r="F20" s="14">
        <f t="shared" si="0"/>
        <v>0</v>
      </c>
      <c r="G20" s="14">
        <v>6980000</v>
      </c>
      <c r="H20" s="14">
        <v>5734254</v>
      </c>
      <c r="I20" s="14"/>
      <c r="J20" s="14">
        <v>1073663</v>
      </c>
      <c r="K20" s="14">
        <f t="shared" si="4"/>
        <v>1073663</v>
      </c>
      <c r="L20" s="14">
        <f t="shared" si="5"/>
        <v>6807917</v>
      </c>
      <c r="M20" s="14">
        <f t="shared" si="8"/>
        <v>172083</v>
      </c>
      <c r="N20" s="14"/>
      <c r="O20" s="14">
        <f t="shared" si="9"/>
        <v>0</v>
      </c>
      <c r="P20" s="14">
        <f t="shared" si="10"/>
        <v>172083</v>
      </c>
      <c r="Q20" s="14"/>
      <c r="R20" s="14"/>
      <c r="S20" s="14">
        <f t="shared" si="1"/>
        <v>0</v>
      </c>
      <c r="T20" s="14">
        <f t="shared" si="6"/>
        <v>0</v>
      </c>
      <c r="U20" s="14">
        <f t="shared" si="2"/>
        <v>0</v>
      </c>
      <c r="V20" s="14"/>
      <c r="W20" s="14">
        <f t="shared" si="7"/>
        <v>0</v>
      </c>
      <c r="X20" s="14"/>
      <c r="Y20" s="14"/>
      <c r="Z20" s="13"/>
      <c r="AA20" s="101">
        <v>743000</v>
      </c>
      <c r="AB20" s="57"/>
      <c r="AC20" s="57"/>
      <c r="AD20" s="55"/>
      <c r="AE20" s="55"/>
      <c r="AF20" s="57"/>
      <c r="AG20" s="57"/>
      <c r="AH20" s="55"/>
    </row>
    <row r="21" spans="1:34" s="15" customFormat="1">
      <c r="A21" s="13">
        <f t="shared" si="3"/>
        <v>16</v>
      </c>
      <c r="B21" s="13">
        <v>1482</v>
      </c>
      <c r="C21" s="13" t="s">
        <v>95</v>
      </c>
      <c r="D21" s="14">
        <v>1450000</v>
      </c>
      <c r="E21" s="14">
        <v>1450000</v>
      </c>
      <c r="F21" s="14">
        <f t="shared" si="0"/>
        <v>0</v>
      </c>
      <c r="G21" s="14">
        <v>1450000</v>
      </c>
      <c r="H21" s="14">
        <v>1360550.43</v>
      </c>
      <c r="I21" s="14"/>
      <c r="J21" s="14">
        <v>88263.37</v>
      </c>
      <c r="K21" s="14">
        <f t="shared" si="4"/>
        <v>88263.37</v>
      </c>
      <c r="L21" s="14">
        <f t="shared" si="5"/>
        <v>1448813.7999999998</v>
      </c>
      <c r="M21" s="14">
        <f t="shared" si="8"/>
        <v>1186.2000000001863</v>
      </c>
      <c r="N21" s="14"/>
      <c r="O21" s="14">
        <f t="shared" si="9"/>
        <v>0</v>
      </c>
      <c r="P21" s="14">
        <f t="shared" si="10"/>
        <v>1186.2000000001863</v>
      </c>
      <c r="Q21" s="14"/>
      <c r="R21" s="14"/>
      <c r="S21" s="14">
        <f t="shared" si="1"/>
        <v>0</v>
      </c>
      <c r="T21" s="14">
        <f t="shared" si="6"/>
        <v>0</v>
      </c>
      <c r="U21" s="14">
        <f t="shared" si="2"/>
        <v>0</v>
      </c>
      <c r="V21" s="14"/>
      <c r="W21" s="14">
        <f t="shared" si="7"/>
        <v>0</v>
      </c>
      <c r="X21" s="14"/>
      <c r="Y21" s="14"/>
      <c r="Z21" s="13"/>
      <c r="AA21" s="101">
        <v>810000</v>
      </c>
      <c r="AB21" s="57"/>
      <c r="AC21" s="57"/>
      <c r="AD21" s="55"/>
      <c r="AE21" s="55"/>
      <c r="AF21" s="57"/>
      <c r="AG21" s="57"/>
      <c r="AH21" s="55"/>
    </row>
    <row r="22" spans="1:34" s="15" customFormat="1">
      <c r="A22" s="13">
        <f t="shared" si="3"/>
        <v>17</v>
      </c>
      <c r="B22" s="13">
        <v>1483</v>
      </c>
      <c r="C22" s="13" t="s">
        <v>96</v>
      </c>
      <c r="D22" s="14">
        <f>2700000</f>
        <v>2700000</v>
      </c>
      <c r="E22" s="14">
        <v>2700000</v>
      </c>
      <c r="F22" s="14">
        <f t="shared" si="0"/>
        <v>0</v>
      </c>
      <c r="G22" s="14">
        <v>1500000</v>
      </c>
      <c r="H22" s="14">
        <v>1436402</v>
      </c>
      <c r="I22" s="14"/>
      <c r="J22" s="14">
        <v>57683.9</v>
      </c>
      <c r="K22" s="14">
        <f t="shared" si="4"/>
        <v>57683.9</v>
      </c>
      <c r="L22" s="14">
        <f t="shared" si="5"/>
        <v>1494085.9</v>
      </c>
      <c r="M22" s="14">
        <f t="shared" si="8"/>
        <v>5914.1000000000931</v>
      </c>
      <c r="N22" s="14">
        <v>300000</v>
      </c>
      <c r="O22" s="14">
        <f t="shared" si="9"/>
        <v>900000</v>
      </c>
      <c r="P22" s="14">
        <f t="shared" si="10"/>
        <v>5914.1000000000931</v>
      </c>
      <c r="Q22" s="14"/>
      <c r="R22" s="14"/>
      <c r="S22" s="14">
        <f t="shared" si="1"/>
        <v>0</v>
      </c>
      <c r="T22" s="14">
        <f t="shared" si="6"/>
        <v>0</v>
      </c>
      <c r="U22" s="14">
        <f t="shared" si="2"/>
        <v>300000</v>
      </c>
      <c r="V22" s="14"/>
      <c r="W22" s="14">
        <f t="shared" si="7"/>
        <v>300000</v>
      </c>
      <c r="X22" s="14"/>
      <c r="Y22" s="14"/>
      <c r="Z22" s="13"/>
      <c r="AA22" s="101">
        <v>812000</v>
      </c>
      <c r="AB22" s="57"/>
      <c r="AC22" s="57"/>
      <c r="AD22" s="55"/>
      <c r="AE22" s="55"/>
      <c r="AF22" s="57"/>
      <c r="AG22" s="57"/>
      <c r="AH22" s="55"/>
    </row>
    <row r="23" spans="1:34" s="15" customFormat="1">
      <c r="A23" s="13">
        <f t="shared" si="3"/>
        <v>18</v>
      </c>
      <c r="B23" s="13">
        <v>1485</v>
      </c>
      <c r="C23" s="13" t="s">
        <v>97</v>
      </c>
      <c r="D23" s="14">
        <v>1400000</v>
      </c>
      <c r="E23" s="14">
        <v>1400000</v>
      </c>
      <c r="F23" s="14">
        <f t="shared" si="0"/>
        <v>0</v>
      </c>
      <c r="G23" s="14">
        <v>1400000</v>
      </c>
      <c r="H23" s="14">
        <v>1275862.6599999999</v>
      </c>
      <c r="I23" s="14"/>
      <c r="J23" s="14"/>
      <c r="K23" s="14">
        <f t="shared" si="4"/>
        <v>0</v>
      </c>
      <c r="L23" s="14">
        <f t="shared" si="5"/>
        <v>1275862.6599999999</v>
      </c>
      <c r="M23" s="14">
        <f>P23+S23</f>
        <v>124137.34000000008</v>
      </c>
      <c r="N23" s="14"/>
      <c r="O23" s="14">
        <f>D23-L23-M23-N23</f>
        <v>0</v>
      </c>
      <c r="P23" s="14">
        <f>G23-L23</f>
        <v>124137.34000000008</v>
      </c>
      <c r="Q23" s="14"/>
      <c r="R23" s="14"/>
      <c r="S23" s="14">
        <f t="shared" si="1"/>
        <v>0</v>
      </c>
      <c r="T23" s="14">
        <f t="shared" si="6"/>
        <v>0</v>
      </c>
      <c r="U23" s="14">
        <f t="shared" si="2"/>
        <v>0</v>
      </c>
      <c r="V23" s="14"/>
      <c r="W23" s="14">
        <f t="shared" si="7"/>
        <v>0</v>
      </c>
      <c r="X23" s="14"/>
      <c r="Y23" s="14"/>
      <c r="Z23" s="13"/>
      <c r="AA23" s="101">
        <v>742000</v>
      </c>
      <c r="AB23" s="57"/>
      <c r="AC23" s="57"/>
      <c r="AD23" s="55"/>
      <c r="AE23" s="55"/>
      <c r="AF23" s="57"/>
      <c r="AG23" s="57"/>
      <c r="AH23" s="55"/>
    </row>
    <row r="24" spans="1:34" s="15" customFormat="1">
      <c r="A24" s="13">
        <f t="shared" si="3"/>
        <v>19</v>
      </c>
      <c r="B24" s="13">
        <v>1489</v>
      </c>
      <c r="C24" s="13" t="s">
        <v>470</v>
      </c>
      <c r="D24" s="14">
        <v>46200000</v>
      </c>
      <c r="E24" s="14">
        <v>46200000</v>
      </c>
      <c r="F24" s="14">
        <f t="shared" si="0"/>
        <v>0</v>
      </c>
      <c r="G24" s="14">
        <f>27550000+1950000</f>
        <v>29500000</v>
      </c>
      <c r="H24" s="14">
        <v>26174322.010000002</v>
      </c>
      <c r="I24" s="14"/>
      <c r="J24" s="14">
        <v>3099914.6</v>
      </c>
      <c r="K24" s="14">
        <f t="shared" si="4"/>
        <v>3099914.6</v>
      </c>
      <c r="L24" s="14">
        <f t="shared" si="5"/>
        <v>29274236.610000003</v>
      </c>
      <c r="M24" s="14">
        <f t="shared" si="8"/>
        <v>225763.38999999687</v>
      </c>
      <c r="N24" s="14">
        <v>4000000</v>
      </c>
      <c r="O24" s="14">
        <f t="shared" si="9"/>
        <v>12700000</v>
      </c>
      <c r="P24" s="14">
        <f t="shared" si="10"/>
        <v>225763.38999999687</v>
      </c>
      <c r="Q24" s="14"/>
      <c r="R24" s="14"/>
      <c r="S24" s="14">
        <f t="shared" si="1"/>
        <v>0</v>
      </c>
      <c r="T24" s="14">
        <f t="shared" si="6"/>
        <v>0</v>
      </c>
      <c r="U24" s="14">
        <f t="shared" si="2"/>
        <v>4000000</v>
      </c>
      <c r="V24" s="14">
        <v>2000000</v>
      </c>
      <c r="W24" s="14">
        <f t="shared" si="7"/>
        <v>2000000</v>
      </c>
      <c r="X24" s="14"/>
      <c r="Y24" s="14"/>
      <c r="Z24" s="13"/>
      <c r="AA24" s="101">
        <v>742000</v>
      </c>
      <c r="AB24" s="57"/>
      <c r="AC24" s="57"/>
      <c r="AD24" s="55"/>
      <c r="AE24" s="55"/>
      <c r="AF24" s="57"/>
      <c r="AG24" s="57"/>
      <c r="AH24" s="55"/>
    </row>
    <row r="25" spans="1:34" s="15" customFormat="1">
      <c r="A25" s="13">
        <f t="shared" si="3"/>
        <v>20</v>
      </c>
      <c r="B25" s="13">
        <v>1560</v>
      </c>
      <c r="C25" s="13" t="s">
        <v>100</v>
      </c>
      <c r="D25" s="14">
        <v>3660000</v>
      </c>
      <c r="E25" s="14">
        <v>3660000</v>
      </c>
      <c r="F25" s="14">
        <f t="shared" si="0"/>
        <v>0</v>
      </c>
      <c r="G25" s="14">
        <v>2860000</v>
      </c>
      <c r="H25" s="14">
        <v>1941360.76</v>
      </c>
      <c r="I25" s="14">
        <v>495495</v>
      </c>
      <c r="J25" s="14">
        <v>323251</v>
      </c>
      <c r="K25" s="14">
        <f t="shared" si="4"/>
        <v>818746</v>
      </c>
      <c r="L25" s="14">
        <f t="shared" si="5"/>
        <v>2760106.76</v>
      </c>
      <c r="M25" s="14">
        <f t="shared" si="8"/>
        <v>99893.240000000224</v>
      </c>
      <c r="N25" s="14">
        <v>400000</v>
      </c>
      <c r="O25" s="14">
        <f t="shared" si="9"/>
        <v>400000</v>
      </c>
      <c r="P25" s="14">
        <f t="shared" si="10"/>
        <v>99893.240000000224</v>
      </c>
      <c r="Q25" s="14"/>
      <c r="R25" s="14"/>
      <c r="S25" s="14">
        <f t="shared" si="1"/>
        <v>0</v>
      </c>
      <c r="T25" s="14">
        <f t="shared" si="6"/>
        <v>0</v>
      </c>
      <c r="U25" s="14">
        <f t="shared" si="2"/>
        <v>400000</v>
      </c>
      <c r="V25" s="14"/>
      <c r="W25" s="14">
        <f t="shared" si="7"/>
        <v>400000</v>
      </c>
      <c r="X25" s="14"/>
      <c r="Y25" s="14"/>
      <c r="Z25" s="13"/>
      <c r="AA25" s="101">
        <v>746000</v>
      </c>
      <c r="AB25" s="57"/>
      <c r="AC25" s="57"/>
      <c r="AD25" s="55"/>
      <c r="AE25" s="55"/>
      <c r="AF25" s="57"/>
      <c r="AG25" s="57"/>
      <c r="AH25" s="55"/>
    </row>
    <row r="26" spans="1:34" s="15" customFormat="1" ht="30">
      <c r="A26" s="13">
        <f t="shared" si="3"/>
        <v>21</v>
      </c>
      <c r="B26" s="13">
        <v>1636</v>
      </c>
      <c r="C26" s="13" t="s">
        <v>431</v>
      </c>
      <c r="D26" s="14">
        <f>12450000-12200000</f>
        <v>250000</v>
      </c>
      <c r="E26" s="14">
        <v>12450000</v>
      </c>
      <c r="F26" s="14">
        <f t="shared" si="0"/>
        <v>-12200000</v>
      </c>
      <c r="G26" s="14">
        <v>250000</v>
      </c>
      <c r="H26" s="14">
        <v>203882</v>
      </c>
      <c r="I26" s="14"/>
      <c r="J26" s="14">
        <v>29662</v>
      </c>
      <c r="K26" s="14">
        <f t="shared" si="4"/>
        <v>29662</v>
      </c>
      <c r="L26" s="14">
        <f t="shared" si="5"/>
        <v>233544</v>
      </c>
      <c r="M26" s="14">
        <f t="shared" si="8"/>
        <v>16456</v>
      </c>
      <c r="N26" s="14"/>
      <c r="O26" s="14">
        <f t="shared" si="9"/>
        <v>0</v>
      </c>
      <c r="P26" s="14">
        <f t="shared" si="10"/>
        <v>16456</v>
      </c>
      <c r="Q26" s="14"/>
      <c r="R26" s="14"/>
      <c r="S26" s="14">
        <f t="shared" si="1"/>
        <v>0</v>
      </c>
      <c r="T26" s="14">
        <f t="shared" si="6"/>
        <v>0</v>
      </c>
      <c r="U26" s="14">
        <f t="shared" si="2"/>
        <v>0</v>
      </c>
      <c r="V26" s="14"/>
      <c r="W26" s="14">
        <f>U26-V26-Y26-Z26</f>
        <v>0</v>
      </c>
      <c r="X26" s="14"/>
      <c r="Y26" s="14"/>
      <c r="Z26" s="13"/>
      <c r="AA26" s="101">
        <v>870000</v>
      </c>
      <c r="AB26" s="57"/>
      <c r="AC26" s="57"/>
      <c r="AD26" s="55"/>
      <c r="AE26" s="55"/>
      <c r="AF26" s="57"/>
      <c r="AG26" s="57"/>
      <c r="AH26" s="55"/>
    </row>
    <row r="27" spans="1:34" s="15" customFormat="1">
      <c r="A27" s="13">
        <f t="shared" si="3"/>
        <v>22</v>
      </c>
      <c r="B27" s="13">
        <v>1662</v>
      </c>
      <c r="C27" s="13" t="s">
        <v>298</v>
      </c>
      <c r="D27" s="14">
        <v>815000</v>
      </c>
      <c r="E27" s="14">
        <v>525000</v>
      </c>
      <c r="F27" s="14">
        <f t="shared" si="0"/>
        <v>290000</v>
      </c>
      <c r="G27" s="14">
        <v>425000</v>
      </c>
      <c r="H27" s="14">
        <v>17032.57</v>
      </c>
      <c r="I27" s="14"/>
      <c r="J27" s="14">
        <v>179315</v>
      </c>
      <c r="K27" s="14">
        <f t="shared" si="4"/>
        <v>179315</v>
      </c>
      <c r="L27" s="14">
        <f t="shared" si="5"/>
        <v>196347.57</v>
      </c>
      <c r="M27" s="14">
        <f t="shared" si="8"/>
        <v>228652.43</v>
      </c>
      <c r="N27" s="14">
        <v>390000</v>
      </c>
      <c r="O27" s="14">
        <f t="shared" si="9"/>
        <v>0</v>
      </c>
      <c r="P27" s="14">
        <f t="shared" si="10"/>
        <v>228652.43</v>
      </c>
      <c r="Q27" s="14"/>
      <c r="R27" s="14"/>
      <c r="S27" s="14">
        <f t="shared" si="1"/>
        <v>0</v>
      </c>
      <c r="T27" s="14">
        <f t="shared" si="6"/>
        <v>0</v>
      </c>
      <c r="U27" s="14">
        <f t="shared" si="2"/>
        <v>390000</v>
      </c>
      <c r="V27" s="14"/>
      <c r="W27" s="14">
        <f t="shared" si="7"/>
        <v>390000</v>
      </c>
      <c r="X27" s="14"/>
      <c r="Y27" s="14"/>
      <c r="Z27" s="13"/>
      <c r="AA27" s="101">
        <v>870000</v>
      </c>
      <c r="AB27" s="57"/>
      <c r="AC27" s="57"/>
      <c r="AD27" s="55"/>
      <c r="AE27" s="55"/>
      <c r="AF27" s="57"/>
      <c r="AG27" s="57"/>
      <c r="AH27" s="55"/>
    </row>
    <row r="28" spans="1:34" s="15" customFormat="1">
      <c r="A28" s="13">
        <f t="shared" si="3"/>
        <v>23</v>
      </c>
      <c r="B28" s="13">
        <v>1676</v>
      </c>
      <c r="C28" s="13" t="s">
        <v>390</v>
      </c>
      <c r="D28" s="14">
        <v>43215000</v>
      </c>
      <c r="E28" s="14">
        <v>43215000</v>
      </c>
      <c r="F28" s="14">
        <f t="shared" si="0"/>
        <v>0</v>
      </c>
      <c r="G28" s="14">
        <v>43215000</v>
      </c>
      <c r="H28" s="14">
        <v>42364741</v>
      </c>
      <c r="I28" s="14">
        <v>209870.43</v>
      </c>
      <c r="J28" s="14"/>
      <c r="K28" s="14">
        <f t="shared" si="4"/>
        <v>209870.43</v>
      </c>
      <c r="L28" s="14">
        <f t="shared" si="5"/>
        <v>42574611.43</v>
      </c>
      <c r="M28" s="14">
        <f t="shared" si="8"/>
        <v>640388.5700000003</v>
      </c>
      <c r="N28" s="14"/>
      <c r="O28" s="14">
        <f t="shared" si="9"/>
        <v>0</v>
      </c>
      <c r="P28" s="14">
        <f t="shared" si="10"/>
        <v>640388.5700000003</v>
      </c>
      <c r="Q28" s="14"/>
      <c r="R28" s="14"/>
      <c r="S28" s="14">
        <f t="shared" si="1"/>
        <v>0</v>
      </c>
      <c r="T28" s="14">
        <f t="shared" si="6"/>
        <v>0</v>
      </c>
      <c r="U28" s="14">
        <f t="shared" si="2"/>
        <v>0</v>
      </c>
      <c r="V28" s="14"/>
      <c r="W28" s="14">
        <f t="shared" si="7"/>
        <v>0</v>
      </c>
      <c r="X28" s="14"/>
      <c r="Y28" s="14"/>
      <c r="Z28" s="13"/>
      <c r="AA28" s="101">
        <v>810000</v>
      </c>
      <c r="AB28" s="57"/>
      <c r="AC28" s="57"/>
      <c r="AD28" s="55"/>
      <c r="AE28" s="55"/>
      <c r="AF28" s="57"/>
      <c r="AG28" s="57"/>
      <c r="AH28" s="55"/>
    </row>
    <row r="29" spans="1:34" s="15" customFormat="1">
      <c r="A29" s="13">
        <f t="shared" si="3"/>
        <v>24</v>
      </c>
      <c r="B29" s="13">
        <v>1677</v>
      </c>
      <c r="C29" s="13" t="s">
        <v>102</v>
      </c>
      <c r="D29" s="14">
        <v>19000000</v>
      </c>
      <c r="E29" s="14">
        <v>19000000</v>
      </c>
      <c r="F29" s="14">
        <f t="shared" si="0"/>
        <v>0</v>
      </c>
      <c r="G29" s="14">
        <v>19000000</v>
      </c>
      <c r="H29" s="14">
        <v>17457009.460000001</v>
      </c>
      <c r="I29" s="14">
        <v>397067.78</v>
      </c>
      <c r="J29" s="14">
        <v>1025254.45</v>
      </c>
      <c r="K29" s="14">
        <f t="shared" si="4"/>
        <v>1422322.23</v>
      </c>
      <c r="L29" s="14">
        <f t="shared" si="5"/>
        <v>18879331.690000001</v>
      </c>
      <c r="M29" s="14">
        <f t="shared" si="8"/>
        <v>120668.30999999866</v>
      </c>
      <c r="N29" s="14"/>
      <c r="O29" s="14">
        <f t="shared" si="9"/>
        <v>0</v>
      </c>
      <c r="P29" s="14">
        <f t="shared" si="10"/>
        <v>120668.30999999866</v>
      </c>
      <c r="Q29" s="14"/>
      <c r="R29" s="14"/>
      <c r="S29" s="14">
        <f t="shared" si="1"/>
        <v>0</v>
      </c>
      <c r="T29" s="14">
        <f t="shared" si="6"/>
        <v>0</v>
      </c>
      <c r="U29" s="14">
        <f t="shared" si="2"/>
        <v>0</v>
      </c>
      <c r="V29" s="14"/>
      <c r="W29" s="14">
        <f t="shared" si="7"/>
        <v>0</v>
      </c>
      <c r="X29" s="14"/>
      <c r="Y29" s="14"/>
      <c r="Z29" s="13"/>
      <c r="AA29" s="101">
        <v>810000</v>
      </c>
      <c r="AB29" s="57"/>
      <c r="AC29" s="57"/>
      <c r="AD29" s="55"/>
      <c r="AE29" s="55"/>
      <c r="AF29" s="57"/>
      <c r="AG29" s="57"/>
      <c r="AH29" s="55"/>
    </row>
    <row r="30" spans="1:34" s="15" customFormat="1">
      <c r="A30" s="13">
        <f t="shared" si="3"/>
        <v>25</v>
      </c>
      <c r="B30" s="13">
        <v>1691</v>
      </c>
      <c r="C30" s="13" t="s">
        <v>391</v>
      </c>
      <c r="D30" s="14">
        <v>210000</v>
      </c>
      <c r="E30" s="14">
        <v>210000</v>
      </c>
      <c r="F30" s="14">
        <f t="shared" si="0"/>
        <v>0</v>
      </c>
      <c r="G30" s="14">
        <v>210000</v>
      </c>
      <c r="H30" s="14">
        <v>184253.53</v>
      </c>
      <c r="I30" s="14"/>
      <c r="J30" s="14"/>
      <c r="K30" s="14">
        <f t="shared" si="4"/>
        <v>0</v>
      </c>
      <c r="L30" s="14">
        <f t="shared" si="5"/>
        <v>184253.53</v>
      </c>
      <c r="M30" s="14">
        <f t="shared" si="8"/>
        <v>25746.47</v>
      </c>
      <c r="N30" s="14"/>
      <c r="O30" s="14">
        <f t="shared" si="9"/>
        <v>0</v>
      </c>
      <c r="P30" s="14">
        <f t="shared" si="10"/>
        <v>25746.47</v>
      </c>
      <c r="Q30" s="14"/>
      <c r="R30" s="14"/>
      <c r="S30" s="14">
        <f t="shared" si="1"/>
        <v>0</v>
      </c>
      <c r="T30" s="14">
        <f t="shared" si="6"/>
        <v>0</v>
      </c>
      <c r="U30" s="14">
        <f t="shared" si="2"/>
        <v>0</v>
      </c>
      <c r="V30" s="14"/>
      <c r="W30" s="14">
        <f>U30-V30-Y30-Z30</f>
        <v>0</v>
      </c>
      <c r="X30" s="14"/>
      <c r="Y30" s="14"/>
      <c r="Z30" s="13"/>
      <c r="AA30" s="101">
        <v>810000</v>
      </c>
      <c r="AB30" s="57"/>
      <c r="AC30" s="57"/>
      <c r="AD30" s="55"/>
      <c r="AE30" s="55"/>
      <c r="AF30" s="57"/>
      <c r="AG30" s="57"/>
      <c r="AH30" s="55"/>
    </row>
    <row r="31" spans="1:34" s="15" customFormat="1">
      <c r="A31" s="13">
        <f t="shared" si="3"/>
        <v>26</v>
      </c>
      <c r="B31" s="13">
        <v>1711</v>
      </c>
      <c r="C31" s="13" t="s">
        <v>104</v>
      </c>
      <c r="D31" s="14">
        <f>425000+100000</f>
        <v>525000</v>
      </c>
      <c r="E31" s="14">
        <v>425000</v>
      </c>
      <c r="F31" s="14">
        <f t="shared" si="0"/>
        <v>100000</v>
      </c>
      <c r="G31" s="14">
        <v>425000</v>
      </c>
      <c r="H31" s="14">
        <v>244847</v>
      </c>
      <c r="I31" s="14"/>
      <c r="J31" s="14">
        <v>94191</v>
      </c>
      <c r="K31" s="14">
        <f t="shared" si="4"/>
        <v>94191</v>
      </c>
      <c r="L31" s="14">
        <f t="shared" si="5"/>
        <v>339038</v>
      </c>
      <c r="M31" s="14">
        <f t="shared" si="8"/>
        <v>85962</v>
      </c>
      <c r="N31" s="14">
        <v>100000</v>
      </c>
      <c r="O31" s="14">
        <f t="shared" si="9"/>
        <v>0</v>
      </c>
      <c r="P31" s="14">
        <f t="shared" si="10"/>
        <v>85962</v>
      </c>
      <c r="Q31" s="14"/>
      <c r="R31" s="14"/>
      <c r="S31" s="14">
        <f t="shared" si="1"/>
        <v>0</v>
      </c>
      <c r="T31" s="14">
        <f t="shared" si="6"/>
        <v>0</v>
      </c>
      <c r="U31" s="14">
        <f t="shared" si="2"/>
        <v>100000</v>
      </c>
      <c r="V31" s="14">
        <v>50000</v>
      </c>
      <c r="W31" s="14">
        <f t="shared" si="7"/>
        <v>50000</v>
      </c>
      <c r="X31" s="14"/>
      <c r="Y31" s="14"/>
      <c r="Z31" s="13"/>
      <c r="AA31" s="101">
        <v>810000</v>
      </c>
      <c r="AB31" s="57"/>
      <c r="AC31" s="57"/>
      <c r="AD31" s="55"/>
      <c r="AE31" s="55"/>
      <c r="AF31" s="57"/>
      <c r="AG31" s="57"/>
      <c r="AH31" s="55"/>
    </row>
    <row r="32" spans="1:34" s="15" customFormat="1">
      <c r="A32" s="13">
        <f t="shared" si="3"/>
        <v>27</v>
      </c>
      <c r="B32" s="13">
        <v>1767</v>
      </c>
      <c r="C32" s="13" t="s">
        <v>347</v>
      </c>
      <c r="D32" s="14">
        <v>1300000</v>
      </c>
      <c r="E32" s="14">
        <v>1300000</v>
      </c>
      <c r="F32" s="14">
        <f t="shared" si="0"/>
        <v>0</v>
      </c>
      <c r="G32" s="14">
        <v>1300000</v>
      </c>
      <c r="H32" s="14">
        <v>1075110.06</v>
      </c>
      <c r="I32" s="14"/>
      <c r="J32" s="14">
        <v>224000</v>
      </c>
      <c r="K32" s="14">
        <f t="shared" si="4"/>
        <v>224000</v>
      </c>
      <c r="L32" s="14">
        <f t="shared" si="5"/>
        <v>1299110.06</v>
      </c>
      <c r="M32" s="14">
        <f t="shared" si="8"/>
        <v>889.93999999994412</v>
      </c>
      <c r="N32" s="14"/>
      <c r="O32" s="14">
        <f t="shared" si="9"/>
        <v>0</v>
      </c>
      <c r="P32" s="14">
        <f t="shared" si="10"/>
        <v>889.93999999994412</v>
      </c>
      <c r="Q32" s="14"/>
      <c r="R32" s="14"/>
      <c r="S32" s="14">
        <f t="shared" si="1"/>
        <v>0</v>
      </c>
      <c r="T32" s="14">
        <f t="shared" si="6"/>
        <v>0</v>
      </c>
      <c r="U32" s="14">
        <f t="shared" si="2"/>
        <v>0</v>
      </c>
      <c r="V32" s="14"/>
      <c r="W32" s="14">
        <f t="shared" si="7"/>
        <v>0</v>
      </c>
      <c r="X32" s="14"/>
      <c r="Y32" s="14"/>
      <c r="Z32" s="13"/>
      <c r="AA32" s="101">
        <v>810000</v>
      </c>
      <c r="AB32" s="57"/>
      <c r="AC32" s="57"/>
      <c r="AD32" s="55"/>
      <c r="AE32" s="55"/>
      <c r="AF32" s="57"/>
      <c r="AG32" s="57"/>
      <c r="AH32" s="55"/>
    </row>
    <row r="33" spans="1:34" s="15" customFormat="1">
      <c r="A33" s="13">
        <f t="shared" si="3"/>
        <v>28</v>
      </c>
      <c r="B33" s="13">
        <v>1769</v>
      </c>
      <c r="C33" s="13" t="s">
        <v>105</v>
      </c>
      <c r="D33" s="14">
        <v>4870000</v>
      </c>
      <c r="E33" s="14">
        <v>4870000</v>
      </c>
      <c r="F33" s="14">
        <f t="shared" si="0"/>
        <v>0</v>
      </c>
      <c r="G33" s="14">
        <v>4870000</v>
      </c>
      <c r="H33" s="14">
        <v>4649992.74</v>
      </c>
      <c r="I33" s="14">
        <v>183763.5</v>
      </c>
      <c r="J33" s="14"/>
      <c r="K33" s="14">
        <f t="shared" si="4"/>
        <v>183763.5</v>
      </c>
      <c r="L33" s="14">
        <f t="shared" si="5"/>
        <v>4833756.24</v>
      </c>
      <c r="M33" s="14">
        <f t="shared" si="8"/>
        <v>36243.759999999776</v>
      </c>
      <c r="N33" s="14"/>
      <c r="O33" s="14">
        <f t="shared" si="9"/>
        <v>0</v>
      </c>
      <c r="P33" s="14">
        <f t="shared" si="10"/>
        <v>36243.759999999776</v>
      </c>
      <c r="Q33" s="14"/>
      <c r="R33" s="14"/>
      <c r="S33" s="14">
        <f t="shared" si="1"/>
        <v>0</v>
      </c>
      <c r="T33" s="14">
        <f t="shared" si="6"/>
        <v>0</v>
      </c>
      <c r="U33" s="14">
        <f t="shared" si="2"/>
        <v>0</v>
      </c>
      <c r="V33" s="14"/>
      <c r="W33" s="14">
        <f t="shared" si="7"/>
        <v>0</v>
      </c>
      <c r="X33" s="14"/>
      <c r="Y33" s="14"/>
      <c r="Z33" s="13"/>
      <c r="AA33" s="101">
        <v>810000</v>
      </c>
      <c r="AB33" s="57"/>
      <c r="AC33" s="57"/>
      <c r="AD33" s="55"/>
      <c r="AE33" s="55"/>
      <c r="AF33" s="57"/>
      <c r="AG33" s="57"/>
      <c r="AH33" s="55"/>
    </row>
    <row r="34" spans="1:34" s="15" customFormat="1">
      <c r="A34" s="13">
        <f t="shared" si="3"/>
        <v>29</v>
      </c>
      <c r="B34" s="13">
        <v>1770</v>
      </c>
      <c r="C34" s="13" t="s">
        <v>355</v>
      </c>
      <c r="D34" s="14">
        <v>29752105</v>
      </c>
      <c r="E34" s="14">
        <v>29752105</v>
      </c>
      <c r="F34" s="14">
        <f t="shared" si="0"/>
        <v>0</v>
      </c>
      <c r="G34" s="14">
        <f>29520000+232105</f>
        <v>29752105</v>
      </c>
      <c r="H34" s="14">
        <v>23120463.469999999</v>
      </c>
      <c r="I34" s="14">
        <v>3163571.7</v>
      </c>
      <c r="J34" s="14">
        <v>2473363.66</v>
      </c>
      <c r="K34" s="14">
        <f t="shared" si="4"/>
        <v>5636935.3600000003</v>
      </c>
      <c r="L34" s="14">
        <f t="shared" si="5"/>
        <v>28757398.829999998</v>
      </c>
      <c r="M34" s="14">
        <f t="shared" si="8"/>
        <v>994706.17000000179</v>
      </c>
      <c r="N34" s="14"/>
      <c r="O34" s="14">
        <f t="shared" si="9"/>
        <v>0</v>
      </c>
      <c r="P34" s="14">
        <f t="shared" si="10"/>
        <v>994706.17000000179</v>
      </c>
      <c r="Q34" s="14"/>
      <c r="R34" s="14"/>
      <c r="S34" s="14">
        <f t="shared" si="1"/>
        <v>0</v>
      </c>
      <c r="T34" s="14">
        <f t="shared" si="6"/>
        <v>0</v>
      </c>
      <c r="U34" s="14">
        <f t="shared" si="2"/>
        <v>0</v>
      </c>
      <c r="V34" s="14"/>
      <c r="W34" s="14">
        <f t="shared" si="7"/>
        <v>0</v>
      </c>
      <c r="X34" s="14"/>
      <c r="Y34" s="14"/>
      <c r="Z34" s="13"/>
      <c r="AA34" s="101">
        <v>810000</v>
      </c>
      <c r="AB34" s="57"/>
      <c r="AC34" s="57"/>
      <c r="AD34" s="55"/>
      <c r="AE34" s="55"/>
      <c r="AF34" s="57"/>
      <c r="AG34" s="57"/>
      <c r="AH34" s="55"/>
    </row>
    <row r="35" spans="1:34" s="15" customFormat="1">
      <c r="A35" s="13">
        <f t="shared" si="3"/>
        <v>30</v>
      </c>
      <c r="B35" s="13">
        <v>1773</v>
      </c>
      <c r="C35" s="13" t="s">
        <v>222</v>
      </c>
      <c r="D35" s="14">
        <v>1500000</v>
      </c>
      <c r="E35" s="14">
        <v>1000000</v>
      </c>
      <c r="F35" s="14">
        <f t="shared" si="0"/>
        <v>500000</v>
      </c>
      <c r="G35" s="14">
        <v>500000</v>
      </c>
      <c r="H35" s="14">
        <v>119925</v>
      </c>
      <c r="I35" s="14"/>
      <c r="J35" s="14"/>
      <c r="K35" s="14">
        <f t="shared" si="4"/>
        <v>0</v>
      </c>
      <c r="L35" s="14">
        <f t="shared" si="5"/>
        <v>119925</v>
      </c>
      <c r="M35" s="14">
        <f t="shared" si="8"/>
        <v>380075</v>
      </c>
      <c r="N35" s="14">
        <v>500000</v>
      </c>
      <c r="O35" s="14">
        <f t="shared" si="9"/>
        <v>500000</v>
      </c>
      <c r="P35" s="14">
        <f t="shared" si="10"/>
        <v>380075</v>
      </c>
      <c r="Q35" s="14"/>
      <c r="R35" s="14"/>
      <c r="S35" s="14">
        <f t="shared" si="1"/>
        <v>0</v>
      </c>
      <c r="T35" s="14">
        <f t="shared" si="6"/>
        <v>0</v>
      </c>
      <c r="U35" s="14">
        <f t="shared" si="2"/>
        <v>500000</v>
      </c>
      <c r="V35" s="14">
        <v>500000</v>
      </c>
      <c r="W35" s="14">
        <f t="shared" si="7"/>
        <v>0</v>
      </c>
      <c r="X35" s="14"/>
      <c r="Y35" s="14"/>
      <c r="Z35" s="13"/>
      <c r="AA35" s="101">
        <v>746000</v>
      </c>
      <c r="AB35" s="57"/>
      <c r="AC35" s="57"/>
      <c r="AD35" s="55"/>
      <c r="AE35" s="55"/>
      <c r="AF35" s="57"/>
      <c r="AG35" s="57"/>
      <c r="AH35" s="55"/>
    </row>
    <row r="36" spans="1:34" s="15" customFormat="1">
      <c r="A36" s="13">
        <f t="shared" si="3"/>
        <v>31</v>
      </c>
      <c r="B36" s="13">
        <v>1794</v>
      </c>
      <c r="C36" s="13" t="s">
        <v>242</v>
      </c>
      <c r="D36" s="14">
        <v>850000</v>
      </c>
      <c r="E36" s="14">
        <v>850000</v>
      </c>
      <c r="F36" s="14">
        <f t="shared" si="0"/>
        <v>0</v>
      </c>
      <c r="G36" s="14">
        <v>850000</v>
      </c>
      <c r="H36" s="14">
        <v>0</v>
      </c>
      <c r="I36" s="14">
        <v>93600</v>
      </c>
      <c r="J36" s="14"/>
      <c r="K36" s="14">
        <f t="shared" si="4"/>
        <v>93600</v>
      </c>
      <c r="L36" s="14">
        <f t="shared" si="5"/>
        <v>93600</v>
      </c>
      <c r="M36" s="14">
        <f t="shared" si="8"/>
        <v>756400</v>
      </c>
      <c r="N36" s="14"/>
      <c r="O36" s="14">
        <f t="shared" si="9"/>
        <v>0</v>
      </c>
      <c r="P36" s="14">
        <f t="shared" si="10"/>
        <v>756400</v>
      </c>
      <c r="Q36" s="14"/>
      <c r="R36" s="14"/>
      <c r="S36" s="14">
        <f t="shared" si="1"/>
        <v>0</v>
      </c>
      <c r="T36" s="14">
        <f t="shared" si="6"/>
        <v>0</v>
      </c>
      <c r="U36" s="14">
        <f t="shared" si="2"/>
        <v>0</v>
      </c>
      <c r="V36" s="14"/>
      <c r="W36" s="14">
        <f t="shared" si="7"/>
        <v>0</v>
      </c>
      <c r="X36" s="14"/>
      <c r="Y36" s="14"/>
      <c r="Z36" s="13"/>
      <c r="AA36" s="101">
        <v>850000</v>
      </c>
      <c r="AB36" s="57"/>
      <c r="AC36" s="57"/>
      <c r="AD36" s="55"/>
      <c r="AE36" s="55"/>
      <c r="AF36" s="57"/>
      <c r="AG36" s="57"/>
      <c r="AH36" s="55"/>
    </row>
    <row r="37" spans="1:34" s="15" customFormat="1">
      <c r="A37" s="13">
        <f t="shared" si="3"/>
        <v>32</v>
      </c>
      <c r="B37" s="13">
        <v>1795</v>
      </c>
      <c r="C37" s="13" t="s">
        <v>243</v>
      </c>
      <c r="D37" s="14">
        <v>1268000</v>
      </c>
      <c r="E37" s="14">
        <v>1268000</v>
      </c>
      <c r="F37" s="14">
        <f t="shared" si="0"/>
        <v>0</v>
      </c>
      <c r="G37" s="14">
        <v>1268000</v>
      </c>
      <c r="H37" s="14">
        <v>1250148</v>
      </c>
      <c r="I37" s="14"/>
      <c r="J37" s="14"/>
      <c r="K37" s="14">
        <f t="shared" si="4"/>
        <v>0</v>
      </c>
      <c r="L37" s="14">
        <f t="shared" si="5"/>
        <v>1250148</v>
      </c>
      <c r="M37" s="14">
        <f t="shared" si="8"/>
        <v>17852</v>
      </c>
      <c r="N37" s="14"/>
      <c r="O37" s="14">
        <f t="shared" si="9"/>
        <v>0</v>
      </c>
      <c r="P37" s="14">
        <f t="shared" si="10"/>
        <v>17852</v>
      </c>
      <c r="Q37" s="14"/>
      <c r="R37" s="14"/>
      <c r="S37" s="14">
        <f t="shared" si="1"/>
        <v>0</v>
      </c>
      <c r="T37" s="14">
        <f t="shared" si="6"/>
        <v>0</v>
      </c>
      <c r="U37" s="14">
        <f t="shared" si="2"/>
        <v>0</v>
      </c>
      <c r="V37" s="14"/>
      <c r="W37" s="14">
        <f>U37-V37-Y37-Z37</f>
        <v>0</v>
      </c>
      <c r="X37" s="14"/>
      <c r="Y37" s="14"/>
      <c r="Z37" s="13"/>
      <c r="AA37" s="101">
        <v>870000</v>
      </c>
      <c r="AB37" s="57"/>
      <c r="AC37" s="57"/>
      <c r="AD37" s="55"/>
      <c r="AE37" s="55"/>
      <c r="AF37" s="57"/>
      <c r="AG37" s="57"/>
      <c r="AH37" s="55"/>
    </row>
    <row r="38" spans="1:34" s="15" customFormat="1">
      <c r="A38" s="13">
        <f t="shared" si="3"/>
        <v>33</v>
      </c>
      <c r="B38" s="13">
        <v>1821</v>
      </c>
      <c r="C38" s="13" t="s">
        <v>279</v>
      </c>
      <c r="D38" s="14">
        <v>170000</v>
      </c>
      <c r="E38" s="14">
        <v>170000</v>
      </c>
      <c r="F38" s="14">
        <f t="shared" si="0"/>
        <v>0</v>
      </c>
      <c r="G38" s="14">
        <v>170000</v>
      </c>
      <c r="H38" s="14">
        <v>128701</v>
      </c>
      <c r="I38" s="14"/>
      <c r="J38" s="14"/>
      <c r="K38" s="14">
        <f t="shared" si="4"/>
        <v>0</v>
      </c>
      <c r="L38" s="14">
        <f t="shared" si="5"/>
        <v>128701</v>
      </c>
      <c r="M38" s="14">
        <f t="shared" si="8"/>
        <v>41299</v>
      </c>
      <c r="N38" s="14"/>
      <c r="O38" s="14">
        <f t="shared" si="9"/>
        <v>0</v>
      </c>
      <c r="P38" s="14">
        <f t="shared" si="10"/>
        <v>41299</v>
      </c>
      <c r="Q38" s="14"/>
      <c r="R38" s="14"/>
      <c r="S38" s="14">
        <f t="shared" si="1"/>
        <v>0</v>
      </c>
      <c r="T38" s="14">
        <f t="shared" si="6"/>
        <v>0</v>
      </c>
      <c r="U38" s="14">
        <f t="shared" si="2"/>
        <v>0</v>
      </c>
      <c r="V38" s="14"/>
      <c r="W38" s="14">
        <f t="shared" si="7"/>
        <v>0</v>
      </c>
      <c r="X38" s="14"/>
      <c r="Y38" s="14"/>
      <c r="Z38" s="13"/>
      <c r="AA38" s="663">
        <v>810000</v>
      </c>
      <c r="AB38" s="57"/>
      <c r="AC38" s="57"/>
      <c r="AD38" s="55"/>
      <c r="AE38" s="55"/>
      <c r="AF38" s="57"/>
      <c r="AG38" s="57"/>
      <c r="AH38" s="55"/>
    </row>
    <row r="39" spans="1:34" s="15" customFormat="1">
      <c r="A39" s="13">
        <f t="shared" si="3"/>
        <v>34</v>
      </c>
      <c r="B39" s="13">
        <v>1848</v>
      </c>
      <c r="C39" s="13" t="s">
        <v>280</v>
      </c>
      <c r="D39" s="14">
        <f>500000+100000</f>
        <v>600000</v>
      </c>
      <c r="E39" s="14">
        <v>500000</v>
      </c>
      <c r="F39" s="14">
        <f t="shared" si="0"/>
        <v>100000</v>
      </c>
      <c r="G39" s="14">
        <f>250000+50000</f>
        <v>300000</v>
      </c>
      <c r="H39" s="14">
        <v>68444.479999999996</v>
      </c>
      <c r="I39" s="14"/>
      <c r="J39" s="14">
        <v>174758</v>
      </c>
      <c r="K39" s="14">
        <f t="shared" si="4"/>
        <v>174758</v>
      </c>
      <c r="L39" s="14">
        <f t="shared" si="5"/>
        <v>243202.47999999998</v>
      </c>
      <c r="M39" s="14">
        <f t="shared" si="8"/>
        <v>56797.520000000019</v>
      </c>
      <c r="N39" s="14">
        <v>200000</v>
      </c>
      <c r="O39" s="14">
        <f t="shared" si="9"/>
        <v>100000</v>
      </c>
      <c r="P39" s="14">
        <f t="shared" si="10"/>
        <v>56797.520000000019</v>
      </c>
      <c r="Q39" s="14">
        <f>50000-50000</f>
        <v>0</v>
      </c>
      <c r="R39" s="14"/>
      <c r="S39" s="14"/>
      <c r="T39" s="14">
        <f t="shared" si="6"/>
        <v>0</v>
      </c>
      <c r="U39" s="14">
        <f t="shared" si="2"/>
        <v>200000</v>
      </c>
      <c r="V39" s="14"/>
      <c r="W39" s="14">
        <f t="shared" si="7"/>
        <v>200000</v>
      </c>
      <c r="X39" s="14"/>
      <c r="Y39" s="14"/>
      <c r="Z39" s="13"/>
      <c r="AA39" s="101">
        <v>742000</v>
      </c>
      <c r="AB39" s="57"/>
      <c r="AC39" s="57"/>
      <c r="AD39" s="55"/>
      <c r="AE39" s="55"/>
      <c r="AF39" s="57"/>
      <c r="AG39" s="57"/>
      <c r="AH39" s="55"/>
    </row>
    <row r="40" spans="1:34" s="15" customFormat="1">
      <c r="A40" s="13">
        <f t="shared" si="3"/>
        <v>35</v>
      </c>
      <c r="B40" s="13">
        <v>1849</v>
      </c>
      <c r="C40" s="69" t="s">
        <v>432</v>
      </c>
      <c r="D40" s="14">
        <v>1400000</v>
      </c>
      <c r="E40" s="14">
        <v>1400000</v>
      </c>
      <c r="F40" s="14">
        <f t="shared" si="0"/>
        <v>0</v>
      </c>
      <c r="G40" s="14">
        <v>900000</v>
      </c>
      <c r="H40" s="14">
        <v>263880.67</v>
      </c>
      <c r="I40" s="14"/>
      <c r="J40" s="14"/>
      <c r="K40" s="14">
        <f t="shared" si="4"/>
        <v>0</v>
      </c>
      <c r="L40" s="14">
        <f t="shared" si="5"/>
        <v>263880.67</v>
      </c>
      <c r="M40" s="14">
        <f t="shared" si="8"/>
        <v>636119.33000000007</v>
      </c>
      <c r="N40" s="14">
        <v>400000</v>
      </c>
      <c r="O40" s="14">
        <f t="shared" si="9"/>
        <v>100000</v>
      </c>
      <c r="P40" s="14">
        <f t="shared" si="10"/>
        <v>636119.33000000007</v>
      </c>
      <c r="Q40" s="14"/>
      <c r="R40" s="14"/>
      <c r="S40" s="14">
        <f t="shared" si="1"/>
        <v>0</v>
      </c>
      <c r="T40" s="14">
        <f t="shared" si="6"/>
        <v>0</v>
      </c>
      <c r="U40" s="14">
        <f t="shared" si="2"/>
        <v>400000</v>
      </c>
      <c r="V40" s="14">
        <v>400000</v>
      </c>
      <c r="W40" s="14">
        <f t="shared" si="7"/>
        <v>0</v>
      </c>
      <c r="X40" s="14"/>
      <c r="Y40" s="14"/>
      <c r="Z40" s="13"/>
      <c r="AA40" s="101">
        <v>743000</v>
      </c>
      <c r="AB40" s="57"/>
      <c r="AC40" s="57"/>
      <c r="AD40" s="55"/>
      <c r="AE40" s="55"/>
      <c r="AF40" s="55"/>
      <c r="AG40" s="55"/>
      <c r="AH40" s="55"/>
    </row>
    <row r="41" spans="1:34" s="15" customFormat="1">
      <c r="A41" s="13">
        <f t="shared" si="3"/>
        <v>36</v>
      </c>
      <c r="B41" s="13">
        <v>1850</v>
      </c>
      <c r="C41" s="13" t="s">
        <v>281</v>
      </c>
      <c r="D41" s="14">
        <v>14600000</v>
      </c>
      <c r="E41" s="14">
        <v>14600000</v>
      </c>
      <c r="F41" s="14">
        <f t="shared" si="0"/>
        <v>0</v>
      </c>
      <c r="G41" s="14">
        <f>850000+1500000</f>
        <v>2350000</v>
      </c>
      <c r="H41" s="14">
        <v>175101.91</v>
      </c>
      <c r="I41" s="14"/>
      <c r="J41" s="14">
        <v>627020.53</v>
      </c>
      <c r="K41" s="14">
        <f t="shared" si="4"/>
        <v>627020.53</v>
      </c>
      <c r="L41" s="14">
        <f t="shared" si="5"/>
        <v>802122.44000000006</v>
      </c>
      <c r="M41" s="14">
        <f t="shared" si="8"/>
        <v>2477877.56</v>
      </c>
      <c r="N41" s="14">
        <f>2500000-1000000</f>
        <v>1500000</v>
      </c>
      <c r="O41" s="14">
        <f t="shared" si="9"/>
        <v>9820000</v>
      </c>
      <c r="P41" s="14">
        <f t="shared" si="10"/>
        <v>1547877.56</v>
      </c>
      <c r="Q41" s="14">
        <f>1500000+930000-1500000</f>
        <v>930000</v>
      </c>
      <c r="R41" s="14"/>
      <c r="S41" s="14">
        <f t="shared" si="1"/>
        <v>930000</v>
      </c>
      <c r="T41" s="14">
        <f t="shared" si="6"/>
        <v>0</v>
      </c>
      <c r="U41" s="14">
        <f t="shared" si="2"/>
        <v>1500000</v>
      </c>
      <c r="V41" s="14">
        <v>1000000</v>
      </c>
      <c r="W41" s="14">
        <f t="shared" si="7"/>
        <v>500000</v>
      </c>
      <c r="X41" s="14"/>
      <c r="Y41" s="14"/>
      <c r="Z41" s="13"/>
      <c r="AA41" s="101">
        <v>810000</v>
      </c>
      <c r="AB41" s="57"/>
      <c r="AC41" s="57"/>
      <c r="AD41" s="55"/>
      <c r="AE41" s="55"/>
      <c r="AF41" s="55"/>
      <c r="AG41" s="55"/>
      <c r="AH41" s="55"/>
    </row>
    <row r="42" spans="1:34" s="15" customFormat="1">
      <c r="A42" s="13">
        <f t="shared" si="3"/>
        <v>37</v>
      </c>
      <c r="B42" s="13">
        <v>1851</v>
      </c>
      <c r="C42" s="13" t="s">
        <v>282</v>
      </c>
      <c r="D42" s="14">
        <f>3300000-250000</f>
        <v>3050000</v>
      </c>
      <c r="E42" s="14">
        <v>3300000</v>
      </c>
      <c r="F42" s="14">
        <f t="shared" si="0"/>
        <v>-250000</v>
      </c>
      <c r="G42" s="14">
        <v>3300000</v>
      </c>
      <c r="H42" s="14">
        <v>2985585.59</v>
      </c>
      <c r="I42" s="14">
        <v>47649</v>
      </c>
      <c r="J42" s="14"/>
      <c r="K42" s="14">
        <f t="shared" si="4"/>
        <v>47649</v>
      </c>
      <c r="L42" s="14">
        <f t="shared" si="5"/>
        <v>3033234.59</v>
      </c>
      <c r="M42" s="14">
        <f>P42+S42-250000</f>
        <v>16765.410000000149</v>
      </c>
      <c r="N42" s="14"/>
      <c r="O42" s="14">
        <f t="shared" si="9"/>
        <v>0</v>
      </c>
      <c r="P42" s="14">
        <f t="shared" si="10"/>
        <v>266765.41000000015</v>
      </c>
      <c r="Q42" s="14"/>
      <c r="R42" s="14"/>
      <c r="S42" s="14">
        <f t="shared" si="1"/>
        <v>0</v>
      </c>
      <c r="T42" s="14">
        <f t="shared" si="6"/>
        <v>250000</v>
      </c>
      <c r="U42" s="14">
        <f t="shared" si="2"/>
        <v>-250000</v>
      </c>
      <c r="V42" s="14"/>
      <c r="W42" s="14">
        <f t="shared" si="7"/>
        <v>-250000</v>
      </c>
      <c r="X42" s="14"/>
      <c r="Y42" s="14"/>
      <c r="Z42" s="13"/>
      <c r="AA42" s="101">
        <v>810000</v>
      </c>
      <c r="AB42" s="57"/>
      <c r="AC42" s="57"/>
      <c r="AD42" s="55"/>
      <c r="AE42" s="55"/>
      <c r="AF42" s="57"/>
      <c r="AG42" s="57"/>
      <c r="AH42" s="55"/>
    </row>
    <row r="43" spans="1:34" s="15" customFormat="1">
      <c r="A43" s="13">
        <f t="shared" si="3"/>
        <v>38</v>
      </c>
      <c r="B43" s="13">
        <v>1853</v>
      </c>
      <c r="C43" s="13" t="s">
        <v>283</v>
      </c>
      <c r="D43" s="14">
        <f>380000-70000</f>
        <v>310000</v>
      </c>
      <c r="E43" s="14">
        <v>310000</v>
      </c>
      <c r="F43" s="14">
        <f t="shared" si="0"/>
        <v>0</v>
      </c>
      <c r="G43" s="14">
        <v>310000</v>
      </c>
      <c r="H43" s="14">
        <v>45951</v>
      </c>
      <c r="I43" s="14">
        <v>5148</v>
      </c>
      <c r="J43" s="14">
        <v>73044.66</v>
      </c>
      <c r="K43" s="14">
        <f t="shared" si="4"/>
        <v>78192.66</v>
      </c>
      <c r="L43" s="14">
        <f t="shared" si="5"/>
        <v>124143.66</v>
      </c>
      <c r="M43" s="14">
        <f t="shared" si="8"/>
        <v>185856.34</v>
      </c>
      <c r="N43" s="14"/>
      <c r="O43" s="14">
        <f t="shared" si="9"/>
        <v>0</v>
      </c>
      <c r="P43" s="14">
        <f t="shared" si="10"/>
        <v>185856.34</v>
      </c>
      <c r="Q43" s="14"/>
      <c r="R43" s="14"/>
      <c r="S43" s="14">
        <f t="shared" si="1"/>
        <v>0</v>
      </c>
      <c r="T43" s="14">
        <f t="shared" si="6"/>
        <v>0</v>
      </c>
      <c r="U43" s="14">
        <f t="shared" si="2"/>
        <v>0</v>
      </c>
      <c r="V43" s="14"/>
      <c r="W43" s="14">
        <f t="shared" si="7"/>
        <v>0</v>
      </c>
      <c r="X43" s="14"/>
      <c r="Y43" s="14"/>
      <c r="Z43" s="13"/>
      <c r="AA43" s="663">
        <v>824000</v>
      </c>
      <c r="AB43" s="57"/>
      <c r="AC43" s="57"/>
      <c r="AD43" s="55"/>
      <c r="AE43" s="55"/>
      <c r="AF43" s="57"/>
      <c r="AG43" s="57"/>
      <c r="AH43" s="55"/>
    </row>
    <row r="44" spans="1:34" s="15" customFormat="1">
      <c r="A44" s="13">
        <f t="shared" si="3"/>
        <v>39</v>
      </c>
      <c r="B44" s="13">
        <v>1855</v>
      </c>
      <c r="C44" s="13" t="s">
        <v>284</v>
      </c>
      <c r="D44" s="14">
        <v>400000</v>
      </c>
      <c r="E44" s="14">
        <v>400000</v>
      </c>
      <c r="F44" s="14">
        <f t="shared" si="0"/>
        <v>0</v>
      </c>
      <c r="G44" s="14">
        <v>400000</v>
      </c>
      <c r="H44" s="14">
        <v>298160.06</v>
      </c>
      <c r="I44" s="14"/>
      <c r="J44" s="14"/>
      <c r="K44" s="14">
        <f t="shared" si="4"/>
        <v>0</v>
      </c>
      <c r="L44" s="14">
        <f t="shared" si="5"/>
        <v>298160.06</v>
      </c>
      <c r="M44" s="14">
        <f t="shared" si="8"/>
        <v>101839.94</v>
      </c>
      <c r="N44" s="14"/>
      <c r="O44" s="14">
        <f t="shared" si="9"/>
        <v>0</v>
      </c>
      <c r="P44" s="14">
        <f t="shared" si="10"/>
        <v>101839.94</v>
      </c>
      <c r="Q44" s="14"/>
      <c r="R44" s="14"/>
      <c r="S44" s="14">
        <f t="shared" si="1"/>
        <v>0</v>
      </c>
      <c r="T44" s="14">
        <f t="shared" si="6"/>
        <v>0</v>
      </c>
      <c r="U44" s="14">
        <f t="shared" si="2"/>
        <v>0</v>
      </c>
      <c r="V44" s="14"/>
      <c r="W44" s="14">
        <f t="shared" si="7"/>
        <v>0</v>
      </c>
      <c r="X44" s="14"/>
      <c r="Y44" s="14"/>
      <c r="Z44" s="13"/>
      <c r="AA44" s="101">
        <v>810000</v>
      </c>
      <c r="AB44" s="57"/>
      <c r="AC44" s="57"/>
      <c r="AD44" s="55"/>
      <c r="AE44" s="55"/>
      <c r="AF44" s="55"/>
      <c r="AG44" s="55"/>
      <c r="AH44" s="55"/>
    </row>
    <row r="45" spans="1:34" s="15" customFormat="1">
      <c r="A45" s="13">
        <f t="shared" si="3"/>
        <v>40</v>
      </c>
      <c r="B45" s="13">
        <v>1856</v>
      </c>
      <c r="C45" s="13" t="s">
        <v>285</v>
      </c>
      <c r="D45" s="14">
        <f>400000-200000</f>
        <v>200000</v>
      </c>
      <c r="E45" s="14">
        <v>200000</v>
      </c>
      <c r="F45" s="14">
        <f t="shared" si="0"/>
        <v>0</v>
      </c>
      <c r="G45" s="14">
        <v>200000</v>
      </c>
      <c r="H45" s="14">
        <v>169286.11</v>
      </c>
      <c r="I45" s="14"/>
      <c r="J45" s="14">
        <v>30691.52</v>
      </c>
      <c r="K45" s="14">
        <f t="shared" si="4"/>
        <v>30691.52</v>
      </c>
      <c r="L45" s="14">
        <f t="shared" si="5"/>
        <v>199977.62999999998</v>
      </c>
      <c r="M45" s="14">
        <f t="shared" si="8"/>
        <v>22.370000000024447</v>
      </c>
      <c r="N45" s="14"/>
      <c r="O45" s="14">
        <f t="shared" si="9"/>
        <v>0</v>
      </c>
      <c r="P45" s="14">
        <f t="shared" si="10"/>
        <v>22.370000000024447</v>
      </c>
      <c r="Q45" s="14"/>
      <c r="R45" s="14"/>
      <c r="S45" s="14">
        <f t="shared" si="1"/>
        <v>0</v>
      </c>
      <c r="T45" s="14">
        <f t="shared" si="6"/>
        <v>0</v>
      </c>
      <c r="U45" s="14">
        <f t="shared" si="2"/>
        <v>0</v>
      </c>
      <c r="V45" s="14"/>
      <c r="W45" s="14">
        <f t="shared" si="7"/>
        <v>0</v>
      </c>
      <c r="X45" s="14"/>
      <c r="Y45" s="14"/>
      <c r="Z45" s="13"/>
      <c r="AA45" s="101">
        <v>810000</v>
      </c>
      <c r="AB45" s="57"/>
      <c r="AC45" s="57"/>
      <c r="AD45" s="55"/>
      <c r="AE45" s="55"/>
      <c r="AF45" s="55"/>
      <c r="AG45" s="55"/>
      <c r="AH45" s="55"/>
    </row>
    <row r="46" spans="1:34" s="15" customFormat="1">
      <c r="A46" s="13">
        <f t="shared" si="3"/>
        <v>41</v>
      </c>
      <c r="B46" s="13">
        <v>1883</v>
      </c>
      <c r="C46" s="13" t="s">
        <v>286</v>
      </c>
      <c r="D46" s="14">
        <v>23500000</v>
      </c>
      <c r="E46" s="14">
        <v>23500000</v>
      </c>
      <c r="F46" s="14">
        <f t="shared" si="0"/>
        <v>0</v>
      </c>
      <c r="G46" s="14">
        <v>16500000</v>
      </c>
      <c r="H46" s="14">
        <v>389885</v>
      </c>
      <c r="I46" s="14">
        <v>15304730.26</v>
      </c>
      <c r="J46" s="14">
        <v>788509</v>
      </c>
      <c r="K46" s="14">
        <f t="shared" si="4"/>
        <v>16093239.26</v>
      </c>
      <c r="L46" s="14">
        <f t="shared" si="5"/>
        <v>16483124.26</v>
      </c>
      <c r="M46" s="14">
        <f t="shared" si="8"/>
        <v>16875.740000000224</v>
      </c>
      <c r="N46" s="14">
        <f>7000000-500000+500000</f>
        <v>7000000</v>
      </c>
      <c r="O46" s="14">
        <f t="shared" si="9"/>
        <v>0</v>
      </c>
      <c r="P46" s="14">
        <f t="shared" si="10"/>
        <v>16875.740000000224</v>
      </c>
      <c r="Q46" s="14"/>
      <c r="R46" s="14"/>
      <c r="S46" s="14">
        <f t="shared" si="1"/>
        <v>0</v>
      </c>
      <c r="T46" s="14">
        <f t="shared" si="6"/>
        <v>0</v>
      </c>
      <c r="U46" s="14">
        <f t="shared" si="2"/>
        <v>7000000</v>
      </c>
      <c r="V46" s="14">
        <f>2500000+2500000</f>
        <v>5000000</v>
      </c>
      <c r="W46" s="14">
        <f>U46-V46-Y46-Z46</f>
        <v>1000000</v>
      </c>
      <c r="X46" s="14"/>
      <c r="Y46" s="14"/>
      <c r="Z46" s="14">
        <v>1000000</v>
      </c>
      <c r="AA46" s="101">
        <v>810000</v>
      </c>
      <c r="AB46" s="57"/>
      <c r="AC46" s="57"/>
      <c r="AD46" s="55"/>
      <c r="AE46" s="55"/>
      <c r="AF46" s="55"/>
      <c r="AG46" s="55"/>
      <c r="AH46" s="55"/>
    </row>
    <row r="47" spans="1:34" s="15" customFormat="1">
      <c r="A47" s="13">
        <f t="shared" si="3"/>
        <v>42</v>
      </c>
      <c r="B47" s="13">
        <v>1884</v>
      </c>
      <c r="C47" s="13" t="s">
        <v>287</v>
      </c>
      <c r="D47" s="14">
        <v>2100000</v>
      </c>
      <c r="E47" s="14">
        <v>2100000</v>
      </c>
      <c r="F47" s="14">
        <f t="shared" si="0"/>
        <v>0</v>
      </c>
      <c r="G47" s="14">
        <v>2100000</v>
      </c>
      <c r="H47" s="14">
        <v>1278537.27</v>
      </c>
      <c r="I47" s="14">
        <v>604396.26</v>
      </c>
      <c r="J47" s="14">
        <v>216430.65</v>
      </c>
      <c r="K47" s="14">
        <f t="shared" si="4"/>
        <v>820826.91</v>
      </c>
      <c r="L47" s="14">
        <f t="shared" si="5"/>
        <v>2099364.1800000002</v>
      </c>
      <c r="M47" s="14">
        <f t="shared" si="8"/>
        <v>635.81999999983236</v>
      </c>
      <c r="N47" s="14"/>
      <c r="O47" s="14">
        <f t="shared" si="9"/>
        <v>0</v>
      </c>
      <c r="P47" s="14">
        <f t="shared" si="10"/>
        <v>635.81999999983236</v>
      </c>
      <c r="Q47" s="14"/>
      <c r="R47" s="14"/>
      <c r="S47" s="14">
        <f t="shared" si="1"/>
        <v>0</v>
      </c>
      <c r="T47" s="14">
        <f t="shared" si="6"/>
        <v>0</v>
      </c>
      <c r="U47" s="14">
        <f t="shared" si="2"/>
        <v>0</v>
      </c>
      <c r="V47" s="14"/>
      <c r="W47" s="14">
        <f t="shared" si="7"/>
        <v>0</v>
      </c>
      <c r="X47" s="14"/>
      <c r="Y47" s="14"/>
      <c r="Z47" s="13"/>
      <c r="AA47" s="101">
        <v>810000</v>
      </c>
      <c r="AB47" s="57"/>
      <c r="AC47" s="57"/>
      <c r="AD47" s="55"/>
      <c r="AE47" s="55"/>
      <c r="AF47" s="55"/>
      <c r="AG47" s="55"/>
      <c r="AH47" s="55"/>
    </row>
    <row r="48" spans="1:34" s="15" customFormat="1">
      <c r="A48" s="13">
        <f t="shared" si="3"/>
        <v>43</v>
      </c>
      <c r="B48" s="13">
        <v>1885</v>
      </c>
      <c r="C48" s="13" t="s">
        <v>348</v>
      </c>
      <c r="D48" s="14">
        <v>300000</v>
      </c>
      <c r="E48" s="14">
        <v>300000</v>
      </c>
      <c r="F48" s="14">
        <f t="shared" si="0"/>
        <v>0</v>
      </c>
      <c r="G48" s="14">
        <v>300000</v>
      </c>
      <c r="H48" s="14">
        <v>232115.8</v>
      </c>
      <c r="I48" s="14">
        <v>2080.2600000000002</v>
      </c>
      <c r="J48" s="14">
        <v>59317.77</v>
      </c>
      <c r="K48" s="14">
        <f t="shared" si="4"/>
        <v>61398.03</v>
      </c>
      <c r="L48" s="14">
        <f t="shared" si="5"/>
        <v>293513.82999999996</v>
      </c>
      <c r="M48" s="14">
        <f t="shared" si="8"/>
        <v>6486.1700000000419</v>
      </c>
      <c r="N48" s="14"/>
      <c r="O48" s="14">
        <f t="shared" si="9"/>
        <v>0</v>
      </c>
      <c r="P48" s="14">
        <f t="shared" si="10"/>
        <v>6486.1700000000419</v>
      </c>
      <c r="Q48" s="14"/>
      <c r="R48" s="14"/>
      <c r="S48" s="14">
        <f t="shared" si="1"/>
        <v>0</v>
      </c>
      <c r="T48" s="14">
        <f t="shared" si="6"/>
        <v>0</v>
      </c>
      <c r="U48" s="14">
        <f t="shared" si="2"/>
        <v>0</v>
      </c>
      <c r="V48" s="14"/>
      <c r="W48" s="14">
        <f t="shared" si="7"/>
        <v>0</v>
      </c>
      <c r="X48" s="14"/>
      <c r="Y48" s="14"/>
      <c r="Z48" s="13"/>
      <c r="AA48" s="101">
        <v>810000</v>
      </c>
      <c r="AB48" s="57"/>
      <c r="AC48" s="57"/>
      <c r="AD48" s="55"/>
      <c r="AE48" s="55"/>
      <c r="AF48" s="55"/>
      <c r="AG48" s="55"/>
      <c r="AH48" s="55"/>
    </row>
    <row r="49" spans="1:34" s="15" customFormat="1">
      <c r="A49" s="13">
        <f t="shared" si="3"/>
        <v>44</v>
      </c>
      <c r="B49" s="13">
        <v>1886</v>
      </c>
      <c r="C49" s="13" t="s">
        <v>408</v>
      </c>
      <c r="D49" s="14">
        <v>4830000</v>
      </c>
      <c r="E49" s="14">
        <v>4830000</v>
      </c>
      <c r="F49" s="14">
        <f t="shared" si="0"/>
        <v>0</v>
      </c>
      <c r="G49" s="14">
        <v>4830000</v>
      </c>
      <c r="H49" s="14">
        <v>1945158</v>
      </c>
      <c r="I49" s="14">
        <v>2022424</v>
      </c>
      <c r="J49" s="14">
        <v>401418</v>
      </c>
      <c r="K49" s="14">
        <f t="shared" si="4"/>
        <v>2423842</v>
      </c>
      <c r="L49" s="14">
        <f t="shared" si="5"/>
        <v>4369000</v>
      </c>
      <c r="M49" s="14">
        <f t="shared" si="8"/>
        <v>461000</v>
      </c>
      <c r="N49" s="14"/>
      <c r="O49" s="14">
        <f t="shared" si="9"/>
        <v>0</v>
      </c>
      <c r="P49" s="14">
        <f t="shared" si="10"/>
        <v>461000</v>
      </c>
      <c r="Q49" s="14"/>
      <c r="R49" s="14"/>
      <c r="S49" s="14">
        <f t="shared" si="1"/>
        <v>0</v>
      </c>
      <c r="T49" s="14">
        <f t="shared" si="6"/>
        <v>0</v>
      </c>
      <c r="U49" s="14">
        <f t="shared" si="2"/>
        <v>0</v>
      </c>
      <c r="V49" s="14"/>
      <c r="W49" s="14">
        <f t="shared" si="7"/>
        <v>0</v>
      </c>
      <c r="X49" s="14"/>
      <c r="Y49" s="14"/>
      <c r="Z49" s="14"/>
      <c r="AA49" s="101">
        <v>810000</v>
      </c>
      <c r="AB49" s="57"/>
      <c r="AC49" s="57"/>
      <c r="AD49" s="55"/>
      <c r="AE49" s="55"/>
      <c r="AF49" s="55"/>
      <c r="AG49" s="55"/>
      <c r="AH49" s="55"/>
    </row>
    <row r="50" spans="1:34" s="15" customFormat="1">
      <c r="A50" s="13">
        <f t="shared" si="3"/>
        <v>45</v>
      </c>
      <c r="B50" s="13">
        <v>1887</v>
      </c>
      <c r="C50" s="13" t="s">
        <v>288</v>
      </c>
      <c r="D50" s="14">
        <f>2000000+200000</f>
        <v>2200000</v>
      </c>
      <c r="E50" s="14">
        <v>2000000</v>
      </c>
      <c r="F50" s="14">
        <f t="shared" si="0"/>
        <v>200000</v>
      </c>
      <c r="G50" s="14">
        <v>2000000</v>
      </c>
      <c r="H50" s="14">
        <v>747281.5</v>
      </c>
      <c r="I50" s="14">
        <v>56575.35</v>
      </c>
      <c r="J50" s="14">
        <v>119131</v>
      </c>
      <c r="K50" s="14">
        <f t="shared" si="4"/>
        <v>175706.35</v>
      </c>
      <c r="L50" s="14">
        <f t="shared" si="5"/>
        <v>922987.85</v>
      </c>
      <c r="M50" s="14">
        <f t="shared" si="8"/>
        <v>1077012.1499999999</v>
      </c>
      <c r="N50" s="14">
        <v>200000</v>
      </c>
      <c r="O50" s="14">
        <f t="shared" si="9"/>
        <v>0</v>
      </c>
      <c r="P50" s="14">
        <f t="shared" si="10"/>
        <v>1077012.1499999999</v>
      </c>
      <c r="Q50" s="14"/>
      <c r="R50" s="14"/>
      <c r="S50" s="14">
        <f t="shared" si="1"/>
        <v>0</v>
      </c>
      <c r="T50" s="14">
        <f t="shared" si="6"/>
        <v>0</v>
      </c>
      <c r="U50" s="14">
        <f t="shared" si="2"/>
        <v>200000</v>
      </c>
      <c r="V50" s="14"/>
      <c r="W50" s="14">
        <f t="shared" si="7"/>
        <v>200000</v>
      </c>
      <c r="X50" s="14"/>
      <c r="Y50" s="14"/>
      <c r="Z50" s="13"/>
      <c r="AA50" s="101">
        <v>810000</v>
      </c>
      <c r="AB50" s="57"/>
      <c r="AC50" s="57"/>
      <c r="AD50" s="55"/>
      <c r="AE50" s="55"/>
      <c r="AF50" s="55"/>
      <c r="AG50" s="55"/>
      <c r="AH50" s="55"/>
    </row>
    <row r="51" spans="1:34" s="15" customFormat="1">
      <c r="A51" s="13">
        <f t="shared" si="3"/>
        <v>46</v>
      </c>
      <c r="B51" s="13">
        <v>1889</v>
      </c>
      <c r="C51" s="13" t="s">
        <v>300</v>
      </c>
      <c r="D51" s="14">
        <v>1450000</v>
      </c>
      <c r="E51" s="14">
        <v>1450000</v>
      </c>
      <c r="F51" s="14">
        <f t="shared" si="0"/>
        <v>0</v>
      </c>
      <c r="G51" s="14">
        <v>1450000</v>
      </c>
      <c r="H51" s="14">
        <v>1162892.1100000001</v>
      </c>
      <c r="I51" s="14">
        <v>18944.64</v>
      </c>
      <c r="J51" s="14">
        <v>268143.96000000002</v>
      </c>
      <c r="K51" s="14">
        <f t="shared" si="4"/>
        <v>287088.60000000003</v>
      </c>
      <c r="L51" s="14">
        <f t="shared" si="5"/>
        <v>1449980.7100000002</v>
      </c>
      <c r="M51" s="14">
        <f t="shared" si="8"/>
        <v>19.289999999804422</v>
      </c>
      <c r="N51" s="14"/>
      <c r="O51" s="14">
        <f t="shared" si="9"/>
        <v>0</v>
      </c>
      <c r="P51" s="14">
        <f t="shared" si="10"/>
        <v>19.289999999804422</v>
      </c>
      <c r="Q51" s="14"/>
      <c r="R51" s="14"/>
      <c r="S51" s="14">
        <f t="shared" si="1"/>
        <v>0</v>
      </c>
      <c r="T51" s="14">
        <f t="shared" si="6"/>
        <v>0</v>
      </c>
      <c r="U51" s="14">
        <f t="shared" si="2"/>
        <v>0</v>
      </c>
      <c r="V51" s="14"/>
      <c r="W51" s="14">
        <f t="shared" si="7"/>
        <v>0</v>
      </c>
      <c r="X51" s="14"/>
      <c r="Y51" s="14"/>
      <c r="Z51" s="13"/>
      <c r="AA51" s="101">
        <v>810000</v>
      </c>
      <c r="AB51" s="57"/>
      <c r="AC51" s="57"/>
      <c r="AD51" s="55"/>
      <c r="AE51" s="55"/>
      <c r="AF51" s="55"/>
      <c r="AG51" s="55"/>
      <c r="AH51" s="55"/>
    </row>
    <row r="52" spans="1:34" s="15" customFormat="1">
      <c r="A52" s="13">
        <f t="shared" si="3"/>
        <v>47</v>
      </c>
      <c r="B52" s="13">
        <v>1891</v>
      </c>
      <c r="C52" s="13" t="s">
        <v>910</v>
      </c>
      <c r="D52" s="14">
        <v>110000</v>
      </c>
      <c r="E52" s="14">
        <v>110000</v>
      </c>
      <c r="F52" s="14">
        <f t="shared" si="0"/>
        <v>0</v>
      </c>
      <c r="G52" s="14">
        <v>110000</v>
      </c>
      <c r="H52" s="14">
        <v>66814.2</v>
      </c>
      <c r="I52" s="14"/>
      <c r="J52" s="14">
        <v>6107.4</v>
      </c>
      <c r="K52" s="14">
        <f>SUM(I52:J52)</f>
        <v>6107.4</v>
      </c>
      <c r="L52" s="14">
        <f t="shared" si="5"/>
        <v>72921.599999999991</v>
      </c>
      <c r="M52" s="14">
        <f t="shared" si="8"/>
        <v>37078.400000000009</v>
      </c>
      <c r="N52" s="14"/>
      <c r="O52" s="14">
        <f t="shared" si="9"/>
        <v>0</v>
      </c>
      <c r="P52" s="14">
        <f t="shared" si="10"/>
        <v>37078.400000000009</v>
      </c>
      <c r="Q52" s="14"/>
      <c r="R52" s="14"/>
      <c r="S52" s="14">
        <f>SUM(Q52:R52)</f>
        <v>0</v>
      </c>
      <c r="T52" s="14">
        <f t="shared" si="6"/>
        <v>0</v>
      </c>
      <c r="U52" s="14">
        <f t="shared" si="2"/>
        <v>0</v>
      </c>
      <c r="V52" s="14"/>
      <c r="W52" s="14">
        <f t="shared" si="7"/>
        <v>0</v>
      </c>
      <c r="X52" s="14"/>
      <c r="Y52" s="14"/>
      <c r="Z52" s="13"/>
      <c r="AA52" s="57">
        <v>742000</v>
      </c>
      <c r="AB52" s="57">
        <f>W52</f>
        <v>0</v>
      </c>
      <c r="AC52" s="57"/>
      <c r="AD52" s="55"/>
      <c r="AE52" s="55"/>
      <c r="AF52" s="57"/>
      <c r="AG52" s="55"/>
    </row>
    <row r="53" spans="1:34" s="15" customFormat="1">
      <c r="A53" s="13">
        <f t="shared" si="3"/>
        <v>48</v>
      </c>
      <c r="B53" s="13">
        <v>1897</v>
      </c>
      <c r="C53" s="13" t="s">
        <v>289</v>
      </c>
      <c r="D53" s="14">
        <v>200000</v>
      </c>
      <c r="E53" s="14">
        <v>200000</v>
      </c>
      <c r="F53" s="14">
        <f t="shared" si="0"/>
        <v>0</v>
      </c>
      <c r="G53" s="14">
        <v>200000</v>
      </c>
      <c r="H53" s="14">
        <v>160440.88</v>
      </c>
      <c r="I53" s="14"/>
      <c r="J53" s="14"/>
      <c r="K53" s="14">
        <f t="shared" si="4"/>
        <v>0</v>
      </c>
      <c r="L53" s="14">
        <f t="shared" si="5"/>
        <v>160440.88</v>
      </c>
      <c r="M53" s="14">
        <f t="shared" si="8"/>
        <v>39559.119999999995</v>
      </c>
      <c r="N53" s="14"/>
      <c r="O53" s="14">
        <f t="shared" si="9"/>
        <v>0</v>
      </c>
      <c r="P53" s="14">
        <f t="shared" si="10"/>
        <v>39559.119999999995</v>
      </c>
      <c r="Q53" s="14"/>
      <c r="R53" s="14"/>
      <c r="S53" s="14">
        <f t="shared" si="1"/>
        <v>0</v>
      </c>
      <c r="T53" s="14">
        <f t="shared" si="6"/>
        <v>0</v>
      </c>
      <c r="U53" s="14">
        <f t="shared" si="2"/>
        <v>0</v>
      </c>
      <c r="V53" s="14"/>
      <c r="W53" s="14">
        <f t="shared" si="7"/>
        <v>0</v>
      </c>
      <c r="X53" s="14"/>
      <c r="Y53" s="14"/>
      <c r="Z53" s="13"/>
      <c r="AA53" s="101">
        <v>850000</v>
      </c>
      <c r="AB53" s="57"/>
      <c r="AC53" s="57"/>
      <c r="AD53" s="55"/>
      <c r="AE53" s="55"/>
      <c r="AF53" s="57"/>
      <c r="AG53" s="57"/>
      <c r="AH53" s="55"/>
    </row>
    <row r="54" spans="1:34" s="15" customFormat="1">
      <c r="A54" s="13">
        <f t="shared" si="3"/>
        <v>49</v>
      </c>
      <c r="B54" s="13">
        <v>1900</v>
      </c>
      <c r="C54" s="13" t="s">
        <v>290</v>
      </c>
      <c r="D54" s="14">
        <v>700000</v>
      </c>
      <c r="E54" s="14">
        <v>700000</v>
      </c>
      <c r="F54" s="14">
        <f t="shared" si="0"/>
        <v>0</v>
      </c>
      <c r="G54" s="14">
        <v>700000</v>
      </c>
      <c r="H54" s="14">
        <v>0</v>
      </c>
      <c r="I54" s="14">
        <v>23400</v>
      </c>
      <c r="J54" s="14"/>
      <c r="K54" s="14">
        <f t="shared" si="4"/>
        <v>23400</v>
      </c>
      <c r="L54" s="14">
        <f t="shared" si="5"/>
        <v>23400</v>
      </c>
      <c r="M54" s="14">
        <f t="shared" si="8"/>
        <v>676600</v>
      </c>
      <c r="N54" s="14"/>
      <c r="O54" s="14">
        <f t="shared" si="9"/>
        <v>0</v>
      </c>
      <c r="P54" s="14">
        <f t="shared" si="10"/>
        <v>676600</v>
      </c>
      <c r="Q54" s="14"/>
      <c r="R54" s="14"/>
      <c r="S54" s="14">
        <f t="shared" si="1"/>
        <v>0</v>
      </c>
      <c r="T54" s="14">
        <f t="shared" si="6"/>
        <v>0</v>
      </c>
      <c r="U54" s="14">
        <f t="shared" si="2"/>
        <v>0</v>
      </c>
      <c r="V54" s="14"/>
      <c r="W54" s="14">
        <f t="shared" si="7"/>
        <v>0</v>
      </c>
      <c r="X54" s="14"/>
      <c r="Y54" s="14"/>
      <c r="Z54" s="13"/>
      <c r="AA54" s="101">
        <v>810000</v>
      </c>
      <c r="AB54" s="57"/>
      <c r="AC54" s="57"/>
      <c r="AD54" s="55"/>
      <c r="AE54" s="55"/>
      <c r="AF54" s="57"/>
      <c r="AG54" s="57"/>
      <c r="AH54" s="55"/>
    </row>
    <row r="55" spans="1:34" s="15" customFormat="1">
      <c r="A55" s="13">
        <f t="shared" si="3"/>
        <v>50</v>
      </c>
      <c r="B55" s="13">
        <v>1916</v>
      </c>
      <c r="C55" s="13" t="s">
        <v>291</v>
      </c>
      <c r="D55" s="14">
        <v>300000</v>
      </c>
      <c r="E55" s="14">
        <v>300000</v>
      </c>
      <c r="F55" s="14">
        <f t="shared" si="0"/>
        <v>0</v>
      </c>
      <c r="G55" s="14">
        <v>300000</v>
      </c>
      <c r="H55" s="14">
        <v>0</v>
      </c>
      <c r="I55" s="14"/>
      <c r="J55" s="14">
        <v>300000</v>
      </c>
      <c r="K55" s="14">
        <f t="shared" si="4"/>
        <v>300000</v>
      </c>
      <c r="L55" s="14">
        <f t="shared" si="5"/>
        <v>300000</v>
      </c>
      <c r="M55" s="14">
        <f t="shared" si="8"/>
        <v>0</v>
      </c>
      <c r="N55" s="14"/>
      <c r="O55" s="14">
        <f t="shared" si="9"/>
        <v>0</v>
      </c>
      <c r="P55" s="14">
        <f t="shared" si="10"/>
        <v>0</v>
      </c>
      <c r="Q55" s="14"/>
      <c r="R55" s="14"/>
      <c r="S55" s="14">
        <f t="shared" si="1"/>
        <v>0</v>
      </c>
      <c r="T55" s="14">
        <f t="shared" si="6"/>
        <v>0</v>
      </c>
      <c r="U55" s="14">
        <f t="shared" si="2"/>
        <v>0</v>
      </c>
      <c r="V55" s="14"/>
      <c r="W55" s="14">
        <f t="shared" si="7"/>
        <v>0</v>
      </c>
      <c r="X55" s="14"/>
      <c r="Y55" s="14"/>
      <c r="Z55" s="13"/>
      <c r="AA55" s="101">
        <v>824000</v>
      </c>
      <c r="AB55" s="57"/>
      <c r="AC55" s="57"/>
      <c r="AD55" s="55"/>
      <c r="AE55" s="55"/>
      <c r="AF55" s="57"/>
      <c r="AG55" s="57"/>
      <c r="AH55" s="55"/>
    </row>
    <row r="56" spans="1:34" s="15" customFormat="1">
      <c r="A56" s="13">
        <f t="shared" si="3"/>
        <v>51</v>
      </c>
      <c r="B56" s="13">
        <v>1917</v>
      </c>
      <c r="C56" s="13" t="s">
        <v>292</v>
      </c>
      <c r="D56" s="14">
        <v>76800000</v>
      </c>
      <c r="E56" s="14">
        <v>76800000</v>
      </c>
      <c r="F56" s="14">
        <f t="shared" si="0"/>
        <v>0</v>
      </c>
      <c r="G56" s="14">
        <v>7500000</v>
      </c>
      <c r="H56" s="14">
        <v>1715057.51</v>
      </c>
      <c r="I56" s="14"/>
      <c r="J56" s="14">
        <v>5082556</v>
      </c>
      <c r="K56" s="14">
        <f t="shared" si="4"/>
        <v>5082556</v>
      </c>
      <c r="L56" s="14">
        <f t="shared" si="5"/>
        <v>6797613.5099999998</v>
      </c>
      <c r="M56" s="14">
        <f t="shared" si="8"/>
        <v>702386.49000000022</v>
      </c>
      <c r="N56" s="14">
        <v>17000000</v>
      </c>
      <c r="O56" s="14">
        <f t="shared" si="9"/>
        <v>52300000</v>
      </c>
      <c r="P56" s="14">
        <f t="shared" si="10"/>
        <v>702386.49000000022</v>
      </c>
      <c r="Q56" s="14"/>
      <c r="R56" s="45"/>
      <c r="S56" s="14">
        <f t="shared" si="1"/>
        <v>0</v>
      </c>
      <c r="T56" s="14">
        <f t="shared" si="6"/>
        <v>0</v>
      </c>
      <c r="U56" s="14">
        <f t="shared" si="2"/>
        <v>17000000</v>
      </c>
      <c r="V56" s="14">
        <f>N56-W56-Y56-Z56</f>
        <v>15260000</v>
      </c>
      <c r="W56" s="14"/>
      <c r="X56" s="14"/>
      <c r="Y56" s="14"/>
      <c r="Z56" s="14">
        <f>4600000*0.08+U56*0.08+12000</f>
        <v>1740000</v>
      </c>
      <c r="AA56" s="101">
        <v>743000</v>
      </c>
      <c r="AB56" s="57"/>
      <c r="AC56" s="57"/>
      <c r="AD56" s="55"/>
      <c r="AE56" s="55"/>
      <c r="AF56" s="55"/>
      <c r="AG56" s="55"/>
      <c r="AH56" s="55"/>
    </row>
    <row r="57" spans="1:34" s="15" customFormat="1">
      <c r="A57" s="13">
        <f t="shared" si="3"/>
        <v>52</v>
      </c>
      <c r="B57" s="13">
        <v>1918</v>
      </c>
      <c r="C57" s="13" t="s">
        <v>293</v>
      </c>
      <c r="D57" s="14">
        <v>2017000</v>
      </c>
      <c r="E57" s="14">
        <v>2017000</v>
      </c>
      <c r="F57" s="14">
        <f t="shared" si="0"/>
        <v>0</v>
      </c>
      <c r="G57" s="14">
        <v>2017000</v>
      </c>
      <c r="H57" s="14">
        <v>0</v>
      </c>
      <c r="I57" s="14">
        <v>1536167.88</v>
      </c>
      <c r="J57" s="14">
        <v>63754</v>
      </c>
      <c r="K57" s="14">
        <f t="shared" si="4"/>
        <v>1599921.88</v>
      </c>
      <c r="L57" s="14">
        <f t="shared" si="5"/>
        <v>1599921.88</v>
      </c>
      <c r="M57" s="14">
        <f t="shared" si="8"/>
        <v>417078.12000000011</v>
      </c>
      <c r="N57" s="14"/>
      <c r="O57" s="14">
        <f t="shared" si="9"/>
        <v>0</v>
      </c>
      <c r="P57" s="14">
        <f t="shared" si="10"/>
        <v>417078.12000000011</v>
      </c>
      <c r="Q57" s="14"/>
      <c r="R57" s="14"/>
      <c r="S57" s="14">
        <f t="shared" si="1"/>
        <v>0</v>
      </c>
      <c r="T57" s="14">
        <f t="shared" si="6"/>
        <v>0</v>
      </c>
      <c r="U57" s="14">
        <f t="shared" si="2"/>
        <v>0</v>
      </c>
      <c r="V57" s="14"/>
      <c r="W57" s="14">
        <f t="shared" si="7"/>
        <v>0</v>
      </c>
      <c r="X57" s="14"/>
      <c r="Y57" s="14"/>
      <c r="Z57" s="13"/>
      <c r="AA57" s="101">
        <v>870000</v>
      </c>
      <c r="AB57" s="57"/>
      <c r="AC57" s="57"/>
      <c r="AD57" s="55"/>
      <c r="AE57" s="55"/>
      <c r="AF57" s="57"/>
      <c r="AG57" s="57"/>
      <c r="AH57" s="55"/>
    </row>
    <row r="58" spans="1:34" s="15" customFormat="1">
      <c r="A58" s="13">
        <f t="shared" si="3"/>
        <v>53</v>
      </c>
      <c r="B58" s="13">
        <v>1925</v>
      </c>
      <c r="C58" s="13" t="s">
        <v>294</v>
      </c>
      <c r="D58" s="14">
        <v>1000000</v>
      </c>
      <c r="E58" s="14">
        <v>1000000</v>
      </c>
      <c r="F58" s="14">
        <f t="shared" si="0"/>
        <v>0</v>
      </c>
      <c r="G58" s="14">
        <v>1000000</v>
      </c>
      <c r="H58" s="14">
        <v>0</v>
      </c>
      <c r="I58" s="14">
        <v>580611</v>
      </c>
      <c r="J58" s="14">
        <v>296081</v>
      </c>
      <c r="K58" s="14">
        <f t="shared" si="4"/>
        <v>876692</v>
      </c>
      <c r="L58" s="14">
        <f t="shared" si="5"/>
        <v>876692</v>
      </c>
      <c r="M58" s="14">
        <f t="shared" si="8"/>
        <v>123308</v>
      </c>
      <c r="N58" s="14"/>
      <c r="O58" s="14">
        <f t="shared" si="9"/>
        <v>0</v>
      </c>
      <c r="P58" s="14">
        <f t="shared" si="10"/>
        <v>123308</v>
      </c>
      <c r="Q58" s="14"/>
      <c r="R58" s="14"/>
      <c r="S58" s="14">
        <f t="shared" si="1"/>
        <v>0</v>
      </c>
      <c r="T58" s="14">
        <f t="shared" si="6"/>
        <v>0</v>
      </c>
      <c r="U58" s="14">
        <f t="shared" si="2"/>
        <v>0</v>
      </c>
      <c r="V58" s="14"/>
      <c r="W58" s="14">
        <f t="shared" si="7"/>
        <v>0</v>
      </c>
      <c r="X58" s="14"/>
      <c r="Y58" s="14"/>
      <c r="Z58" s="13"/>
      <c r="AA58" s="101">
        <v>850000</v>
      </c>
      <c r="AB58" s="57"/>
      <c r="AC58" s="57"/>
      <c r="AD58" s="55"/>
      <c r="AE58" s="55"/>
      <c r="AF58" s="57"/>
      <c r="AG58" s="57"/>
      <c r="AH58" s="55"/>
    </row>
    <row r="59" spans="1:34" s="15" customFormat="1">
      <c r="A59" s="13">
        <f t="shared" si="3"/>
        <v>54</v>
      </c>
      <c r="B59" s="13">
        <v>1926</v>
      </c>
      <c r="C59" s="13" t="s">
        <v>295</v>
      </c>
      <c r="D59" s="14">
        <v>850000</v>
      </c>
      <c r="E59" s="14">
        <v>850000</v>
      </c>
      <c r="F59" s="14">
        <f t="shared" si="0"/>
        <v>0</v>
      </c>
      <c r="G59" s="14">
        <v>850000</v>
      </c>
      <c r="H59" s="14">
        <v>154966.89000000001</v>
      </c>
      <c r="I59" s="14"/>
      <c r="J59" s="14">
        <v>170071</v>
      </c>
      <c r="K59" s="14">
        <f t="shared" si="4"/>
        <v>170071</v>
      </c>
      <c r="L59" s="14">
        <f t="shared" si="5"/>
        <v>325037.89</v>
      </c>
      <c r="M59" s="14">
        <f t="shared" si="8"/>
        <v>524962.11</v>
      </c>
      <c r="N59" s="14"/>
      <c r="O59" s="14">
        <f t="shared" si="9"/>
        <v>0</v>
      </c>
      <c r="P59" s="14">
        <f t="shared" si="10"/>
        <v>524962.11</v>
      </c>
      <c r="Q59" s="14"/>
      <c r="R59" s="14"/>
      <c r="S59" s="14">
        <f t="shared" si="1"/>
        <v>0</v>
      </c>
      <c r="T59" s="14">
        <f t="shared" si="6"/>
        <v>0</v>
      </c>
      <c r="U59" s="14">
        <f t="shared" si="2"/>
        <v>0</v>
      </c>
      <c r="V59" s="14"/>
      <c r="W59" s="14">
        <f t="shared" si="7"/>
        <v>0</v>
      </c>
      <c r="X59" s="14"/>
      <c r="Y59" s="14"/>
      <c r="Z59" s="13"/>
      <c r="AA59" s="101">
        <v>810000</v>
      </c>
      <c r="AB59" s="57"/>
      <c r="AC59" s="57"/>
      <c r="AD59" s="55"/>
      <c r="AE59" s="55"/>
      <c r="AF59" s="57"/>
      <c r="AG59" s="57"/>
      <c r="AH59" s="55"/>
    </row>
    <row r="60" spans="1:34" s="15" customFormat="1">
      <c r="A60" s="13">
        <f t="shared" si="3"/>
        <v>55</v>
      </c>
      <c r="B60" s="13">
        <v>1931</v>
      </c>
      <c r="C60" s="13" t="s">
        <v>299</v>
      </c>
      <c r="D60" s="14">
        <v>831000</v>
      </c>
      <c r="E60" s="14">
        <v>831000</v>
      </c>
      <c r="F60" s="14">
        <f t="shared" si="0"/>
        <v>0</v>
      </c>
      <c r="G60" s="14">
        <v>831000</v>
      </c>
      <c r="H60" s="14">
        <v>715572</v>
      </c>
      <c r="I60" s="14"/>
      <c r="J60" s="14">
        <v>45747</v>
      </c>
      <c r="K60" s="14">
        <f t="shared" si="4"/>
        <v>45747</v>
      </c>
      <c r="L60" s="14">
        <f t="shared" si="5"/>
        <v>761319</v>
      </c>
      <c r="M60" s="14">
        <f t="shared" si="8"/>
        <v>69681</v>
      </c>
      <c r="N60" s="14"/>
      <c r="O60" s="14">
        <f t="shared" si="9"/>
        <v>0</v>
      </c>
      <c r="P60" s="14">
        <f t="shared" si="10"/>
        <v>69681</v>
      </c>
      <c r="Q60" s="14"/>
      <c r="R60" s="14"/>
      <c r="S60" s="14">
        <f t="shared" si="1"/>
        <v>0</v>
      </c>
      <c r="T60" s="14">
        <f t="shared" si="6"/>
        <v>0</v>
      </c>
      <c r="U60" s="14">
        <f t="shared" si="2"/>
        <v>0</v>
      </c>
      <c r="V60" s="14"/>
      <c r="W60" s="14">
        <f t="shared" si="7"/>
        <v>0</v>
      </c>
      <c r="X60" s="14"/>
      <c r="Y60" s="14"/>
      <c r="Z60" s="13"/>
      <c r="AA60" s="101">
        <v>810000</v>
      </c>
      <c r="AB60" s="57"/>
      <c r="AC60" s="57"/>
      <c r="AD60" s="55"/>
      <c r="AE60" s="55"/>
      <c r="AF60" s="57"/>
      <c r="AG60" s="57"/>
      <c r="AH60" s="55"/>
    </row>
    <row r="61" spans="1:34" s="15" customFormat="1">
      <c r="A61" s="13">
        <f t="shared" si="3"/>
        <v>56</v>
      </c>
      <c r="B61" s="13">
        <v>1933</v>
      </c>
      <c r="C61" s="13" t="s">
        <v>349</v>
      </c>
      <c r="D61" s="14">
        <f>1900000-700000</f>
        <v>1200000</v>
      </c>
      <c r="E61" s="14">
        <v>200000</v>
      </c>
      <c r="F61" s="14">
        <f t="shared" si="0"/>
        <v>1000000</v>
      </c>
      <c r="G61" s="14">
        <v>200000</v>
      </c>
      <c r="H61" s="14">
        <v>9360</v>
      </c>
      <c r="I61" s="14"/>
      <c r="J61" s="14">
        <v>158859</v>
      </c>
      <c r="K61" s="14">
        <f t="shared" si="4"/>
        <v>158859</v>
      </c>
      <c r="L61" s="14">
        <f t="shared" si="5"/>
        <v>168219</v>
      </c>
      <c r="M61" s="14">
        <f t="shared" si="8"/>
        <v>31781</v>
      </c>
      <c r="N61" s="14">
        <f>1700000-700000</f>
        <v>1000000</v>
      </c>
      <c r="O61" s="14">
        <f t="shared" si="9"/>
        <v>0</v>
      </c>
      <c r="P61" s="14">
        <f t="shared" si="10"/>
        <v>31781</v>
      </c>
      <c r="Q61" s="14"/>
      <c r="R61" s="14"/>
      <c r="S61" s="14">
        <f t="shared" si="1"/>
        <v>0</v>
      </c>
      <c r="T61" s="14">
        <f t="shared" si="6"/>
        <v>0</v>
      </c>
      <c r="U61" s="14">
        <f t="shared" si="2"/>
        <v>1000000</v>
      </c>
      <c r="V61" s="14">
        <f>500000+500000</f>
        <v>1000000</v>
      </c>
      <c r="W61" s="14">
        <f t="shared" si="7"/>
        <v>0</v>
      </c>
      <c r="X61" s="14"/>
      <c r="Y61" s="14"/>
      <c r="Z61" s="13"/>
      <c r="AA61" s="101">
        <v>826000</v>
      </c>
      <c r="AB61" s="57"/>
      <c r="AC61" s="57"/>
      <c r="AD61" s="55"/>
      <c r="AE61" s="55"/>
      <c r="AF61" s="57"/>
      <c r="AG61" s="57"/>
      <c r="AH61" s="55"/>
    </row>
    <row r="62" spans="1:34" s="15" customFormat="1">
      <c r="A62" s="13">
        <f t="shared" si="3"/>
        <v>57</v>
      </c>
      <c r="B62" s="13">
        <v>1942</v>
      </c>
      <c r="C62" s="13" t="s">
        <v>350</v>
      </c>
      <c r="D62" s="14">
        <f>572000+400000</f>
        <v>972000</v>
      </c>
      <c r="E62" s="14">
        <v>572000</v>
      </c>
      <c r="F62" s="14">
        <f t="shared" si="0"/>
        <v>400000</v>
      </c>
      <c r="G62" s="14">
        <v>572000</v>
      </c>
      <c r="H62" s="14">
        <v>0</v>
      </c>
      <c r="I62" s="14"/>
      <c r="J62" s="14">
        <v>8403</v>
      </c>
      <c r="K62" s="14">
        <f t="shared" si="4"/>
        <v>8403</v>
      </c>
      <c r="L62" s="14">
        <f t="shared" si="5"/>
        <v>8403</v>
      </c>
      <c r="M62" s="14">
        <f t="shared" si="8"/>
        <v>563597</v>
      </c>
      <c r="N62" s="14">
        <v>400000</v>
      </c>
      <c r="O62" s="14">
        <f t="shared" si="9"/>
        <v>0</v>
      </c>
      <c r="P62" s="14">
        <f t="shared" si="10"/>
        <v>563597</v>
      </c>
      <c r="Q62" s="14"/>
      <c r="R62" s="14"/>
      <c r="S62" s="14">
        <f t="shared" si="1"/>
        <v>0</v>
      </c>
      <c r="T62" s="14">
        <f t="shared" si="6"/>
        <v>0</v>
      </c>
      <c r="U62" s="14">
        <f t="shared" si="2"/>
        <v>400000</v>
      </c>
      <c r="V62" s="14">
        <v>400000</v>
      </c>
      <c r="W62" s="14">
        <f t="shared" si="7"/>
        <v>0</v>
      </c>
      <c r="X62" s="14"/>
      <c r="Y62" s="14"/>
      <c r="Z62" s="13"/>
      <c r="AA62" s="101">
        <v>724000</v>
      </c>
      <c r="AB62" s="57"/>
      <c r="AC62" s="57"/>
      <c r="AD62" s="55"/>
      <c r="AE62" s="55"/>
      <c r="AF62" s="57"/>
      <c r="AG62" s="57"/>
      <c r="AH62" s="55"/>
    </row>
    <row r="63" spans="1:34" s="15" customFormat="1">
      <c r="A63" s="13">
        <f t="shared" si="3"/>
        <v>58</v>
      </c>
      <c r="B63" s="13">
        <v>1946</v>
      </c>
      <c r="C63" s="13" t="s">
        <v>409</v>
      </c>
      <c r="D63" s="14">
        <v>590000</v>
      </c>
      <c r="E63" s="14">
        <v>590000</v>
      </c>
      <c r="F63" s="14">
        <f t="shared" si="0"/>
        <v>0</v>
      </c>
      <c r="G63" s="14">
        <v>590000</v>
      </c>
      <c r="H63" s="14">
        <v>2925</v>
      </c>
      <c r="I63" s="14"/>
      <c r="J63" s="14">
        <v>374284</v>
      </c>
      <c r="K63" s="14">
        <f t="shared" si="4"/>
        <v>374284</v>
      </c>
      <c r="L63" s="14">
        <f t="shared" si="5"/>
        <v>377209</v>
      </c>
      <c r="M63" s="14">
        <f t="shared" si="8"/>
        <v>212791</v>
      </c>
      <c r="N63" s="14"/>
      <c r="O63" s="14">
        <f t="shared" si="9"/>
        <v>0</v>
      </c>
      <c r="P63" s="14">
        <f t="shared" si="10"/>
        <v>212791</v>
      </c>
      <c r="Q63" s="14"/>
      <c r="R63" s="14"/>
      <c r="S63" s="14">
        <f t="shared" ref="S63:S71" si="11">SUM(Q63:R63)</f>
        <v>0</v>
      </c>
      <c r="T63" s="14">
        <f t="shared" si="6"/>
        <v>0</v>
      </c>
      <c r="U63" s="14">
        <f t="shared" si="2"/>
        <v>0</v>
      </c>
      <c r="V63" s="14"/>
      <c r="W63" s="14">
        <f t="shared" si="7"/>
        <v>0</v>
      </c>
      <c r="X63" s="14"/>
      <c r="Y63" s="14"/>
      <c r="Z63" s="13"/>
      <c r="AA63" s="101">
        <v>810000</v>
      </c>
      <c r="AB63" s="57"/>
      <c r="AC63" s="57"/>
      <c r="AD63" s="55"/>
      <c r="AE63" s="55"/>
      <c r="AF63" s="57"/>
      <c r="AG63" s="57"/>
      <c r="AH63" s="55"/>
    </row>
    <row r="64" spans="1:34" s="15" customFormat="1">
      <c r="A64" s="13">
        <f t="shared" si="3"/>
        <v>59</v>
      </c>
      <c r="B64" s="13">
        <v>1947</v>
      </c>
      <c r="C64" s="13" t="s">
        <v>433</v>
      </c>
      <c r="D64" s="14">
        <v>1400000</v>
      </c>
      <c r="E64" s="14">
        <v>1400000</v>
      </c>
      <c r="F64" s="14">
        <f t="shared" si="0"/>
        <v>0</v>
      </c>
      <c r="G64" s="14">
        <v>1400000</v>
      </c>
      <c r="H64" s="14">
        <v>0</v>
      </c>
      <c r="I64" s="14"/>
      <c r="J64" s="14"/>
      <c r="K64" s="14">
        <f t="shared" ref="K64:K71" si="12">SUM(I64:J64)</f>
        <v>0</v>
      </c>
      <c r="L64" s="14">
        <f t="shared" si="5"/>
        <v>0</v>
      </c>
      <c r="M64" s="14">
        <f t="shared" si="8"/>
        <v>1400000</v>
      </c>
      <c r="N64" s="14"/>
      <c r="O64" s="14">
        <f t="shared" si="9"/>
        <v>0</v>
      </c>
      <c r="P64" s="14">
        <f t="shared" si="10"/>
        <v>1400000</v>
      </c>
      <c r="Q64" s="14"/>
      <c r="R64" s="14"/>
      <c r="S64" s="14">
        <f t="shared" si="11"/>
        <v>0</v>
      </c>
      <c r="T64" s="14">
        <f t="shared" si="6"/>
        <v>0</v>
      </c>
      <c r="U64" s="14">
        <f t="shared" si="2"/>
        <v>0</v>
      </c>
      <c r="V64" s="14"/>
      <c r="W64" s="14">
        <f t="shared" si="7"/>
        <v>0</v>
      </c>
      <c r="X64" s="14"/>
      <c r="Y64" s="14"/>
      <c r="Z64" s="13"/>
      <c r="AA64" s="101">
        <v>850000</v>
      </c>
      <c r="AB64" s="57"/>
      <c r="AC64" s="57"/>
      <c r="AD64" s="55"/>
      <c r="AE64" s="55"/>
      <c r="AF64" s="57"/>
      <c r="AG64" s="57"/>
      <c r="AH64" s="55"/>
    </row>
    <row r="65" spans="1:35" s="15" customFormat="1">
      <c r="A65" s="13">
        <f t="shared" si="3"/>
        <v>60</v>
      </c>
      <c r="B65" s="13">
        <v>1966</v>
      </c>
      <c r="C65" s="13" t="s">
        <v>351</v>
      </c>
      <c r="D65" s="14">
        <v>1700000</v>
      </c>
      <c r="E65" s="14">
        <v>1700000</v>
      </c>
      <c r="F65" s="14">
        <f t="shared" si="0"/>
        <v>0</v>
      </c>
      <c r="G65" s="14">
        <v>0</v>
      </c>
      <c r="H65" s="14">
        <v>0</v>
      </c>
      <c r="I65" s="14"/>
      <c r="J65" s="14"/>
      <c r="K65" s="14">
        <f t="shared" si="12"/>
        <v>0</v>
      </c>
      <c r="L65" s="14">
        <f t="shared" si="5"/>
        <v>0</v>
      </c>
      <c r="M65" s="14">
        <f t="shared" si="8"/>
        <v>0</v>
      </c>
      <c r="N65" s="14">
        <v>1700000</v>
      </c>
      <c r="O65" s="14">
        <f t="shared" si="9"/>
        <v>0</v>
      </c>
      <c r="P65" s="14">
        <f t="shared" si="10"/>
        <v>0</v>
      </c>
      <c r="Q65" s="14"/>
      <c r="R65" s="45"/>
      <c r="S65" s="14">
        <f t="shared" si="11"/>
        <v>0</v>
      </c>
      <c r="T65" s="14">
        <f t="shared" si="6"/>
        <v>0</v>
      </c>
      <c r="U65" s="14">
        <f t="shared" si="2"/>
        <v>1700000</v>
      </c>
      <c r="V65" s="14">
        <v>500000</v>
      </c>
      <c r="W65" s="14">
        <f t="shared" si="7"/>
        <v>1064000</v>
      </c>
      <c r="X65" s="14"/>
      <c r="Y65" s="14"/>
      <c r="Z65" s="14">
        <f>U65*0.08</f>
        <v>136000</v>
      </c>
      <c r="AA65" s="101">
        <v>870000</v>
      </c>
      <c r="AB65" s="57"/>
      <c r="AC65" s="57"/>
      <c r="AD65" s="55"/>
      <c r="AE65" s="55"/>
      <c r="AF65" s="55"/>
      <c r="AG65" s="55"/>
      <c r="AH65" s="55"/>
    </row>
    <row r="66" spans="1:35" s="15" customFormat="1">
      <c r="A66" s="13">
        <f t="shared" si="3"/>
        <v>61</v>
      </c>
      <c r="B66" s="13">
        <v>1967</v>
      </c>
      <c r="C66" s="13" t="s">
        <v>352</v>
      </c>
      <c r="D66" s="14">
        <f>2000000+1000000</f>
        <v>3000000</v>
      </c>
      <c r="E66" s="14">
        <v>2000000</v>
      </c>
      <c r="F66" s="14">
        <f t="shared" si="0"/>
        <v>1000000</v>
      </c>
      <c r="G66" s="14">
        <v>1500000</v>
      </c>
      <c r="H66" s="14">
        <v>0</v>
      </c>
      <c r="I66" s="14">
        <v>257400</v>
      </c>
      <c r="J66" s="14">
        <v>25740</v>
      </c>
      <c r="K66" s="14">
        <f t="shared" si="12"/>
        <v>283140</v>
      </c>
      <c r="L66" s="14">
        <f t="shared" si="5"/>
        <v>283140</v>
      </c>
      <c r="M66" s="14">
        <f t="shared" si="8"/>
        <v>1216860</v>
      </c>
      <c r="N66" s="14">
        <f>1500000-1000000</f>
        <v>500000</v>
      </c>
      <c r="O66" s="14">
        <f t="shared" si="9"/>
        <v>1000000</v>
      </c>
      <c r="P66" s="14">
        <f t="shared" si="10"/>
        <v>1216860</v>
      </c>
      <c r="Q66" s="14"/>
      <c r="R66" s="14"/>
      <c r="S66" s="14">
        <f t="shared" si="11"/>
        <v>0</v>
      </c>
      <c r="T66" s="14">
        <f t="shared" si="6"/>
        <v>0</v>
      </c>
      <c r="U66" s="14">
        <f t="shared" si="2"/>
        <v>500000</v>
      </c>
      <c r="V66" s="14">
        <v>500000</v>
      </c>
      <c r="W66" s="14">
        <f t="shared" si="7"/>
        <v>0</v>
      </c>
      <c r="X66" s="14"/>
      <c r="Y66" s="14"/>
      <c r="Z66" s="13"/>
      <c r="AA66" s="101">
        <v>810000</v>
      </c>
      <c r="AB66" s="57"/>
      <c r="AC66" s="57"/>
      <c r="AD66" s="55"/>
      <c r="AE66" s="55"/>
      <c r="AF66" s="57"/>
      <c r="AG66" s="57"/>
      <c r="AH66" s="55"/>
    </row>
    <row r="67" spans="1:35" s="15" customFormat="1">
      <c r="A67" s="13">
        <f t="shared" si="3"/>
        <v>62</v>
      </c>
      <c r="B67" s="13">
        <v>1968</v>
      </c>
      <c r="C67" s="13" t="s">
        <v>353</v>
      </c>
      <c r="D67" s="14">
        <v>1800000</v>
      </c>
      <c r="E67" s="14">
        <v>1000000</v>
      </c>
      <c r="F67" s="14">
        <f t="shared" si="0"/>
        <v>800000</v>
      </c>
      <c r="G67" s="14">
        <v>600000</v>
      </c>
      <c r="H67" s="14">
        <v>12520.13</v>
      </c>
      <c r="I67" s="14"/>
      <c r="J67" s="14">
        <v>587106.04</v>
      </c>
      <c r="K67" s="14">
        <f t="shared" si="12"/>
        <v>587106.04</v>
      </c>
      <c r="L67" s="14">
        <f t="shared" si="5"/>
        <v>599626.17000000004</v>
      </c>
      <c r="M67" s="14">
        <f t="shared" si="8"/>
        <v>373.82999999995809</v>
      </c>
      <c r="N67" s="14">
        <v>600000</v>
      </c>
      <c r="O67" s="14">
        <f t="shared" si="9"/>
        <v>600000</v>
      </c>
      <c r="P67" s="14">
        <f t="shared" si="10"/>
        <v>373.82999999995809</v>
      </c>
      <c r="Q67" s="14"/>
      <c r="R67" s="14"/>
      <c r="S67" s="14">
        <f t="shared" si="11"/>
        <v>0</v>
      </c>
      <c r="T67" s="14">
        <f t="shared" si="6"/>
        <v>0</v>
      </c>
      <c r="U67" s="14">
        <f t="shared" si="2"/>
        <v>600000</v>
      </c>
      <c r="V67" s="14">
        <v>300000</v>
      </c>
      <c r="W67" s="14">
        <f t="shared" si="7"/>
        <v>300000</v>
      </c>
      <c r="X67" s="14"/>
      <c r="Y67" s="14"/>
      <c r="Z67" s="13"/>
      <c r="AA67" s="101">
        <v>848500</v>
      </c>
      <c r="AB67" s="57"/>
      <c r="AC67" s="57"/>
      <c r="AD67" s="55"/>
      <c r="AE67" s="55"/>
      <c r="AF67" s="57"/>
      <c r="AG67" s="57"/>
      <c r="AH67" s="55"/>
    </row>
    <row r="68" spans="1:35" s="15" customFormat="1">
      <c r="A68" s="13">
        <f t="shared" si="3"/>
        <v>63</v>
      </c>
      <c r="B68" s="13">
        <v>1969</v>
      </c>
      <c r="C68" s="13" t="s">
        <v>354</v>
      </c>
      <c r="D68" s="14">
        <v>1485000</v>
      </c>
      <c r="E68" s="14">
        <v>1485000</v>
      </c>
      <c r="F68" s="14">
        <f t="shared" si="0"/>
        <v>0</v>
      </c>
      <c r="G68" s="14">
        <v>500000</v>
      </c>
      <c r="H68" s="14">
        <v>0</v>
      </c>
      <c r="I68" s="14"/>
      <c r="J68" s="14">
        <v>288743.93</v>
      </c>
      <c r="K68" s="14">
        <f t="shared" si="12"/>
        <v>288743.93</v>
      </c>
      <c r="L68" s="14">
        <f t="shared" si="5"/>
        <v>288743.93</v>
      </c>
      <c r="M68" s="14">
        <f t="shared" si="8"/>
        <v>211256.07</v>
      </c>
      <c r="N68" s="14">
        <v>400000</v>
      </c>
      <c r="O68" s="14">
        <f t="shared" si="9"/>
        <v>585000</v>
      </c>
      <c r="P68" s="14">
        <f t="shared" si="10"/>
        <v>211256.07</v>
      </c>
      <c r="Q68" s="14"/>
      <c r="R68" s="14"/>
      <c r="S68" s="14">
        <f t="shared" si="11"/>
        <v>0</v>
      </c>
      <c r="T68" s="14">
        <f t="shared" si="6"/>
        <v>0</v>
      </c>
      <c r="U68" s="14">
        <f t="shared" si="2"/>
        <v>400000</v>
      </c>
      <c r="V68" s="14">
        <v>400000</v>
      </c>
      <c r="W68" s="14">
        <f t="shared" si="7"/>
        <v>0</v>
      </c>
      <c r="X68" s="14"/>
      <c r="Y68" s="14"/>
      <c r="Z68" s="13"/>
      <c r="AA68" s="101">
        <v>810000</v>
      </c>
      <c r="AB68" s="57"/>
      <c r="AC68" s="57"/>
      <c r="AD68" s="55"/>
      <c r="AE68" s="55"/>
      <c r="AF68" s="57"/>
      <c r="AG68" s="57"/>
      <c r="AH68" s="55"/>
    </row>
    <row r="69" spans="1:35" s="15" customFormat="1">
      <c r="A69" s="13">
        <f t="shared" si="3"/>
        <v>64</v>
      </c>
      <c r="B69" s="13">
        <v>1970</v>
      </c>
      <c r="C69" s="13" t="s">
        <v>392</v>
      </c>
      <c r="D69" s="14">
        <f>2700000+4000000-1000000</f>
        <v>5700000</v>
      </c>
      <c r="E69" s="14">
        <v>2700000</v>
      </c>
      <c r="F69" s="14">
        <f t="shared" si="0"/>
        <v>3000000</v>
      </c>
      <c r="G69" s="14">
        <f>2000000+700000</f>
        <v>2700000</v>
      </c>
      <c r="H69" s="14">
        <v>33359</v>
      </c>
      <c r="I69" s="14"/>
      <c r="J69" s="14">
        <v>1726223</v>
      </c>
      <c r="K69" s="14">
        <f t="shared" si="12"/>
        <v>1726223</v>
      </c>
      <c r="L69" s="14">
        <f t="shared" si="5"/>
        <v>1759582</v>
      </c>
      <c r="M69" s="14">
        <f t="shared" si="8"/>
        <v>940418</v>
      </c>
      <c r="N69" s="14">
        <v>3000000</v>
      </c>
      <c r="O69" s="14">
        <f t="shared" si="9"/>
        <v>0</v>
      </c>
      <c r="P69" s="14">
        <f t="shared" si="10"/>
        <v>940418</v>
      </c>
      <c r="Q69" s="14">
        <f>700000-700000</f>
        <v>0</v>
      </c>
      <c r="R69" s="14"/>
      <c r="S69" s="14">
        <f t="shared" si="11"/>
        <v>0</v>
      </c>
      <c r="T69" s="14">
        <f t="shared" si="6"/>
        <v>0</v>
      </c>
      <c r="U69" s="14">
        <f t="shared" si="2"/>
        <v>3000000</v>
      </c>
      <c r="V69" s="14">
        <v>2000000</v>
      </c>
      <c r="W69" s="14">
        <f t="shared" si="7"/>
        <v>1000000</v>
      </c>
      <c r="X69" s="14"/>
      <c r="Y69" s="14"/>
      <c r="Z69" s="13"/>
      <c r="AA69" s="101">
        <v>810000</v>
      </c>
      <c r="AB69" s="57"/>
      <c r="AC69" s="57"/>
      <c r="AD69" s="55"/>
      <c r="AE69" s="55"/>
      <c r="AF69" s="57"/>
      <c r="AG69" s="57"/>
      <c r="AH69" s="55"/>
    </row>
    <row r="70" spans="1:35" s="15" customFormat="1">
      <c r="A70" s="13">
        <f t="shared" si="3"/>
        <v>65</v>
      </c>
      <c r="B70" s="13">
        <v>2000</v>
      </c>
      <c r="C70" s="13" t="s">
        <v>434</v>
      </c>
      <c r="D70" s="14">
        <v>354000</v>
      </c>
      <c r="E70" s="14">
        <v>354000</v>
      </c>
      <c r="F70" s="14">
        <f t="shared" si="0"/>
        <v>0</v>
      </c>
      <c r="G70" s="14">
        <v>354000</v>
      </c>
      <c r="H70" s="14">
        <v>0</v>
      </c>
      <c r="I70" s="14"/>
      <c r="J70" s="14">
        <v>354000</v>
      </c>
      <c r="K70" s="14">
        <f t="shared" si="12"/>
        <v>354000</v>
      </c>
      <c r="L70" s="14">
        <f t="shared" si="5"/>
        <v>354000</v>
      </c>
      <c r="M70" s="14">
        <f>P70+S70</f>
        <v>0</v>
      </c>
      <c r="N70" s="14"/>
      <c r="O70" s="14">
        <f t="shared" si="9"/>
        <v>0</v>
      </c>
      <c r="P70" s="14">
        <f>G70-L70</f>
        <v>0</v>
      </c>
      <c r="Q70" s="14"/>
      <c r="R70" s="14"/>
      <c r="S70" s="14">
        <f t="shared" si="11"/>
        <v>0</v>
      </c>
      <c r="T70" s="14">
        <f t="shared" si="6"/>
        <v>0</v>
      </c>
      <c r="U70" s="14">
        <f t="shared" si="2"/>
        <v>0</v>
      </c>
      <c r="V70" s="14"/>
      <c r="W70" s="14">
        <f t="shared" si="7"/>
        <v>0</v>
      </c>
      <c r="X70" s="14"/>
      <c r="Y70" s="14"/>
      <c r="Z70" s="13"/>
      <c r="AA70" s="101">
        <v>840000</v>
      </c>
      <c r="AB70" s="57"/>
      <c r="AC70" s="57"/>
      <c r="AD70" s="55"/>
      <c r="AE70" s="55"/>
      <c r="AF70" s="57"/>
      <c r="AG70" s="57"/>
      <c r="AH70" s="55"/>
    </row>
    <row r="71" spans="1:35" s="15" customFormat="1">
      <c r="A71" s="13">
        <f t="shared" si="3"/>
        <v>66</v>
      </c>
      <c r="B71" s="13">
        <v>2001</v>
      </c>
      <c r="C71" s="13" t="s">
        <v>435</v>
      </c>
      <c r="D71" s="14">
        <v>18500000</v>
      </c>
      <c r="E71" s="14">
        <v>18500000</v>
      </c>
      <c r="F71" s="14">
        <f t="shared" ref="F71:F76" si="13">D71-E71</f>
        <v>0</v>
      </c>
      <c r="G71" s="14">
        <v>6998700</v>
      </c>
      <c r="H71" s="14">
        <v>0</v>
      </c>
      <c r="I71" s="14"/>
      <c r="J71" s="14"/>
      <c r="K71" s="14">
        <f t="shared" si="12"/>
        <v>0</v>
      </c>
      <c r="L71" s="14">
        <f t="shared" si="5"/>
        <v>0</v>
      </c>
      <c r="M71" s="14">
        <f>P71+S71-6998700</f>
        <v>0</v>
      </c>
      <c r="N71" s="14">
        <f>2500000+9001300-11501300+9001300</f>
        <v>9001300</v>
      </c>
      <c r="O71" s="14">
        <f t="shared" si="9"/>
        <v>9498700</v>
      </c>
      <c r="P71" s="14">
        <f>G71-L71</f>
        <v>6998700</v>
      </c>
      <c r="Q71" s="14"/>
      <c r="R71" s="198"/>
      <c r="S71" s="14">
        <f t="shared" si="11"/>
        <v>0</v>
      </c>
      <c r="T71" s="14">
        <f t="shared" si="6"/>
        <v>6998700</v>
      </c>
      <c r="U71" s="14">
        <f t="shared" si="2"/>
        <v>2002600</v>
      </c>
      <c r="V71" s="14">
        <v>-6998700</v>
      </c>
      <c r="W71" s="14">
        <f t="shared" si="7"/>
        <v>0</v>
      </c>
      <c r="X71" s="14"/>
      <c r="Y71" s="14"/>
      <c r="Z71" s="14">
        <v>9001300</v>
      </c>
      <c r="AA71" s="101">
        <v>810000</v>
      </c>
      <c r="AB71" s="57"/>
      <c r="AC71" s="57"/>
      <c r="AD71" s="55"/>
      <c r="AE71" s="55"/>
      <c r="AF71" s="57"/>
      <c r="AG71" s="57"/>
      <c r="AH71" s="55"/>
    </row>
    <row r="72" spans="1:35" s="15" customFormat="1">
      <c r="A72" s="13">
        <f t="shared" ref="A72:A76" si="14">A71+1</f>
        <v>67</v>
      </c>
      <c r="B72" s="69">
        <v>2027</v>
      </c>
      <c r="C72" s="13" t="s">
        <v>1035</v>
      </c>
      <c r="D72" s="14">
        <v>1930000</v>
      </c>
      <c r="E72" s="14"/>
      <c r="F72" s="14">
        <f t="shared" si="13"/>
        <v>1930000</v>
      </c>
      <c r="G72" s="14"/>
      <c r="H72" s="14"/>
      <c r="I72" s="14"/>
      <c r="J72" s="14"/>
      <c r="K72" s="14"/>
      <c r="L72" s="14"/>
      <c r="M72" s="14"/>
      <c r="N72" s="14">
        <f>1930000-930000</f>
        <v>1000000</v>
      </c>
      <c r="O72" s="14">
        <f t="shared" si="9"/>
        <v>930000</v>
      </c>
      <c r="P72" s="14"/>
      <c r="Q72" s="14"/>
      <c r="R72" s="14"/>
      <c r="S72" s="14"/>
      <c r="T72" s="14"/>
      <c r="U72" s="14">
        <f>N72-T72</f>
        <v>1000000</v>
      </c>
      <c r="V72" s="14">
        <f>1430000-930000+100000</f>
        <v>600000</v>
      </c>
      <c r="W72" s="14">
        <f>U72-V72-Y72-AB72</f>
        <v>400000</v>
      </c>
      <c r="X72" s="14"/>
      <c r="Y72" s="14"/>
      <c r="Z72" s="13"/>
      <c r="AA72" s="101">
        <v>810000</v>
      </c>
      <c r="AB72" s="57"/>
      <c r="AC72" s="57"/>
      <c r="AD72" s="57"/>
      <c r="AE72" s="57"/>
      <c r="AF72" s="57"/>
      <c r="AG72" s="57"/>
      <c r="AH72" s="55"/>
    </row>
    <row r="73" spans="1:35" s="15" customFormat="1">
      <c r="A73" s="13">
        <f t="shared" si="14"/>
        <v>68</v>
      </c>
      <c r="B73" s="69">
        <v>2028</v>
      </c>
      <c r="C73" s="13" t="s">
        <v>471</v>
      </c>
      <c r="D73" s="14">
        <v>1500000</v>
      </c>
      <c r="E73" s="14"/>
      <c r="F73" s="14">
        <f t="shared" si="13"/>
        <v>1500000</v>
      </c>
      <c r="G73" s="14"/>
      <c r="H73" s="14"/>
      <c r="I73" s="14"/>
      <c r="J73" s="14"/>
      <c r="K73" s="14"/>
      <c r="L73" s="14"/>
      <c r="M73" s="14"/>
      <c r="N73" s="14">
        <v>1500000</v>
      </c>
      <c r="O73" s="14">
        <f>D73-L73-M73-N73</f>
        <v>0</v>
      </c>
      <c r="P73" s="14"/>
      <c r="Q73" s="14"/>
      <c r="R73" s="14"/>
      <c r="S73" s="14"/>
      <c r="T73" s="14"/>
      <c r="U73" s="14">
        <f>N73-T73</f>
        <v>1500000</v>
      </c>
      <c r="V73" s="14">
        <v>500000</v>
      </c>
      <c r="W73" s="14">
        <f>U73-V73-Y73-AB73</f>
        <v>1000000</v>
      </c>
      <c r="X73" s="14"/>
      <c r="Y73" s="14"/>
      <c r="Z73" s="13"/>
      <c r="AA73" s="101">
        <v>810000</v>
      </c>
      <c r="AB73" s="57"/>
      <c r="AC73" s="57"/>
      <c r="AD73" s="57"/>
      <c r="AE73" s="57"/>
      <c r="AF73" s="57"/>
      <c r="AG73" s="57"/>
      <c r="AH73" s="55"/>
    </row>
    <row r="74" spans="1:35" s="15" customFormat="1" ht="30">
      <c r="A74" s="13">
        <f t="shared" si="14"/>
        <v>69</v>
      </c>
      <c r="B74" s="69">
        <v>2029</v>
      </c>
      <c r="C74" s="13" t="s">
        <v>472</v>
      </c>
      <c r="D74" s="14">
        <v>300000</v>
      </c>
      <c r="E74" s="14"/>
      <c r="F74" s="14">
        <f t="shared" si="13"/>
        <v>300000</v>
      </c>
      <c r="G74" s="14"/>
      <c r="H74" s="14"/>
      <c r="I74" s="14"/>
      <c r="J74" s="14"/>
      <c r="K74" s="14"/>
      <c r="L74" s="14"/>
      <c r="M74" s="14"/>
      <c r="N74" s="14">
        <v>300000</v>
      </c>
      <c r="O74" s="14">
        <f>D74-L74-M74-N74</f>
        <v>0</v>
      </c>
      <c r="P74" s="14"/>
      <c r="Q74" s="14"/>
      <c r="R74" s="14"/>
      <c r="S74" s="14"/>
      <c r="T74" s="14"/>
      <c r="U74" s="14">
        <f>N74-T74</f>
        <v>300000</v>
      </c>
      <c r="V74" s="14"/>
      <c r="W74" s="14">
        <f>U74-V74-Y74-AB74</f>
        <v>300000</v>
      </c>
      <c r="X74" s="14"/>
      <c r="Y74" s="14"/>
      <c r="Z74" s="13"/>
      <c r="AA74" s="101">
        <v>850000</v>
      </c>
      <c r="AB74" s="57"/>
      <c r="AC74" s="57"/>
      <c r="AD74" s="57"/>
      <c r="AE74" s="57"/>
      <c r="AF74" s="57"/>
      <c r="AG74" s="57"/>
      <c r="AH74" s="55"/>
    </row>
    <row r="75" spans="1:35" s="11" customFormat="1">
      <c r="A75" s="13">
        <f t="shared" si="14"/>
        <v>70</v>
      </c>
      <c r="B75" s="69">
        <v>2030</v>
      </c>
      <c r="C75" s="1" t="s">
        <v>1033</v>
      </c>
      <c r="D75" s="2">
        <v>28000000</v>
      </c>
      <c r="E75" s="2"/>
      <c r="F75" s="2">
        <f t="shared" si="13"/>
        <v>28000000</v>
      </c>
      <c r="G75" s="2"/>
      <c r="H75" s="2"/>
      <c r="I75" s="2"/>
      <c r="J75" s="2"/>
      <c r="K75" s="2"/>
      <c r="L75" s="2"/>
      <c r="M75" s="2"/>
      <c r="N75" s="2">
        <v>1000000</v>
      </c>
      <c r="O75" s="2">
        <f t="shared" ref="O75" si="15">D75-L75-M75-N75</f>
        <v>27000000</v>
      </c>
      <c r="P75" s="2"/>
      <c r="Q75" s="2"/>
      <c r="R75" s="2"/>
      <c r="S75" s="2"/>
      <c r="T75" s="2"/>
      <c r="U75" s="14">
        <f t="shared" ref="U75" si="16">N75-T75</f>
        <v>1000000</v>
      </c>
      <c r="V75" s="2">
        <f t="shared" ref="V75" si="17">U75-X75-Y75-Z75</f>
        <v>1000000</v>
      </c>
      <c r="W75" s="2"/>
      <c r="X75" s="2"/>
      <c r="Y75" s="2"/>
      <c r="Z75" s="1"/>
      <c r="AA75" s="94">
        <v>810000</v>
      </c>
      <c r="AB75" s="57"/>
      <c r="AC75" s="57"/>
    </row>
    <row r="76" spans="1:35" s="15" customFormat="1">
      <c r="A76" s="13">
        <f t="shared" si="14"/>
        <v>71</v>
      </c>
      <c r="B76" s="69">
        <v>2031</v>
      </c>
      <c r="C76" s="13" t="s">
        <v>473</v>
      </c>
      <c r="D76" s="14">
        <f>3200000-500000</f>
        <v>2700000</v>
      </c>
      <c r="E76" s="14"/>
      <c r="F76" s="14">
        <f t="shared" si="13"/>
        <v>2700000</v>
      </c>
      <c r="G76" s="14"/>
      <c r="H76" s="14"/>
      <c r="I76" s="14"/>
      <c r="J76" s="14"/>
      <c r="K76" s="14"/>
      <c r="L76" s="14"/>
      <c r="M76" s="14"/>
      <c r="N76" s="14">
        <f>3200000-500000</f>
        <v>2700000</v>
      </c>
      <c r="O76" s="14">
        <f>D76-L76-M76-N76</f>
        <v>0</v>
      </c>
      <c r="P76" s="14"/>
      <c r="Q76" s="14"/>
      <c r="R76" s="14"/>
      <c r="S76" s="14"/>
      <c r="T76" s="14"/>
      <c r="U76" s="14">
        <f>N76-T76</f>
        <v>2700000</v>
      </c>
      <c r="V76" s="14">
        <f>U76*0.15-U76*0.15+200000+500000+100000+200000</f>
        <v>1000000</v>
      </c>
      <c r="W76" s="14">
        <f>U76-V76-Y76-AB76</f>
        <v>1700000</v>
      </c>
      <c r="X76" s="14"/>
      <c r="Y76" s="14"/>
      <c r="Z76" s="13"/>
      <c r="AA76" s="101">
        <v>826000</v>
      </c>
      <c r="AB76" s="57"/>
      <c r="AC76" s="57"/>
      <c r="AD76" s="57"/>
      <c r="AE76" s="57"/>
      <c r="AF76" s="57"/>
      <c r="AG76" s="57"/>
      <c r="AH76" s="55"/>
    </row>
    <row r="77" spans="1:35" s="99" customFormat="1" ht="15.75">
      <c r="A77" s="85">
        <f>A76</f>
        <v>71</v>
      </c>
      <c r="B77" s="85"/>
      <c r="C77" s="85" t="s">
        <v>106</v>
      </c>
      <c r="D77" s="27">
        <f t="shared" ref="D77:Z77" si="18">SUM(D6:D76)</f>
        <v>633904945</v>
      </c>
      <c r="E77" s="27">
        <f t="shared" si="18"/>
        <v>603734945</v>
      </c>
      <c r="F77" s="27">
        <f t="shared" si="18"/>
        <v>30170000</v>
      </c>
      <c r="G77" s="27">
        <f t="shared" si="18"/>
        <v>462598645</v>
      </c>
      <c r="H77" s="27">
        <f t="shared" si="18"/>
        <v>388788159.40999997</v>
      </c>
      <c r="I77" s="27">
        <f t="shared" si="18"/>
        <v>26316156.420000006</v>
      </c>
      <c r="J77" s="27">
        <f t="shared" si="18"/>
        <v>24144939.899999999</v>
      </c>
      <c r="K77" s="27">
        <f t="shared" si="18"/>
        <v>50461096.32</v>
      </c>
      <c r="L77" s="27">
        <f t="shared" si="18"/>
        <v>439249255.73000002</v>
      </c>
      <c r="M77" s="27">
        <f t="shared" si="18"/>
        <v>17030689.269999973</v>
      </c>
      <c r="N77" s="27">
        <f t="shared" si="18"/>
        <v>56791300</v>
      </c>
      <c r="O77" s="27">
        <f t="shared" si="18"/>
        <v>120833700</v>
      </c>
      <c r="P77" s="27">
        <f t="shared" si="18"/>
        <v>23349389.269999973</v>
      </c>
      <c r="Q77" s="27">
        <f t="shared" si="18"/>
        <v>930000</v>
      </c>
      <c r="R77" s="27">
        <f t="shared" si="18"/>
        <v>0</v>
      </c>
      <c r="S77" s="27">
        <f t="shared" si="18"/>
        <v>930000</v>
      </c>
      <c r="T77" s="27">
        <f t="shared" si="18"/>
        <v>7248700</v>
      </c>
      <c r="U77" s="27">
        <f t="shared" si="18"/>
        <v>49542600</v>
      </c>
      <c r="V77" s="27">
        <f t="shared" si="18"/>
        <v>25611300</v>
      </c>
      <c r="W77" s="27">
        <f t="shared" si="18"/>
        <v>12054000</v>
      </c>
      <c r="X77" s="27">
        <f t="shared" si="18"/>
        <v>0</v>
      </c>
      <c r="Y77" s="27">
        <f t="shared" si="18"/>
        <v>0</v>
      </c>
      <c r="Z77" s="27">
        <f t="shared" si="18"/>
        <v>11877300</v>
      </c>
      <c r="AA77" s="98"/>
      <c r="AB77" s="57">
        <f>SUM(AB6:AB71)</f>
        <v>0</v>
      </c>
      <c r="AC77" s="57"/>
      <c r="AD77" s="63"/>
      <c r="AE77" s="63"/>
      <c r="AF77" s="62"/>
      <c r="AG77" s="62"/>
      <c r="AH77" s="62"/>
      <c r="AI77" s="687"/>
    </row>
    <row r="78" spans="1:35" s="16" customFormat="1">
      <c r="A78" s="19"/>
      <c r="B78" s="19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4"/>
      <c r="AB78" s="57"/>
      <c r="AC78" s="57"/>
      <c r="AE78" s="58"/>
      <c r="AF78" s="58"/>
      <c r="AG78" s="58"/>
      <c r="AH78" s="58"/>
      <c r="AI78" s="54"/>
    </row>
    <row r="79" spans="1:35" s="57" customFormat="1" ht="15.75">
      <c r="B79" s="37"/>
      <c r="C79" s="106"/>
      <c r="D79" s="52"/>
      <c r="E79" s="52"/>
      <c r="F79" s="52"/>
      <c r="G79" s="52"/>
      <c r="H79" s="52"/>
      <c r="I79" s="52"/>
      <c r="J79" s="52"/>
      <c r="K79" s="52"/>
      <c r="L79" s="201"/>
      <c r="Q79" s="52"/>
      <c r="R79" s="52"/>
      <c r="S79" s="52"/>
      <c r="T79" s="52"/>
      <c r="U79" s="62"/>
      <c r="V79" s="89"/>
      <c r="W79" s="89"/>
      <c r="X79" s="89"/>
      <c r="Y79" s="89"/>
      <c r="Z79" s="89"/>
      <c r="AA79" s="37"/>
    </row>
    <row r="80" spans="1:35" s="57" customFormat="1">
      <c r="B80" s="37"/>
      <c r="C80" s="37"/>
      <c r="D80" s="52"/>
      <c r="E80" s="52"/>
      <c r="F80" s="52"/>
      <c r="G80" s="52"/>
      <c r="H80" s="52"/>
      <c r="I80" s="52"/>
      <c r="J80" s="52"/>
      <c r="K80" s="52"/>
      <c r="L80" s="52"/>
      <c r="P80" s="52"/>
      <c r="Q80" s="52"/>
      <c r="R80" s="52"/>
      <c r="S80" s="52"/>
      <c r="T80" s="52"/>
      <c r="V80" s="37"/>
      <c r="W80" s="37"/>
      <c r="X80" s="37"/>
      <c r="Y80" s="37"/>
      <c r="Z80" s="37"/>
      <c r="AA80" s="37"/>
    </row>
    <row r="81" spans="1:34">
      <c r="N81" s="52"/>
      <c r="O81" s="52"/>
      <c r="P81" s="52"/>
      <c r="Q81" s="52"/>
      <c r="R81" s="52"/>
      <c r="S81" s="52"/>
      <c r="T81" s="52"/>
      <c r="U81" s="37"/>
      <c r="AB81" s="57"/>
      <c r="AC81" s="57"/>
    </row>
    <row r="82" spans="1:34">
      <c r="O82" s="52"/>
      <c r="P82" s="52"/>
      <c r="Q82" s="52"/>
      <c r="R82" s="52"/>
      <c r="S82" s="52"/>
      <c r="T82" s="52"/>
      <c r="U82" s="52"/>
      <c r="AB82" s="57"/>
      <c r="AC82" s="57"/>
    </row>
    <row r="83" spans="1:34">
      <c r="O83" s="52"/>
      <c r="P83" s="52"/>
      <c r="Q83" s="52"/>
      <c r="R83" s="52"/>
      <c r="S83" s="52"/>
      <c r="T83" s="52"/>
      <c r="U83" s="52"/>
      <c r="AB83" s="57"/>
      <c r="AC83" s="57"/>
    </row>
    <row r="84" spans="1:34">
      <c r="N84" s="52"/>
      <c r="O84" s="52"/>
      <c r="P84" s="52"/>
      <c r="Q84" s="52"/>
      <c r="R84" s="52"/>
      <c r="S84" s="52"/>
      <c r="T84" s="52"/>
      <c r="U84" s="52"/>
      <c r="AB84" s="57"/>
      <c r="AC84" s="57"/>
    </row>
    <row r="85" spans="1:34">
      <c r="O85" s="52"/>
      <c r="P85" s="52"/>
      <c r="Q85" s="52"/>
      <c r="R85" s="52"/>
      <c r="S85" s="52"/>
      <c r="T85" s="52"/>
      <c r="U85" s="52"/>
      <c r="AB85" s="57"/>
      <c r="AC85" s="57"/>
    </row>
    <row r="86" spans="1:34" s="31" customFormat="1">
      <c r="A86" s="66"/>
      <c r="B86" s="29"/>
      <c r="C86" s="29"/>
      <c r="N86" s="52"/>
      <c r="O86" s="52"/>
      <c r="P86" s="52"/>
      <c r="Q86" s="52"/>
      <c r="R86" s="52"/>
      <c r="S86" s="52"/>
      <c r="T86" s="52"/>
      <c r="U86" s="37"/>
      <c r="V86" s="29"/>
      <c r="W86" s="29"/>
      <c r="X86" s="29"/>
      <c r="Y86" s="29"/>
      <c r="Z86" s="29"/>
      <c r="AA86" s="29"/>
      <c r="AB86" s="57"/>
      <c r="AC86" s="57"/>
      <c r="AD86" s="37"/>
      <c r="AE86" s="37"/>
      <c r="AF86" s="52"/>
      <c r="AG86" s="52"/>
      <c r="AH86" s="52"/>
    </row>
    <row r="87" spans="1:34">
      <c r="N87" s="52"/>
      <c r="P87" s="52"/>
      <c r="Q87" s="52"/>
      <c r="R87" s="52"/>
      <c r="S87" s="52"/>
      <c r="T87" s="52"/>
      <c r="U87" s="37"/>
      <c r="AB87" s="57"/>
      <c r="AC87" s="57"/>
    </row>
    <row r="88" spans="1:34">
      <c r="N88" s="52"/>
      <c r="O88" s="52"/>
      <c r="P88" s="52"/>
      <c r="Q88" s="52"/>
      <c r="R88" s="52"/>
      <c r="S88" s="52"/>
      <c r="T88" s="52"/>
      <c r="U88" s="37"/>
      <c r="AB88" s="57"/>
      <c r="AC88" s="57"/>
    </row>
    <row r="89" spans="1:34">
      <c r="N89" s="52"/>
      <c r="O89" s="52"/>
      <c r="P89" s="52"/>
      <c r="Q89" s="52"/>
      <c r="R89" s="52"/>
      <c r="S89" s="52"/>
      <c r="T89" s="52"/>
      <c r="U89" s="37"/>
      <c r="AB89" s="57"/>
      <c r="AC89" s="57"/>
    </row>
    <row r="90" spans="1:34">
      <c r="N90" s="52"/>
      <c r="O90" s="52"/>
      <c r="P90" s="52"/>
      <c r="Q90" s="52"/>
      <c r="R90" s="52"/>
      <c r="S90" s="52"/>
      <c r="T90" s="52"/>
      <c r="U90" s="37"/>
      <c r="AB90" s="57"/>
      <c r="AC90" s="57"/>
    </row>
    <row r="91" spans="1:34">
      <c r="N91" s="52"/>
      <c r="O91" s="52"/>
      <c r="P91" s="52"/>
      <c r="Q91" s="52"/>
      <c r="R91" s="52"/>
      <c r="S91" s="52"/>
      <c r="T91" s="52"/>
      <c r="U91" s="37"/>
      <c r="AB91" s="57"/>
      <c r="AC91" s="57"/>
    </row>
    <row r="92" spans="1:34">
      <c r="N92" s="52"/>
      <c r="O92" s="52"/>
      <c r="P92" s="52"/>
      <c r="Q92" s="52"/>
      <c r="R92" s="52"/>
      <c r="S92" s="52"/>
      <c r="T92" s="52"/>
      <c r="U92" s="37"/>
      <c r="AB92" s="57"/>
      <c r="AC92" s="57"/>
    </row>
    <row r="93" spans="1:34">
      <c r="N93" s="52"/>
      <c r="O93" s="52"/>
      <c r="P93" s="52"/>
      <c r="Q93" s="52"/>
      <c r="R93" s="52"/>
      <c r="S93" s="52"/>
      <c r="T93" s="52"/>
      <c r="U93" s="37"/>
      <c r="AB93" s="57"/>
      <c r="AC93" s="57"/>
    </row>
    <row r="95" spans="1:34">
      <c r="S95" s="82"/>
    </row>
    <row r="96" spans="1:34">
      <c r="S96" s="82"/>
    </row>
    <row r="97" spans="19:35">
      <c r="S97" s="82"/>
    </row>
    <row r="98" spans="19:35">
      <c r="S98" s="82"/>
      <c r="AH98" s="52"/>
      <c r="AI98" s="29" t="s">
        <v>411</v>
      </c>
    </row>
    <row r="99" spans="19:35">
      <c r="S99" s="82"/>
    </row>
    <row r="101" spans="19:35">
      <c r="S101" s="82"/>
    </row>
    <row r="102" spans="19:35">
      <c r="AH102" s="52"/>
      <c r="AI102" s="29" t="s">
        <v>411</v>
      </c>
    </row>
    <row r="103" spans="19:35">
      <c r="T103" s="29"/>
      <c r="U103" s="31"/>
    </row>
    <row r="104" spans="19:35">
      <c r="U104" s="31"/>
    </row>
  </sheetData>
  <sheetProtection formatCells="0" formatColumns="0" formatRows="0" insertColumns="0" insertRows="0" insertHyperlinks="0" deleteColumns="0" deleteRows="0" sort="0" autoFilter="0" pivotTables="0"/>
  <conditionalFormatting sqref="A2">
    <cfRule type="cellIs" dxfId="36" priority="4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I124"/>
  <sheetViews>
    <sheetView showZeros="0" rightToLeft="1" zoomScaleNormal="100" workbookViewId="0">
      <pane xSplit="3" ySplit="4" topLeftCell="D92" activePane="bottomRight" state="frozen"/>
      <selection activeCell="E28" sqref="E28"/>
      <selection pane="topRight" activeCell="E28" sqref="E28"/>
      <selection pane="bottomLeft" activeCell="E28" sqref="E28"/>
      <selection pane="bottomRight" activeCell="W106" sqref="W106"/>
    </sheetView>
  </sheetViews>
  <sheetFormatPr defaultColWidth="9.140625" defaultRowHeight="15"/>
  <cols>
    <col min="1" max="1" width="3.42578125" style="66" customWidth="1"/>
    <col min="2" max="2" width="4.85546875" style="29" customWidth="1"/>
    <col min="3" max="3" width="36.7109375" style="29" customWidth="1"/>
    <col min="4" max="4" width="11.28515625" style="31" customWidth="1"/>
    <col min="5" max="5" width="11" style="31" hidden="1" customWidth="1"/>
    <col min="6" max="6" width="11.28515625" style="31" hidden="1" customWidth="1"/>
    <col min="7" max="10" width="12.7109375" style="31" hidden="1" customWidth="1"/>
    <col min="11" max="11" width="11.28515625" style="31" hidden="1" customWidth="1"/>
    <col min="12" max="12" width="10.85546875" style="31" customWidth="1"/>
    <col min="13" max="13" width="10.28515625" style="31" customWidth="1"/>
    <col min="14" max="14" width="9.85546875" style="31" customWidth="1"/>
    <col min="15" max="15" width="11.140625" style="31" bestFit="1" customWidth="1"/>
    <col min="16" max="17" width="11.140625" style="31" hidden="1" customWidth="1"/>
    <col min="18" max="18" width="12" style="31" hidden="1" customWidth="1"/>
    <col min="19" max="19" width="10.28515625" style="31" hidden="1" customWidth="1"/>
    <col min="20" max="20" width="8.85546875" style="31" customWidth="1"/>
    <col min="21" max="21" width="11.42578125" style="29" customWidth="1"/>
    <col min="22" max="22" width="10.140625" style="29" customWidth="1"/>
    <col min="23" max="23" width="10.28515625" style="29" customWidth="1"/>
    <col min="24" max="25" width="9.140625" style="29" customWidth="1"/>
    <col min="26" max="26" width="10.140625" style="29" customWidth="1"/>
    <col min="27" max="27" width="7.85546875" style="29" customWidth="1"/>
    <col min="28" max="28" width="2.5703125" style="29" customWidth="1"/>
    <col min="29" max="29" width="11.140625" style="37" bestFit="1" customWidth="1"/>
    <col min="30" max="31" width="10.140625" style="37" bestFit="1" customWidth="1"/>
    <col min="32" max="32" width="2.140625" style="37" customWidth="1"/>
    <col min="33" max="33" width="9.140625" style="37" customWidth="1"/>
    <col min="34" max="34" width="10.140625" style="37" customWidth="1"/>
    <col min="35" max="35" width="10.140625" style="29" customWidth="1"/>
    <col min="36" max="16384" width="9.140625" style="29"/>
  </cols>
  <sheetData>
    <row r="2" spans="1:34" ht="18.75">
      <c r="A2" s="541" t="s">
        <v>469</v>
      </c>
      <c r="B2" s="541"/>
      <c r="C2" s="541"/>
      <c r="D2" s="541"/>
      <c r="E2" s="541">
        <v>603734945</v>
      </c>
      <c r="F2" s="541"/>
      <c r="G2" s="541"/>
      <c r="H2" s="541"/>
      <c r="I2" s="541"/>
      <c r="J2" s="541"/>
      <c r="K2" s="541"/>
      <c r="L2" s="541"/>
      <c r="M2" s="541"/>
      <c r="N2" s="541"/>
      <c r="O2" s="65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B2" s="541"/>
    </row>
    <row r="3" spans="1:34">
      <c r="X3" s="31"/>
      <c r="Y3" s="31"/>
    </row>
    <row r="4" spans="1:34" s="60" customFormat="1" ht="75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195"/>
    </row>
    <row r="5" spans="1:34" s="15" customFormat="1" ht="18" customHeigh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101"/>
      <c r="AB5" s="196"/>
      <c r="AC5" s="57"/>
      <c r="AD5" s="57"/>
      <c r="AE5" s="57"/>
      <c r="AF5" s="57"/>
      <c r="AG5" s="57"/>
      <c r="AH5" s="57"/>
    </row>
    <row r="6" spans="1:34" s="15" customFormat="1">
      <c r="A6" s="13">
        <f>A5+1</f>
        <v>1</v>
      </c>
      <c r="B6" s="13">
        <v>1942</v>
      </c>
      <c r="C6" s="13" t="s">
        <v>350</v>
      </c>
      <c r="D6" s="14">
        <f>'תבל  '!D62</f>
        <v>972000</v>
      </c>
      <c r="E6" s="14">
        <f>'תבל  '!E62</f>
        <v>572000</v>
      </c>
      <c r="F6" s="14">
        <f>'תבל  '!F62</f>
        <v>400000</v>
      </c>
      <c r="G6" s="14">
        <f>'תבל  '!G62</f>
        <v>572000</v>
      </c>
      <c r="H6" s="14">
        <f>'תבל  '!H62</f>
        <v>0</v>
      </c>
      <c r="I6" s="14">
        <f>'תבל  '!I62</f>
        <v>0</v>
      </c>
      <c r="J6" s="14">
        <f>'תבל  '!J62</f>
        <v>8403</v>
      </c>
      <c r="K6" s="14">
        <f>'תבל  '!K62</f>
        <v>8403</v>
      </c>
      <c r="L6" s="14">
        <f>'תבל  '!L62</f>
        <v>8403</v>
      </c>
      <c r="M6" s="14">
        <f>'תבל  '!M62</f>
        <v>563597</v>
      </c>
      <c r="N6" s="14">
        <f>'תבל  '!N62</f>
        <v>400000</v>
      </c>
      <c r="O6" s="14">
        <f>'תבל  '!O62</f>
        <v>0</v>
      </c>
      <c r="P6" s="14">
        <f>'תבל  '!P62</f>
        <v>563597</v>
      </c>
      <c r="Q6" s="14">
        <f>'תבל  '!Q62</f>
        <v>0</v>
      </c>
      <c r="R6" s="14">
        <f>'תבל  '!R62</f>
        <v>0</v>
      </c>
      <c r="S6" s="14">
        <f>'תבל  '!S62</f>
        <v>0</v>
      </c>
      <c r="T6" s="14">
        <f>'תבל  '!T62</f>
        <v>0</v>
      </c>
      <c r="U6" s="14">
        <f>'תבל  '!U62</f>
        <v>400000</v>
      </c>
      <c r="V6" s="14">
        <f>'תבל  '!V62</f>
        <v>400000</v>
      </c>
      <c r="W6" s="14">
        <f>'תבל  '!W62</f>
        <v>0</v>
      </c>
      <c r="X6" s="14">
        <f>'תבל  '!X62</f>
        <v>0</v>
      </c>
      <c r="Y6" s="14">
        <f>'תבל  '!Y62</f>
        <v>0</v>
      </c>
      <c r="Z6" s="14">
        <f>'תבל  '!Z62</f>
        <v>0</v>
      </c>
      <c r="AA6" s="101">
        <f>'תבל  '!AA62</f>
        <v>724000</v>
      </c>
      <c r="AB6" s="196"/>
      <c r="AC6" s="112"/>
      <c r="AD6" s="55"/>
      <c r="AE6" s="55"/>
      <c r="AF6" s="57"/>
      <c r="AG6" s="57"/>
      <c r="AH6" s="55"/>
    </row>
    <row r="7" spans="1:34" s="77" customFormat="1">
      <c r="A7" s="48"/>
      <c r="B7" s="76">
        <v>5</v>
      </c>
      <c r="C7" s="48" t="s">
        <v>1042</v>
      </c>
      <c r="D7" s="33">
        <f>SUM(D6)</f>
        <v>972000</v>
      </c>
      <c r="E7" s="33">
        <f t="shared" ref="E7:Z7" si="0">SUM(E6)</f>
        <v>572000</v>
      </c>
      <c r="F7" s="33">
        <f t="shared" si="0"/>
        <v>400000</v>
      </c>
      <c r="G7" s="33">
        <f t="shared" si="0"/>
        <v>572000</v>
      </c>
      <c r="H7" s="33">
        <f t="shared" si="0"/>
        <v>0</v>
      </c>
      <c r="I7" s="33">
        <f t="shared" si="0"/>
        <v>0</v>
      </c>
      <c r="J7" s="33">
        <f t="shared" si="0"/>
        <v>8403</v>
      </c>
      <c r="K7" s="33">
        <f t="shared" si="0"/>
        <v>8403</v>
      </c>
      <c r="L7" s="33">
        <f t="shared" si="0"/>
        <v>8403</v>
      </c>
      <c r="M7" s="33">
        <f t="shared" si="0"/>
        <v>563597</v>
      </c>
      <c r="N7" s="33">
        <f t="shared" si="0"/>
        <v>400000</v>
      </c>
      <c r="O7" s="33">
        <f t="shared" si="0"/>
        <v>0</v>
      </c>
      <c r="P7" s="33">
        <f t="shared" si="0"/>
        <v>563597</v>
      </c>
      <c r="Q7" s="33">
        <f t="shared" si="0"/>
        <v>0</v>
      </c>
      <c r="R7" s="33">
        <f t="shared" si="0"/>
        <v>0</v>
      </c>
      <c r="S7" s="33">
        <f t="shared" si="0"/>
        <v>0</v>
      </c>
      <c r="T7" s="33">
        <f t="shared" si="0"/>
        <v>0</v>
      </c>
      <c r="U7" s="33">
        <f t="shared" si="0"/>
        <v>400000</v>
      </c>
      <c r="V7" s="33">
        <f t="shared" si="0"/>
        <v>400000</v>
      </c>
      <c r="W7" s="33">
        <f t="shared" si="0"/>
        <v>0</v>
      </c>
      <c r="X7" s="33">
        <f t="shared" si="0"/>
        <v>0</v>
      </c>
      <c r="Y7" s="33">
        <f t="shared" si="0"/>
        <v>0</v>
      </c>
      <c r="Z7" s="33">
        <f t="shared" si="0"/>
        <v>0</v>
      </c>
      <c r="AA7" s="96"/>
    </row>
    <row r="8" spans="1:34" s="15" customFormat="1">
      <c r="A8" s="13"/>
      <c r="B8" s="13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01"/>
      <c r="AB8" s="196"/>
      <c r="AC8" s="112"/>
      <c r="AD8" s="55"/>
      <c r="AE8" s="55"/>
      <c r="AF8" s="57"/>
      <c r="AG8" s="57"/>
      <c r="AH8" s="55"/>
    </row>
    <row r="9" spans="1:34" s="15" customFormat="1">
      <c r="A9" s="13">
        <f>A6+1</f>
        <v>2</v>
      </c>
      <c r="B9" s="13">
        <v>1247</v>
      </c>
      <c r="C9" s="13" t="s">
        <v>84</v>
      </c>
      <c r="D9" s="14">
        <f>'תבל  '!D6</f>
        <v>9500000</v>
      </c>
      <c r="E9" s="14">
        <f>'תבל  '!E6</f>
        <v>9500000</v>
      </c>
      <c r="F9" s="14">
        <f>'תבל  '!F6</f>
        <v>0</v>
      </c>
      <c r="G9" s="14">
        <f>'תבל  '!G6</f>
        <v>8450000</v>
      </c>
      <c r="H9" s="14">
        <f>'תבל  '!H6</f>
        <v>7752686</v>
      </c>
      <c r="I9" s="14">
        <f>'תבל  '!I6</f>
        <v>0</v>
      </c>
      <c r="J9" s="14">
        <f>'תבל  '!J6</f>
        <v>498203</v>
      </c>
      <c r="K9" s="14">
        <f>'תבל  '!K6</f>
        <v>498203</v>
      </c>
      <c r="L9" s="14">
        <f>'תבל  '!L6</f>
        <v>8250889</v>
      </c>
      <c r="M9" s="14">
        <f>'תבל  '!M6</f>
        <v>199111</v>
      </c>
      <c r="N9" s="14">
        <f>'תבל  '!N6</f>
        <v>200000</v>
      </c>
      <c r="O9" s="14">
        <f>'תבל  '!O6</f>
        <v>850000</v>
      </c>
      <c r="P9" s="14">
        <f>'תבל  '!P6</f>
        <v>199111</v>
      </c>
      <c r="Q9" s="14">
        <f>'תבל  '!Q6</f>
        <v>0</v>
      </c>
      <c r="R9" s="14">
        <f>'תבל  '!R6</f>
        <v>0</v>
      </c>
      <c r="S9" s="14">
        <f>'תבל  '!S6</f>
        <v>0</v>
      </c>
      <c r="T9" s="14">
        <f>'תבל  '!T6</f>
        <v>0</v>
      </c>
      <c r="U9" s="14">
        <f>'תבל  '!U6</f>
        <v>200000</v>
      </c>
      <c r="V9" s="14">
        <f>'תבל  '!V6</f>
        <v>200000</v>
      </c>
      <c r="W9" s="14">
        <f>'תבל  '!W6</f>
        <v>0</v>
      </c>
      <c r="X9" s="14">
        <f>'תבל  '!X6</f>
        <v>0</v>
      </c>
      <c r="Y9" s="14">
        <f>'תבל  '!Y6</f>
        <v>0</v>
      </c>
      <c r="Z9" s="14">
        <f>'תבל  '!Z6</f>
        <v>0</v>
      </c>
      <c r="AA9" s="101">
        <f>'תבל  '!AA6</f>
        <v>732000</v>
      </c>
      <c r="AB9" s="196"/>
      <c r="AC9" s="112"/>
      <c r="AD9" s="55"/>
      <c r="AE9" s="55"/>
      <c r="AF9" s="57"/>
      <c r="AG9" s="57"/>
      <c r="AH9" s="55"/>
    </row>
    <row r="10" spans="1:34" s="77" customFormat="1">
      <c r="A10" s="48"/>
      <c r="B10" s="76">
        <v>2</v>
      </c>
      <c r="C10" s="48" t="s">
        <v>1037</v>
      </c>
      <c r="D10" s="33">
        <f>SUM(D9)</f>
        <v>9500000</v>
      </c>
      <c r="E10" s="33">
        <f t="shared" ref="E10:Z10" si="1">SUM(E9)</f>
        <v>9500000</v>
      </c>
      <c r="F10" s="33">
        <f t="shared" si="1"/>
        <v>0</v>
      </c>
      <c r="G10" s="33">
        <f t="shared" si="1"/>
        <v>8450000</v>
      </c>
      <c r="H10" s="33">
        <f t="shared" si="1"/>
        <v>7752686</v>
      </c>
      <c r="I10" s="33">
        <f t="shared" si="1"/>
        <v>0</v>
      </c>
      <c r="J10" s="33">
        <f t="shared" si="1"/>
        <v>498203</v>
      </c>
      <c r="K10" s="33">
        <f t="shared" si="1"/>
        <v>498203</v>
      </c>
      <c r="L10" s="33">
        <f t="shared" si="1"/>
        <v>8250889</v>
      </c>
      <c r="M10" s="33">
        <f t="shared" si="1"/>
        <v>199111</v>
      </c>
      <c r="N10" s="33">
        <f t="shared" si="1"/>
        <v>200000</v>
      </c>
      <c r="O10" s="33">
        <f t="shared" si="1"/>
        <v>850000</v>
      </c>
      <c r="P10" s="33">
        <f t="shared" si="1"/>
        <v>199111</v>
      </c>
      <c r="Q10" s="33">
        <f t="shared" si="1"/>
        <v>0</v>
      </c>
      <c r="R10" s="33">
        <f t="shared" si="1"/>
        <v>0</v>
      </c>
      <c r="S10" s="33">
        <f t="shared" si="1"/>
        <v>0</v>
      </c>
      <c r="T10" s="33">
        <f t="shared" si="1"/>
        <v>0</v>
      </c>
      <c r="U10" s="33">
        <f t="shared" si="1"/>
        <v>200000</v>
      </c>
      <c r="V10" s="33">
        <f t="shared" si="1"/>
        <v>200000</v>
      </c>
      <c r="W10" s="33">
        <f t="shared" si="1"/>
        <v>0</v>
      </c>
      <c r="X10" s="33">
        <f t="shared" si="1"/>
        <v>0</v>
      </c>
      <c r="Y10" s="33">
        <f t="shared" si="1"/>
        <v>0</v>
      </c>
      <c r="Z10" s="33">
        <f t="shared" si="1"/>
        <v>0</v>
      </c>
      <c r="AA10" s="96"/>
    </row>
    <row r="11" spans="1:34" s="15" customFormat="1">
      <c r="A11" s="13"/>
      <c r="B11" s="13"/>
      <c r="C11" s="13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01"/>
      <c r="AB11" s="196"/>
      <c r="AC11" s="112"/>
      <c r="AD11" s="55"/>
      <c r="AE11" s="55"/>
      <c r="AF11" s="57"/>
      <c r="AG11" s="57"/>
      <c r="AH11" s="55"/>
    </row>
    <row r="12" spans="1:34" s="15" customFormat="1">
      <c r="A12" s="13">
        <f>A9+1</f>
        <v>3</v>
      </c>
      <c r="B12" s="13">
        <v>1250</v>
      </c>
      <c r="C12" s="13" t="s">
        <v>85</v>
      </c>
      <c r="D12" s="14">
        <f>'תבל  '!D7</f>
        <v>1450000</v>
      </c>
      <c r="E12" s="14">
        <f>'תבל  '!E7</f>
        <v>1450000</v>
      </c>
      <c r="F12" s="14">
        <f>'תבל  '!F7</f>
        <v>0</v>
      </c>
      <c r="G12" s="14">
        <f>'תבל  '!G7</f>
        <v>1000000</v>
      </c>
      <c r="H12" s="14">
        <f>'תבל  '!H7</f>
        <v>708018.48</v>
      </c>
      <c r="I12" s="14">
        <f>'תבל  '!I7</f>
        <v>0</v>
      </c>
      <c r="J12" s="14">
        <f>'תבל  '!J7</f>
        <v>105927.1</v>
      </c>
      <c r="K12" s="14">
        <f>'תבל  '!K7</f>
        <v>105927.1</v>
      </c>
      <c r="L12" s="14">
        <f>'תבל  '!L7</f>
        <v>813945.58</v>
      </c>
      <c r="M12" s="14">
        <f>'תבל  '!M7</f>
        <v>186054.42000000004</v>
      </c>
      <c r="N12" s="14">
        <f>'תבל  '!N7</f>
        <v>0</v>
      </c>
      <c r="O12" s="14">
        <f>'תבל  '!O7</f>
        <v>450000</v>
      </c>
      <c r="P12" s="14">
        <f>'תבל  '!P7</f>
        <v>186054.42000000004</v>
      </c>
      <c r="Q12" s="14">
        <f>'תבל  '!Q7</f>
        <v>0</v>
      </c>
      <c r="R12" s="14">
        <f>'תבל  '!R7</f>
        <v>0</v>
      </c>
      <c r="S12" s="14">
        <f>'תבל  '!S7</f>
        <v>0</v>
      </c>
      <c r="T12" s="14">
        <f>'תבל  '!T7</f>
        <v>0</v>
      </c>
      <c r="U12" s="14">
        <f>'תבל  '!U7</f>
        <v>0</v>
      </c>
      <c r="V12" s="14">
        <f>'תבל  '!V7</f>
        <v>0</v>
      </c>
      <c r="W12" s="14">
        <f>'תבל  '!W7</f>
        <v>0</v>
      </c>
      <c r="X12" s="14">
        <f>'תבל  '!X7</f>
        <v>0</v>
      </c>
      <c r="Y12" s="14">
        <f>'תבל  '!Y7</f>
        <v>0</v>
      </c>
      <c r="Z12" s="14">
        <f>'תבל  '!Z7</f>
        <v>0</v>
      </c>
      <c r="AA12" s="101">
        <f>'תבל  '!AA7</f>
        <v>749000</v>
      </c>
      <c r="AB12" s="196"/>
      <c r="AC12" s="112"/>
      <c r="AD12" s="55"/>
      <c r="AE12" s="55"/>
      <c r="AF12" s="57"/>
      <c r="AG12" s="57"/>
      <c r="AH12" s="55"/>
    </row>
    <row r="13" spans="1:34" s="15" customFormat="1">
      <c r="A13" s="13">
        <f>A12+1</f>
        <v>4</v>
      </c>
      <c r="B13" s="13">
        <v>1481</v>
      </c>
      <c r="C13" s="13" t="s">
        <v>389</v>
      </c>
      <c r="D13" s="14">
        <f>'תבל  '!D20</f>
        <v>6980000</v>
      </c>
      <c r="E13" s="14">
        <f>'תבל  '!E20</f>
        <v>6980000</v>
      </c>
      <c r="F13" s="14">
        <f>'תבל  '!F20</f>
        <v>0</v>
      </c>
      <c r="G13" s="14">
        <f>'תבל  '!G20</f>
        <v>6980000</v>
      </c>
      <c r="H13" s="14">
        <f>'תבל  '!H20</f>
        <v>5734254</v>
      </c>
      <c r="I13" s="14">
        <f>'תבל  '!I20</f>
        <v>0</v>
      </c>
      <c r="J13" s="14">
        <f>'תבל  '!J20</f>
        <v>1073663</v>
      </c>
      <c r="K13" s="14">
        <f>'תבל  '!K20</f>
        <v>1073663</v>
      </c>
      <c r="L13" s="14">
        <f>'תבל  '!L20</f>
        <v>6807917</v>
      </c>
      <c r="M13" s="14">
        <f>'תבל  '!M20</f>
        <v>172083</v>
      </c>
      <c r="N13" s="14">
        <f>'תבל  '!N20</f>
        <v>0</v>
      </c>
      <c r="O13" s="14">
        <f>'תבל  '!O20</f>
        <v>0</v>
      </c>
      <c r="P13" s="14">
        <f>'תבל  '!P20</f>
        <v>172083</v>
      </c>
      <c r="Q13" s="14">
        <f>'תבל  '!Q20</f>
        <v>0</v>
      </c>
      <c r="R13" s="14">
        <f>'תבל  '!R20</f>
        <v>0</v>
      </c>
      <c r="S13" s="14">
        <f>'תבל  '!S20</f>
        <v>0</v>
      </c>
      <c r="T13" s="14">
        <f>'תבל  '!T20</f>
        <v>0</v>
      </c>
      <c r="U13" s="14">
        <f>'תבל  '!U20</f>
        <v>0</v>
      </c>
      <c r="V13" s="14">
        <f>'תבל  '!V20</f>
        <v>0</v>
      </c>
      <c r="W13" s="14">
        <f>'תבל  '!W20</f>
        <v>0</v>
      </c>
      <c r="X13" s="14">
        <f>'תבל  '!X20</f>
        <v>0</v>
      </c>
      <c r="Y13" s="14">
        <f>'תבל  '!Y20</f>
        <v>0</v>
      </c>
      <c r="Z13" s="14">
        <f>'תבל  '!Z20</f>
        <v>0</v>
      </c>
      <c r="AA13" s="101">
        <f>'תבל  '!AA20</f>
        <v>743000</v>
      </c>
      <c r="AB13" s="196"/>
      <c r="AC13" s="112"/>
      <c r="AD13" s="55"/>
      <c r="AE13" s="55"/>
      <c r="AF13" s="57"/>
      <c r="AG13" s="57"/>
      <c r="AH13" s="55"/>
    </row>
    <row r="14" spans="1:34" s="15" customFormat="1">
      <c r="A14" s="13">
        <f t="shared" ref="A14:A21" si="2">A13+1</f>
        <v>5</v>
      </c>
      <c r="B14" s="13">
        <v>1485</v>
      </c>
      <c r="C14" s="13" t="s">
        <v>97</v>
      </c>
      <c r="D14" s="14">
        <f>'תבל  '!D23</f>
        <v>1400000</v>
      </c>
      <c r="E14" s="14">
        <f>'תבל  '!E23</f>
        <v>1400000</v>
      </c>
      <c r="F14" s="14">
        <f>'תבל  '!F23</f>
        <v>0</v>
      </c>
      <c r="G14" s="14">
        <f>'תבל  '!G23</f>
        <v>1400000</v>
      </c>
      <c r="H14" s="14">
        <f>'תבל  '!H23</f>
        <v>1275862.6599999999</v>
      </c>
      <c r="I14" s="14">
        <f>'תבל  '!I23</f>
        <v>0</v>
      </c>
      <c r="J14" s="14">
        <f>'תבל  '!J23</f>
        <v>0</v>
      </c>
      <c r="K14" s="14">
        <f>'תבל  '!K23</f>
        <v>0</v>
      </c>
      <c r="L14" s="14">
        <f>'תבל  '!L23</f>
        <v>1275862.6599999999</v>
      </c>
      <c r="M14" s="14">
        <f>'תבל  '!M23</f>
        <v>124137.34000000008</v>
      </c>
      <c r="N14" s="14">
        <f>'תבל  '!N23</f>
        <v>0</v>
      </c>
      <c r="O14" s="14">
        <f>'תבל  '!O23</f>
        <v>0</v>
      </c>
      <c r="P14" s="14">
        <f>'תבל  '!P23</f>
        <v>124137.34000000008</v>
      </c>
      <c r="Q14" s="14">
        <f>'תבל  '!Q23</f>
        <v>0</v>
      </c>
      <c r="R14" s="14">
        <f>'תבל  '!R23</f>
        <v>0</v>
      </c>
      <c r="S14" s="14">
        <f>'תבל  '!S23</f>
        <v>0</v>
      </c>
      <c r="T14" s="14">
        <f>'תבל  '!T23</f>
        <v>0</v>
      </c>
      <c r="U14" s="14">
        <f>'תבל  '!U23</f>
        <v>0</v>
      </c>
      <c r="V14" s="14">
        <f>'תבל  '!V23</f>
        <v>0</v>
      </c>
      <c r="W14" s="14">
        <f>'תבל  '!W23</f>
        <v>0</v>
      </c>
      <c r="X14" s="14">
        <f>'תבל  '!X23</f>
        <v>0</v>
      </c>
      <c r="Y14" s="14">
        <f>'תבל  '!Y23</f>
        <v>0</v>
      </c>
      <c r="Z14" s="14">
        <f>'תבל  '!Z23</f>
        <v>0</v>
      </c>
      <c r="AA14" s="101">
        <f>'תבל  '!AA23</f>
        <v>742000</v>
      </c>
      <c r="AB14" s="196"/>
      <c r="AC14" s="112"/>
      <c r="AD14" s="55"/>
      <c r="AE14" s="55"/>
      <c r="AF14" s="57"/>
      <c r="AG14" s="57"/>
      <c r="AH14" s="55"/>
    </row>
    <row r="15" spans="1:34" s="15" customFormat="1">
      <c r="A15" s="13">
        <f t="shared" si="2"/>
        <v>6</v>
      </c>
      <c r="B15" s="13">
        <v>1489</v>
      </c>
      <c r="C15" s="13" t="s">
        <v>470</v>
      </c>
      <c r="D15" s="14">
        <f>'תבל  '!D24</f>
        <v>46200000</v>
      </c>
      <c r="E15" s="14">
        <f>'תבל  '!E24</f>
        <v>46200000</v>
      </c>
      <c r="F15" s="14">
        <f>'תבל  '!F24</f>
        <v>0</v>
      </c>
      <c r="G15" s="14">
        <f>'תבל  '!G24</f>
        <v>29500000</v>
      </c>
      <c r="H15" s="14">
        <f>'תבל  '!H24</f>
        <v>26174322.010000002</v>
      </c>
      <c r="I15" s="14">
        <f>'תבל  '!I24</f>
        <v>0</v>
      </c>
      <c r="J15" s="14">
        <f>'תבל  '!J24</f>
        <v>3099914.6</v>
      </c>
      <c r="K15" s="14">
        <f>'תבל  '!K24</f>
        <v>3099914.6</v>
      </c>
      <c r="L15" s="14">
        <f>'תבל  '!L24</f>
        <v>29274236.610000003</v>
      </c>
      <c r="M15" s="14">
        <f>'תבל  '!M24</f>
        <v>225763.38999999687</v>
      </c>
      <c r="N15" s="14">
        <f>'תבל  '!N24</f>
        <v>4000000</v>
      </c>
      <c r="O15" s="14">
        <f>'תבל  '!O24</f>
        <v>12700000</v>
      </c>
      <c r="P15" s="14">
        <f>'תבל  '!P24</f>
        <v>225763.38999999687</v>
      </c>
      <c r="Q15" s="14">
        <f>'תבל  '!Q24</f>
        <v>0</v>
      </c>
      <c r="R15" s="14">
        <f>'תבל  '!R24</f>
        <v>0</v>
      </c>
      <c r="S15" s="14">
        <f>'תבל  '!S24</f>
        <v>0</v>
      </c>
      <c r="T15" s="14">
        <f>'תבל  '!T24</f>
        <v>0</v>
      </c>
      <c r="U15" s="14">
        <f>'תבל  '!U24</f>
        <v>4000000</v>
      </c>
      <c r="V15" s="14">
        <f>'תבל  '!V24</f>
        <v>2000000</v>
      </c>
      <c r="W15" s="14">
        <f>'תבל  '!W24</f>
        <v>2000000</v>
      </c>
      <c r="X15" s="14">
        <f>'תבל  '!X24</f>
        <v>0</v>
      </c>
      <c r="Y15" s="14">
        <f>'תבל  '!Y24</f>
        <v>0</v>
      </c>
      <c r="Z15" s="14">
        <f>'תבל  '!Z24</f>
        <v>0</v>
      </c>
      <c r="AA15" s="101">
        <f>'תבל  '!AA24</f>
        <v>742000</v>
      </c>
      <c r="AB15" s="196"/>
      <c r="AC15" s="112"/>
      <c r="AD15" s="55"/>
      <c r="AE15" s="55"/>
      <c r="AF15" s="57"/>
      <c r="AG15" s="57"/>
      <c r="AH15" s="55"/>
    </row>
    <row r="16" spans="1:34" s="15" customFormat="1">
      <c r="A16" s="13">
        <f t="shared" si="2"/>
        <v>7</v>
      </c>
      <c r="B16" s="13">
        <v>1560</v>
      </c>
      <c r="C16" s="13" t="s">
        <v>100</v>
      </c>
      <c r="D16" s="14">
        <f>'תבל  '!D25</f>
        <v>3660000</v>
      </c>
      <c r="E16" s="14">
        <f>'תבל  '!E25</f>
        <v>3660000</v>
      </c>
      <c r="F16" s="14">
        <f>'תבל  '!F25</f>
        <v>0</v>
      </c>
      <c r="G16" s="14">
        <f>'תבל  '!G25</f>
        <v>2860000</v>
      </c>
      <c r="H16" s="14">
        <f>'תבל  '!H25</f>
        <v>1941360.76</v>
      </c>
      <c r="I16" s="14">
        <f>'תבל  '!I25</f>
        <v>495495</v>
      </c>
      <c r="J16" s="14">
        <f>'תבל  '!J25</f>
        <v>323251</v>
      </c>
      <c r="K16" s="14">
        <f>'תבל  '!K25</f>
        <v>818746</v>
      </c>
      <c r="L16" s="14">
        <f>'תבל  '!L25</f>
        <v>2760106.76</v>
      </c>
      <c r="M16" s="14">
        <f>'תבל  '!M25</f>
        <v>99893.240000000224</v>
      </c>
      <c r="N16" s="14">
        <f>'תבל  '!N25</f>
        <v>400000</v>
      </c>
      <c r="O16" s="14">
        <f>'תבל  '!O25</f>
        <v>400000</v>
      </c>
      <c r="P16" s="14">
        <f>'תבל  '!P25</f>
        <v>99893.240000000224</v>
      </c>
      <c r="Q16" s="14">
        <f>'תבל  '!Q25</f>
        <v>0</v>
      </c>
      <c r="R16" s="14">
        <f>'תבל  '!R25</f>
        <v>0</v>
      </c>
      <c r="S16" s="14">
        <f>'תבל  '!S25</f>
        <v>0</v>
      </c>
      <c r="T16" s="14">
        <f>'תבל  '!T25</f>
        <v>0</v>
      </c>
      <c r="U16" s="14">
        <f>'תבל  '!U25</f>
        <v>400000</v>
      </c>
      <c r="V16" s="14">
        <f>'תבל  '!V25</f>
        <v>0</v>
      </c>
      <c r="W16" s="14">
        <f>'תבל  '!W25</f>
        <v>400000</v>
      </c>
      <c r="X16" s="14">
        <f>'תבל  '!X25</f>
        <v>0</v>
      </c>
      <c r="Y16" s="14">
        <f>'תבל  '!Y25</f>
        <v>0</v>
      </c>
      <c r="Z16" s="14">
        <f>'תבל  '!Z25</f>
        <v>0</v>
      </c>
      <c r="AA16" s="101">
        <f>'תבל  '!AA25</f>
        <v>746000</v>
      </c>
      <c r="AB16" s="196"/>
      <c r="AC16" s="112"/>
      <c r="AD16" s="55"/>
      <c r="AE16" s="55"/>
      <c r="AF16" s="57"/>
      <c r="AG16" s="57"/>
      <c r="AH16" s="55"/>
    </row>
    <row r="17" spans="1:34" s="15" customFormat="1">
      <c r="A17" s="13">
        <f t="shared" si="2"/>
        <v>8</v>
      </c>
      <c r="B17" s="13">
        <v>1773</v>
      </c>
      <c r="C17" s="13" t="s">
        <v>222</v>
      </c>
      <c r="D17" s="14">
        <f>'תבל  '!D35</f>
        <v>1500000</v>
      </c>
      <c r="E17" s="14">
        <f>'תבל  '!E35</f>
        <v>1000000</v>
      </c>
      <c r="F17" s="14">
        <f>'תבל  '!F35</f>
        <v>500000</v>
      </c>
      <c r="G17" s="14">
        <f>'תבל  '!G35</f>
        <v>500000</v>
      </c>
      <c r="H17" s="14">
        <f>'תבל  '!H35</f>
        <v>119925</v>
      </c>
      <c r="I17" s="14">
        <f>'תבל  '!I35</f>
        <v>0</v>
      </c>
      <c r="J17" s="14">
        <f>'תבל  '!J35</f>
        <v>0</v>
      </c>
      <c r="K17" s="14">
        <f>'תבל  '!K35</f>
        <v>0</v>
      </c>
      <c r="L17" s="14">
        <f>'תבל  '!L35</f>
        <v>119925</v>
      </c>
      <c r="M17" s="14">
        <f>'תבל  '!M35</f>
        <v>380075</v>
      </c>
      <c r="N17" s="14">
        <f>'תבל  '!N35</f>
        <v>500000</v>
      </c>
      <c r="O17" s="14">
        <f>'תבל  '!O35</f>
        <v>500000</v>
      </c>
      <c r="P17" s="14">
        <f>'תבל  '!P35</f>
        <v>380075</v>
      </c>
      <c r="Q17" s="14">
        <f>'תבל  '!Q35</f>
        <v>0</v>
      </c>
      <c r="R17" s="14">
        <f>'תבל  '!R35</f>
        <v>0</v>
      </c>
      <c r="S17" s="14">
        <f>'תבל  '!S35</f>
        <v>0</v>
      </c>
      <c r="T17" s="14">
        <f>'תבל  '!T35</f>
        <v>0</v>
      </c>
      <c r="U17" s="14">
        <f>'תבל  '!U35</f>
        <v>500000</v>
      </c>
      <c r="V17" s="14">
        <f>'תבל  '!V35</f>
        <v>500000</v>
      </c>
      <c r="W17" s="14">
        <f>'תבל  '!W35</f>
        <v>0</v>
      </c>
      <c r="X17" s="14">
        <f>'תבל  '!X35</f>
        <v>0</v>
      </c>
      <c r="Y17" s="14">
        <f>'תבל  '!Y35</f>
        <v>0</v>
      </c>
      <c r="Z17" s="14">
        <f>'תבל  '!Z35</f>
        <v>0</v>
      </c>
      <c r="AA17" s="101">
        <f>'תבל  '!AA35</f>
        <v>746000</v>
      </c>
      <c r="AB17" s="196"/>
      <c r="AC17" s="112"/>
      <c r="AD17" s="55"/>
      <c r="AE17" s="55"/>
      <c r="AF17" s="57"/>
      <c r="AG17" s="57"/>
      <c r="AH17" s="55"/>
    </row>
    <row r="18" spans="1:34" s="15" customFormat="1">
      <c r="A18" s="13">
        <f t="shared" si="2"/>
        <v>9</v>
      </c>
      <c r="B18" s="13">
        <v>1848</v>
      </c>
      <c r="C18" s="13" t="s">
        <v>280</v>
      </c>
      <c r="D18" s="14">
        <f>'תבל  '!D39</f>
        <v>600000</v>
      </c>
      <c r="E18" s="14">
        <f>'תבל  '!E39</f>
        <v>500000</v>
      </c>
      <c r="F18" s="14">
        <f>'תבל  '!F39</f>
        <v>100000</v>
      </c>
      <c r="G18" s="14">
        <f>'תבל  '!G39</f>
        <v>300000</v>
      </c>
      <c r="H18" s="14">
        <f>'תבל  '!H39</f>
        <v>68444.479999999996</v>
      </c>
      <c r="I18" s="14">
        <f>'תבל  '!I39</f>
        <v>0</v>
      </c>
      <c r="J18" s="14">
        <f>'תבל  '!J39</f>
        <v>174758</v>
      </c>
      <c r="K18" s="14">
        <f>'תבל  '!K39</f>
        <v>174758</v>
      </c>
      <c r="L18" s="14">
        <f>'תבל  '!L39</f>
        <v>243202.47999999998</v>
      </c>
      <c r="M18" s="14">
        <f>'תבל  '!M39</f>
        <v>56797.520000000019</v>
      </c>
      <c r="N18" s="14">
        <f>'תבל  '!N39</f>
        <v>200000</v>
      </c>
      <c r="O18" s="14">
        <f>'תבל  '!O39</f>
        <v>100000</v>
      </c>
      <c r="P18" s="14">
        <f>'תבל  '!P39</f>
        <v>56797.520000000019</v>
      </c>
      <c r="Q18" s="14">
        <f>'תבל  '!Q39</f>
        <v>0</v>
      </c>
      <c r="R18" s="14">
        <f>'תבל  '!R39</f>
        <v>0</v>
      </c>
      <c r="S18" s="14">
        <f>'תבל  '!S39</f>
        <v>0</v>
      </c>
      <c r="T18" s="14">
        <f>'תבל  '!T39</f>
        <v>0</v>
      </c>
      <c r="U18" s="14">
        <f>'תבל  '!U39</f>
        <v>200000</v>
      </c>
      <c r="V18" s="14">
        <f>'תבל  '!V39</f>
        <v>0</v>
      </c>
      <c r="W18" s="14">
        <f>'תבל  '!W39</f>
        <v>200000</v>
      </c>
      <c r="X18" s="14">
        <f>'תבל  '!X39</f>
        <v>0</v>
      </c>
      <c r="Y18" s="14">
        <f>'תבל  '!Y39</f>
        <v>0</v>
      </c>
      <c r="Z18" s="14">
        <f>'תבל  '!Z39</f>
        <v>0</v>
      </c>
      <c r="AA18" s="101">
        <f>'תבל  '!AA39</f>
        <v>742000</v>
      </c>
      <c r="AB18" s="196"/>
      <c r="AC18" s="112"/>
      <c r="AD18" s="55"/>
      <c r="AE18" s="55"/>
      <c r="AF18" s="57"/>
      <c r="AG18" s="57"/>
      <c r="AH18" s="55"/>
    </row>
    <row r="19" spans="1:34" s="15" customFormat="1">
      <c r="A19" s="13">
        <f t="shared" si="2"/>
        <v>10</v>
      </c>
      <c r="B19" s="13">
        <v>1849</v>
      </c>
      <c r="C19" s="69" t="s">
        <v>432</v>
      </c>
      <c r="D19" s="14">
        <f>'תבל  '!D40</f>
        <v>1400000</v>
      </c>
      <c r="E19" s="14">
        <f>'תבל  '!E40</f>
        <v>1400000</v>
      </c>
      <c r="F19" s="14">
        <f>'תבל  '!F40</f>
        <v>0</v>
      </c>
      <c r="G19" s="14">
        <f>'תבל  '!G40</f>
        <v>900000</v>
      </c>
      <c r="H19" s="14">
        <f>'תבל  '!H40</f>
        <v>263880.67</v>
      </c>
      <c r="I19" s="14">
        <f>'תבל  '!I40</f>
        <v>0</v>
      </c>
      <c r="J19" s="14">
        <f>'תבל  '!J40</f>
        <v>0</v>
      </c>
      <c r="K19" s="14">
        <f>'תבל  '!K40</f>
        <v>0</v>
      </c>
      <c r="L19" s="14">
        <f>'תבל  '!L40</f>
        <v>263880.67</v>
      </c>
      <c r="M19" s="14">
        <f>'תבל  '!M40</f>
        <v>636119.33000000007</v>
      </c>
      <c r="N19" s="14">
        <f>'תבל  '!N40</f>
        <v>400000</v>
      </c>
      <c r="O19" s="14">
        <f>'תבל  '!O40</f>
        <v>100000</v>
      </c>
      <c r="P19" s="14">
        <f>'תבל  '!P40</f>
        <v>636119.33000000007</v>
      </c>
      <c r="Q19" s="14">
        <f>'תבל  '!Q40</f>
        <v>0</v>
      </c>
      <c r="R19" s="14">
        <f>'תבל  '!R40</f>
        <v>0</v>
      </c>
      <c r="S19" s="14">
        <f>'תבל  '!S40</f>
        <v>0</v>
      </c>
      <c r="T19" s="14">
        <f>'תבל  '!T40</f>
        <v>0</v>
      </c>
      <c r="U19" s="14">
        <f>'תבל  '!U40</f>
        <v>400000</v>
      </c>
      <c r="V19" s="14">
        <f>'תבל  '!V40</f>
        <v>400000</v>
      </c>
      <c r="W19" s="14">
        <f>'תבל  '!W40</f>
        <v>0</v>
      </c>
      <c r="X19" s="14">
        <f>'תבל  '!X40</f>
        <v>0</v>
      </c>
      <c r="Y19" s="14">
        <f>'תבל  '!Y40</f>
        <v>0</v>
      </c>
      <c r="Z19" s="14">
        <f>'תבל  '!Z40</f>
        <v>0</v>
      </c>
      <c r="AA19" s="101">
        <f>'תבל  '!AA40</f>
        <v>743000</v>
      </c>
      <c r="AB19" s="196"/>
      <c r="AC19" s="112"/>
      <c r="AD19" s="55"/>
      <c r="AE19" s="55"/>
      <c r="AF19" s="55"/>
      <c r="AG19" s="55"/>
      <c r="AH19" s="55"/>
    </row>
    <row r="20" spans="1:34" s="15" customFormat="1">
      <c r="A20" s="13">
        <f t="shared" si="2"/>
        <v>11</v>
      </c>
      <c r="B20" s="13">
        <v>1891</v>
      </c>
      <c r="C20" s="13" t="s">
        <v>910</v>
      </c>
      <c r="D20" s="14">
        <f>'תבל  '!D52</f>
        <v>110000</v>
      </c>
      <c r="E20" s="14">
        <f>'תבל  '!E52</f>
        <v>110000</v>
      </c>
      <c r="F20" s="14">
        <f>'תבל  '!F52</f>
        <v>0</v>
      </c>
      <c r="G20" s="14">
        <f>'תבל  '!G52</f>
        <v>110000</v>
      </c>
      <c r="H20" s="14">
        <f>'תבל  '!H52</f>
        <v>66814.2</v>
      </c>
      <c r="I20" s="14">
        <f>'תבל  '!I52</f>
        <v>0</v>
      </c>
      <c r="J20" s="14">
        <f>'תבל  '!J52</f>
        <v>6107.4</v>
      </c>
      <c r="K20" s="14">
        <f>'תבל  '!K52</f>
        <v>6107.4</v>
      </c>
      <c r="L20" s="14">
        <f>'תבל  '!L52</f>
        <v>72921.599999999991</v>
      </c>
      <c r="M20" s="14">
        <f>'תבל  '!M52</f>
        <v>37078.400000000009</v>
      </c>
      <c r="N20" s="14">
        <f>'תבל  '!N52</f>
        <v>0</v>
      </c>
      <c r="O20" s="14">
        <f>'תבל  '!O52</f>
        <v>0</v>
      </c>
      <c r="P20" s="14">
        <f>'תבל  '!P52</f>
        <v>37078.400000000009</v>
      </c>
      <c r="Q20" s="14">
        <f>'תבל  '!Q52</f>
        <v>0</v>
      </c>
      <c r="R20" s="14">
        <f>'תבל  '!R52</f>
        <v>0</v>
      </c>
      <c r="S20" s="14">
        <f>'תבל  '!S52</f>
        <v>0</v>
      </c>
      <c r="T20" s="14">
        <f>'תבל  '!T52</f>
        <v>0</v>
      </c>
      <c r="U20" s="14">
        <f>'תבל  '!U52</f>
        <v>0</v>
      </c>
      <c r="V20" s="14">
        <f>'תבל  '!V52</f>
        <v>0</v>
      </c>
      <c r="W20" s="14">
        <f>'תבל  '!W52</f>
        <v>0</v>
      </c>
      <c r="X20" s="14">
        <f>'תבל  '!X52</f>
        <v>0</v>
      </c>
      <c r="Y20" s="14">
        <f>'תבל  '!Y52</f>
        <v>0</v>
      </c>
      <c r="Z20" s="14">
        <f>'תבל  '!Z52</f>
        <v>0</v>
      </c>
      <c r="AA20" s="101">
        <f>'תבל  '!AA52</f>
        <v>742000</v>
      </c>
      <c r="AB20" s="154">
        <f>W20</f>
        <v>0</v>
      </c>
      <c r="AC20" s="57"/>
      <c r="AD20" s="55"/>
      <c r="AE20" s="55"/>
      <c r="AF20" s="57"/>
      <c r="AG20" s="55"/>
    </row>
    <row r="21" spans="1:34" s="15" customFormat="1">
      <c r="A21" s="13">
        <f t="shared" si="2"/>
        <v>12</v>
      </c>
      <c r="B21" s="13">
        <v>1917</v>
      </c>
      <c r="C21" s="13" t="s">
        <v>292</v>
      </c>
      <c r="D21" s="14">
        <f>'תבל  '!D56</f>
        <v>76800000</v>
      </c>
      <c r="E21" s="14">
        <f>'תבל  '!E56</f>
        <v>76800000</v>
      </c>
      <c r="F21" s="14">
        <f>'תבל  '!F56</f>
        <v>0</v>
      </c>
      <c r="G21" s="14">
        <f>'תבל  '!G56</f>
        <v>7500000</v>
      </c>
      <c r="H21" s="14">
        <f>'תבל  '!H56</f>
        <v>1715057.51</v>
      </c>
      <c r="I21" s="14">
        <f>'תבל  '!I56</f>
        <v>0</v>
      </c>
      <c r="J21" s="14">
        <f>'תבל  '!J56</f>
        <v>5082556</v>
      </c>
      <c r="K21" s="14">
        <f>'תבל  '!K56</f>
        <v>5082556</v>
      </c>
      <c r="L21" s="14">
        <f>'תבל  '!L56</f>
        <v>6797613.5099999998</v>
      </c>
      <c r="M21" s="14">
        <f>'תבל  '!M56</f>
        <v>702386.49000000022</v>
      </c>
      <c r="N21" s="14">
        <f>'תבל  '!N56</f>
        <v>17000000</v>
      </c>
      <c r="O21" s="14">
        <f>'תבל  '!O56</f>
        <v>52300000</v>
      </c>
      <c r="P21" s="14">
        <f>'תבל  '!P56</f>
        <v>702386.49000000022</v>
      </c>
      <c r="Q21" s="14">
        <f>'תבל  '!Q56</f>
        <v>0</v>
      </c>
      <c r="R21" s="14">
        <f>'תבל  '!R56</f>
        <v>0</v>
      </c>
      <c r="S21" s="14">
        <f>'תבל  '!S56</f>
        <v>0</v>
      </c>
      <c r="T21" s="14">
        <f>'תבל  '!T56</f>
        <v>0</v>
      </c>
      <c r="U21" s="14">
        <f>'תבל  '!U56</f>
        <v>17000000</v>
      </c>
      <c r="V21" s="14">
        <f>'תבל  '!V56</f>
        <v>15260000</v>
      </c>
      <c r="W21" s="14">
        <f>'תבל  '!W56</f>
        <v>0</v>
      </c>
      <c r="X21" s="14">
        <f>'תבל  '!X56</f>
        <v>0</v>
      </c>
      <c r="Y21" s="14">
        <f>'תבל  '!Y56</f>
        <v>0</v>
      </c>
      <c r="Z21" s="14">
        <f>'תבל  '!Z56</f>
        <v>1740000</v>
      </c>
      <c r="AA21" s="101">
        <f>'תבל  '!AA56</f>
        <v>743000</v>
      </c>
      <c r="AB21" s="196"/>
      <c r="AC21" s="112"/>
      <c r="AD21" s="55"/>
      <c r="AE21" s="55"/>
      <c r="AF21" s="55"/>
      <c r="AG21" s="55"/>
      <c r="AH21" s="55"/>
    </row>
    <row r="22" spans="1:34" s="77" customFormat="1">
      <c r="A22" s="48"/>
      <c r="B22" s="76">
        <v>3</v>
      </c>
      <c r="C22" s="48" t="s">
        <v>1038</v>
      </c>
      <c r="D22" s="33">
        <f>SUM(D12:D21)</f>
        <v>140100000</v>
      </c>
      <c r="E22" s="33">
        <f t="shared" ref="E22:Z22" si="3">SUM(E12:E21)</f>
        <v>139500000</v>
      </c>
      <c r="F22" s="33">
        <f t="shared" si="3"/>
        <v>600000</v>
      </c>
      <c r="G22" s="33">
        <f t="shared" si="3"/>
        <v>51050000</v>
      </c>
      <c r="H22" s="33">
        <f t="shared" si="3"/>
        <v>38067939.770000003</v>
      </c>
      <c r="I22" s="33">
        <f t="shared" si="3"/>
        <v>495495</v>
      </c>
      <c r="J22" s="33">
        <f t="shared" si="3"/>
        <v>9866177.1000000015</v>
      </c>
      <c r="K22" s="33">
        <f t="shared" si="3"/>
        <v>10361672.100000001</v>
      </c>
      <c r="L22" s="33">
        <f t="shared" si="3"/>
        <v>48429611.869999997</v>
      </c>
      <c r="M22" s="33">
        <f t="shared" si="3"/>
        <v>2620388.1299999976</v>
      </c>
      <c r="N22" s="33">
        <f t="shared" si="3"/>
        <v>22500000</v>
      </c>
      <c r="O22" s="33">
        <f t="shared" si="3"/>
        <v>66550000</v>
      </c>
      <c r="P22" s="33">
        <f t="shared" si="3"/>
        <v>2620388.1299999976</v>
      </c>
      <c r="Q22" s="33">
        <f t="shared" si="3"/>
        <v>0</v>
      </c>
      <c r="R22" s="33">
        <f t="shared" si="3"/>
        <v>0</v>
      </c>
      <c r="S22" s="33">
        <f t="shared" si="3"/>
        <v>0</v>
      </c>
      <c r="T22" s="33">
        <f t="shared" si="3"/>
        <v>0</v>
      </c>
      <c r="U22" s="33">
        <f t="shared" si="3"/>
        <v>22500000</v>
      </c>
      <c r="V22" s="33">
        <f t="shared" si="3"/>
        <v>18160000</v>
      </c>
      <c r="W22" s="33">
        <f t="shared" si="3"/>
        <v>2600000</v>
      </c>
      <c r="X22" s="33">
        <f t="shared" si="3"/>
        <v>0</v>
      </c>
      <c r="Y22" s="33">
        <f t="shared" si="3"/>
        <v>0</v>
      </c>
      <c r="Z22" s="33">
        <f t="shared" si="3"/>
        <v>1740000</v>
      </c>
      <c r="AA22" s="96"/>
    </row>
    <row r="23" spans="1:34" s="15" customFormat="1">
      <c r="A23" s="13"/>
      <c r="B23" s="13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01"/>
      <c r="AB23" s="196"/>
      <c r="AC23" s="112"/>
      <c r="AD23" s="55"/>
      <c r="AE23" s="55"/>
      <c r="AF23" s="57"/>
      <c r="AG23" s="57"/>
      <c r="AH23" s="55"/>
    </row>
    <row r="24" spans="1:34" s="15" customFormat="1">
      <c r="A24" s="13">
        <f>A21+1</f>
        <v>13</v>
      </c>
      <c r="B24" s="13">
        <v>1281</v>
      </c>
      <c r="C24" s="13" t="s">
        <v>87</v>
      </c>
      <c r="D24" s="14">
        <f>'תבל  '!D9</f>
        <v>213755840</v>
      </c>
      <c r="E24" s="14">
        <f>'תבל  '!E9</f>
        <v>213755840</v>
      </c>
      <c r="F24" s="14">
        <f>'תבל  '!F9</f>
        <v>0</v>
      </c>
      <c r="G24" s="14">
        <f>'תבל  '!G9</f>
        <v>213755840</v>
      </c>
      <c r="H24" s="14">
        <f>'תבל  '!H9</f>
        <v>212334871.83000001</v>
      </c>
      <c r="I24" s="14">
        <f>'תבל  '!I9</f>
        <v>1313261.3600000001</v>
      </c>
      <c r="J24" s="14">
        <f>'תבל  '!J9</f>
        <v>97066</v>
      </c>
      <c r="K24" s="14">
        <f>'תבל  '!K9</f>
        <v>1410327.36</v>
      </c>
      <c r="L24" s="14">
        <f>'תבל  '!L9</f>
        <v>213745199.19000003</v>
      </c>
      <c r="M24" s="14">
        <f>'תבל  '!M9</f>
        <v>10640.809999972582</v>
      </c>
      <c r="N24" s="14">
        <f>'תבל  '!N9</f>
        <v>0</v>
      </c>
      <c r="O24" s="14">
        <f>'תבל  '!O9</f>
        <v>0</v>
      </c>
      <c r="P24" s="14">
        <f>'תבל  '!P9</f>
        <v>10640.809999972582</v>
      </c>
      <c r="Q24" s="14">
        <f>'תבל  '!Q9</f>
        <v>0</v>
      </c>
      <c r="R24" s="14">
        <f>'תבל  '!R9</f>
        <v>0</v>
      </c>
      <c r="S24" s="14">
        <f>'תבל  '!S9</f>
        <v>0</v>
      </c>
      <c r="T24" s="14">
        <f>'תבל  '!T9</f>
        <v>0</v>
      </c>
      <c r="U24" s="14">
        <f>'תבל  '!U9</f>
        <v>0</v>
      </c>
      <c r="V24" s="14">
        <f>'תבל  '!V9</f>
        <v>0</v>
      </c>
      <c r="W24" s="14">
        <f>'תבל  '!W9</f>
        <v>0</v>
      </c>
      <c r="X24" s="14">
        <f>'תבל  '!X9</f>
        <v>0</v>
      </c>
      <c r="Y24" s="14">
        <f>'תבל  '!Y9</f>
        <v>0</v>
      </c>
      <c r="Z24" s="14">
        <f>'תבל  '!Z9</f>
        <v>0</v>
      </c>
      <c r="AA24" s="101">
        <f>'תבל  '!AA9</f>
        <v>810000</v>
      </c>
      <c r="AB24" s="196"/>
      <c r="AC24" s="112"/>
      <c r="AD24" s="55"/>
      <c r="AE24" s="55"/>
      <c r="AF24" s="57"/>
      <c r="AG24" s="57"/>
      <c r="AH24" s="55"/>
    </row>
    <row r="25" spans="1:34" s="15" customFormat="1">
      <c r="A25" s="13">
        <f>A24+1</f>
        <v>14</v>
      </c>
      <c r="B25" s="13">
        <v>1372</v>
      </c>
      <c r="C25" s="13" t="s">
        <v>88</v>
      </c>
      <c r="D25" s="14">
        <f>'תבל  '!D10</f>
        <v>2900000</v>
      </c>
      <c r="E25" s="14">
        <f>'תבל  '!E10</f>
        <v>2900000</v>
      </c>
      <c r="F25" s="14">
        <f>'תבל  '!F10</f>
        <v>0</v>
      </c>
      <c r="G25" s="14">
        <f>'תבל  '!G10</f>
        <v>1500000</v>
      </c>
      <c r="H25" s="14">
        <f>'תבל  '!H10</f>
        <v>1471934</v>
      </c>
      <c r="I25" s="14">
        <f>'תבל  '!I10</f>
        <v>0</v>
      </c>
      <c r="J25" s="14">
        <f>'תבל  '!J10</f>
        <v>25919</v>
      </c>
      <c r="K25" s="14">
        <f>'תבל  '!K10</f>
        <v>25919</v>
      </c>
      <c r="L25" s="14">
        <f>'תבל  '!L10</f>
        <v>1497853</v>
      </c>
      <c r="M25" s="14">
        <f>'תבל  '!M10</f>
        <v>2147</v>
      </c>
      <c r="N25" s="14">
        <f>'תבל  '!N10</f>
        <v>0</v>
      </c>
      <c r="O25" s="14">
        <f>'תבל  '!O10</f>
        <v>1400000</v>
      </c>
      <c r="P25" s="14">
        <f>'תבל  '!P10</f>
        <v>2147</v>
      </c>
      <c r="Q25" s="14">
        <f>'תבל  '!Q10</f>
        <v>0</v>
      </c>
      <c r="R25" s="14">
        <f>'תבל  '!R10</f>
        <v>0</v>
      </c>
      <c r="S25" s="14">
        <f>'תבל  '!S10</f>
        <v>0</v>
      </c>
      <c r="T25" s="14">
        <f>'תבל  '!T10</f>
        <v>0</v>
      </c>
      <c r="U25" s="14">
        <f>'תבל  '!U10</f>
        <v>0</v>
      </c>
      <c r="V25" s="14">
        <f>'תבל  '!V10</f>
        <v>0</v>
      </c>
      <c r="W25" s="14">
        <f>'תבל  '!W10</f>
        <v>0</v>
      </c>
      <c r="X25" s="14">
        <f>'תבל  '!X10</f>
        <v>0</v>
      </c>
      <c r="Y25" s="14">
        <f>'תבל  '!Y10</f>
        <v>0</v>
      </c>
      <c r="Z25" s="14">
        <f>'תבל  '!Z10</f>
        <v>0</v>
      </c>
      <c r="AA25" s="101">
        <f>'תבל  '!AA10</f>
        <v>810000</v>
      </c>
      <c r="AB25" s="196"/>
      <c r="AC25" s="112"/>
      <c r="AD25" s="55"/>
      <c r="AE25" s="55"/>
      <c r="AF25" s="57"/>
      <c r="AG25" s="57"/>
      <c r="AH25" s="55"/>
    </row>
    <row r="26" spans="1:34" s="15" customFormat="1">
      <c r="A26" s="13">
        <f t="shared" ref="A26:A62" si="4">A25+1</f>
        <v>15</v>
      </c>
      <c r="B26" s="13">
        <v>1472</v>
      </c>
      <c r="C26" s="13" t="s">
        <v>90</v>
      </c>
      <c r="D26" s="14">
        <f>'תבל  '!D13</f>
        <v>11350000</v>
      </c>
      <c r="E26" s="14">
        <f>'תבל  '!E13</f>
        <v>10850000</v>
      </c>
      <c r="F26" s="14">
        <f>'תבל  '!F13</f>
        <v>500000</v>
      </c>
      <c r="G26" s="14">
        <f>'תבל  '!G13</f>
        <v>10850000</v>
      </c>
      <c r="H26" s="14">
        <f>'תבל  '!H13</f>
        <v>10188653</v>
      </c>
      <c r="I26" s="14">
        <f>'תבל  '!I13</f>
        <v>0</v>
      </c>
      <c r="J26" s="14">
        <f>'תבל  '!J13</f>
        <v>629383</v>
      </c>
      <c r="K26" s="14">
        <f>'תבל  '!K13</f>
        <v>629383</v>
      </c>
      <c r="L26" s="14">
        <f>'תבל  '!L13</f>
        <v>10818036</v>
      </c>
      <c r="M26" s="14">
        <f>'תבל  '!M13</f>
        <v>31964</v>
      </c>
      <c r="N26" s="14">
        <f>'תבל  '!N13</f>
        <v>300000</v>
      </c>
      <c r="O26" s="14">
        <f>'תבל  '!O13</f>
        <v>200000</v>
      </c>
      <c r="P26" s="14">
        <f>'תבל  '!P13</f>
        <v>31964</v>
      </c>
      <c r="Q26" s="14">
        <f>'תבל  '!Q13</f>
        <v>0</v>
      </c>
      <c r="R26" s="14">
        <f>'תבל  '!R13</f>
        <v>0</v>
      </c>
      <c r="S26" s="14">
        <f>'תבל  '!S13</f>
        <v>0</v>
      </c>
      <c r="T26" s="14">
        <f>'תבל  '!T13</f>
        <v>0</v>
      </c>
      <c r="U26" s="14">
        <f>'תבל  '!U13</f>
        <v>300000</v>
      </c>
      <c r="V26" s="14">
        <f>'תבל  '!V13</f>
        <v>0</v>
      </c>
      <c r="W26" s="14">
        <f>'תבל  '!W13</f>
        <v>300000</v>
      </c>
      <c r="X26" s="14">
        <f>'תבל  '!X13</f>
        <v>0</v>
      </c>
      <c r="Y26" s="14">
        <f>'תבל  '!Y13</f>
        <v>0</v>
      </c>
      <c r="Z26" s="14">
        <f>'תבל  '!Z13</f>
        <v>0</v>
      </c>
      <c r="AA26" s="101">
        <f>'תבל  '!AA13</f>
        <v>810000</v>
      </c>
      <c r="AB26" s="196"/>
      <c r="AC26" s="112"/>
      <c r="AD26" s="55"/>
      <c r="AE26" s="55"/>
      <c r="AF26" s="57"/>
      <c r="AG26" s="57"/>
      <c r="AH26" s="55"/>
    </row>
    <row r="27" spans="1:34" s="15" customFormat="1">
      <c r="A27" s="13">
        <f t="shared" si="4"/>
        <v>16</v>
      </c>
      <c r="B27" s="13">
        <v>1474</v>
      </c>
      <c r="C27" s="13" t="s">
        <v>91</v>
      </c>
      <c r="D27" s="14">
        <f>'תבל  '!D14</f>
        <v>2105000</v>
      </c>
      <c r="E27" s="14">
        <f>'תבל  '!E14</f>
        <v>2105000</v>
      </c>
      <c r="F27" s="14">
        <f>'תבל  '!F14</f>
        <v>0</v>
      </c>
      <c r="G27" s="14">
        <f>'תבל  '!G14</f>
        <v>2105000</v>
      </c>
      <c r="H27" s="14">
        <f>'תבל  '!H14</f>
        <v>1862888.8</v>
      </c>
      <c r="I27" s="14">
        <f>'תבל  '!I14</f>
        <v>0</v>
      </c>
      <c r="J27" s="14">
        <f>'תבל  '!J14</f>
        <v>242111.2</v>
      </c>
      <c r="K27" s="14">
        <f>'תבל  '!K14</f>
        <v>242111.2</v>
      </c>
      <c r="L27" s="14">
        <f>'תבל  '!L14</f>
        <v>2105000</v>
      </c>
      <c r="M27" s="14">
        <f>'תבל  '!M14</f>
        <v>0</v>
      </c>
      <c r="N27" s="14">
        <f>'תבל  '!N14</f>
        <v>0</v>
      </c>
      <c r="O27" s="14">
        <f>'תבל  '!O14</f>
        <v>0</v>
      </c>
      <c r="P27" s="14">
        <f>'תבל  '!P14</f>
        <v>0</v>
      </c>
      <c r="Q27" s="14">
        <f>'תבל  '!Q14</f>
        <v>0</v>
      </c>
      <c r="R27" s="14">
        <f>'תבל  '!R14</f>
        <v>0</v>
      </c>
      <c r="S27" s="14">
        <f>'תבל  '!S14</f>
        <v>0</v>
      </c>
      <c r="T27" s="14">
        <f>'תבל  '!T14</f>
        <v>0</v>
      </c>
      <c r="U27" s="14">
        <f>'תבל  '!U14</f>
        <v>0</v>
      </c>
      <c r="V27" s="14">
        <f>'תבל  '!V14</f>
        <v>0</v>
      </c>
      <c r="W27" s="14">
        <f>'תבל  '!W14</f>
        <v>0</v>
      </c>
      <c r="X27" s="14">
        <f>'תבל  '!X14</f>
        <v>0</v>
      </c>
      <c r="Y27" s="14">
        <f>'תבל  '!Y14</f>
        <v>0</v>
      </c>
      <c r="Z27" s="14">
        <f>'תבל  '!Z14</f>
        <v>0</v>
      </c>
      <c r="AA27" s="101">
        <f>'תבל  '!AA14</f>
        <v>812000</v>
      </c>
      <c r="AB27" s="196"/>
      <c r="AC27" s="112"/>
      <c r="AD27" s="55"/>
      <c r="AE27" s="55"/>
      <c r="AF27" s="57"/>
      <c r="AG27" s="57"/>
      <c r="AH27" s="55"/>
    </row>
    <row r="28" spans="1:34" s="15" customFormat="1">
      <c r="A28" s="13">
        <f t="shared" si="4"/>
        <v>17</v>
      </c>
      <c r="B28" s="13">
        <v>1476</v>
      </c>
      <c r="C28" s="13" t="s">
        <v>388</v>
      </c>
      <c r="D28" s="14">
        <f>'תבל  '!D15</f>
        <v>900000</v>
      </c>
      <c r="E28" s="14">
        <f>'תבל  '!E15</f>
        <v>900000</v>
      </c>
      <c r="F28" s="14">
        <f>'תבל  '!F15</f>
        <v>0</v>
      </c>
      <c r="G28" s="14">
        <f>'תבל  '!G15</f>
        <v>900000</v>
      </c>
      <c r="H28" s="14">
        <f>'תבל  '!H15</f>
        <v>789809.93</v>
      </c>
      <c r="I28" s="14">
        <f>'תבל  '!I15</f>
        <v>0</v>
      </c>
      <c r="J28" s="14">
        <f>'תבל  '!J15</f>
        <v>100720.91</v>
      </c>
      <c r="K28" s="14">
        <f>'תבל  '!K15</f>
        <v>100720.91</v>
      </c>
      <c r="L28" s="14">
        <f>'תבל  '!L15</f>
        <v>890530.84000000008</v>
      </c>
      <c r="M28" s="14">
        <f>'תבל  '!M15</f>
        <v>9469.1599999999162</v>
      </c>
      <c r="N28" s="14">
        <f>'תבל  '!N15</f>
        <v>0</v>
      </c>
      <c r="O28" s="14">
        <f>'תבל  '!O15</f>
        <v>0</v>
      </c>
      <c r="P28" s="14">
        <f>'תבל  '!P15</f>
        <v>9469.1599999999162</v>
      </c>
      <c r="Q28" s="14">
        <f>'תבל  '!Q15</f>
        <v>0</v>
      </c>
      <c r="R28" s="14">
        <f>'תבל  '!R15</f>
        <v>0</v>
      </c>
      <c r="S28" s="14">
        <f>'תבל  '!S15</f>
        <v>0</v>
      </c>
      <c r="T28" s="14">
        <f>'תבל  '!T15</f>
        <v>0</v>
      </c>
      <c r="U28" s="14">
        <f>'תבל  '!U15</f>
        <v>0</v>
      </c>
      <c r="V28" s="14">
        <f>'תבל  '!V15</f>
        <v>0</v>
      </c>
      <c r="W28" s="14">
        <f>'תבל  '!W15</f>
        <v>0</v>
      </c>
      <c r="X28" s="14">
        <f>'תבל  '!X15</f>
        <v>0</v>
      </c>
      <c r="Y28" s="14">
        <f>'תבל  '!Y15</f>
        <v>0</v>
      </c>
      <c r="Z28" s="14">
        <f>'תבל  '!Z15</f>
        <v>0</v>
      </c>
      <c r="AA28" s="101">
        <f>'תבל  '!AA15</f>
        <v>810000</v>
      </c>
      <c r="AB28" s="196"/>
      <c r="AC28" s="112"/>
      <c r="AD28" s="55"/>
      <c r="AE28" s="55"/>
      <c r="AF28" s="57"/>
      <c r="AG28" s="57"/>
      <c r="AH28" s="55"/>
    </row>
    <row r="29" spans="1:34" s="15" customFormat="1">
      <c r="A29" s="13">
        <f t="shared" si="4"/>
        <v>18</v>
      </c>
      <c r="B29" s="13">
        <v>1477</v>
      </c>
      <c r="C29" s="13" t="s">
        <v>92</v>
      </c>
      <c r="D29" s="14">
        <f>'תבל  '!D16</f>
        <v>2200000</v>
      </c>
      <c r="E29" s="14">
        <f>'תבל  '!E16</f>
        <v>2200000</v>
      </c>
      <c r="F29" s="14">
        <f>'תבל  '!F16</f>
        <v>0</v>
      </c>
      <c r="G29" s="14">
        <f>'תבל  '!G16</f>
        <v>2200000</v>
      </c>
      <c r="H29" s="14">
        <f>'תבל  '!H16</f>
        <v>1952434.39</v>
      </c>
      <c r="I29" s="14">
        <f>'תבל  '!I16</f>
        <v>0</v>
      </c>
      <c r="J29" s="14">
        <f>'תבל  '!J16</f>
        <v>247564.22</v>
      </c>
      <c r="K29" s="14">
        <f>'תבל  '!K16</f>
        <v>247564.22</v>
      </c>
      <c r="L29" s="14">
        <f>'תבל  '!L16</f>
        <v>2199998.61</v>
      </c>
      <c r="M29" s="14">
        <f>'תבל  '!M16</f>
        <v>1.3900000001303852</v>
      </c>
      <c r="N29" s="14">
        <f>'תבל  '!N16</f>
        <v>0</v>
      </c>
      <c r="O29" s="14">
        <f>'תבל  '!O16</f>
        <v>0</v>
      </c>
      <c r="P29" s="14">
        <f>'תבל  '!P16</f>
        <v>1.3900000001303852</v>
      </c>
      <c r="Q29" s="14">
        <f>'תבל  '!Q16</f>
        <v>0</v>
      </c>
      <c r="R29" s="14">
        <f>'תבל  '!R16</f>
        <v>0</v>
      </c>
      <c r="S29" s="14">
        <f>'תבל  '!S16</f>
        <v>0</v>
      </c>
      <c r="T29" s="14">
        <f>'תבל  '!T16</f>
        <v>0</v>
      </c>
      <c r="U29" s="14">
        <f>'תבל  '!U16</f>
        <v>0</v>
      </c>
      <c r="V29" s="14">
        <f>'תבל  '!V16</f>
        <v>0</v>
      </c>
      <c r="W29" s="14">
        <f>'תבל  '!W16</f>
        <v>0</v>
      </c>
      <c r="X29" s="14">
        <f>'תבל  '!X16</f>
        <v>0</v>
      </c>
      <c r="Y29" s="14">
        <f>'תבל  '!Y16</f>
        <v>0</v>
      </c>
      <c r="Z29" s="14">
        <f>'תבל  '!Z16</f>
        <v>0</v>
      </c>
      <c r="AA29" s="101">
        <f>'תבל  '!AA16</f>
        <v>810000</v>
      </c>
      <c r="AB29" s="196"/>
      <c r="AC29" s="112"/>
      <c r="AD29" s="55"/>
      <c r="AE29" s="55"/>
      <c r="AF29" s="57"/>
      <c r="AG29" s="57"/>
      <c r="AH29" s="55"/>
    </row>
    <row r="30" spans="1:34" s="15" customFormat="1">
      <c r="A30" s="13">
        <f t="shared" si="4"/>
        <v>19</v>
      </c>
      <c r="B30" s="13">
        <v>1479</v>
      </c>
      <c r="C30" s="13" t="s">
        <v>93</v>
      </c>
      <c r="D30" s="14">
        <f>'תבל  '!D18</f>
        <v>1400000</v>
      </c>
      <c r="E30" s="14">
        <f>'תבל  '!E18</f>
        <v>1400000</v>
      </c>
      <c r="F30" s="14">
        <f>'תבל  '!F18</f>
        <v>0</v>
      </c>
      <c r="G30" s="14">
        <f>'תבל  '!G18</f>
        <v>1400000</v>
      </c>
      <c r="H30" s="14">
        <f>'תבל  '!H18</f>
        <v>1176317.28</v>
      </c>
      <c r="I30" s="14">
        <f>'תבל  '!I18</f>
        <v>0</v>
      </c>
      <c r="J30" s="14">
        <f>'תבל  '!J18</f>
        <v>218439.94</v>
      </c>
      <c r="K30" s="14">
        <f>'תבל  '!K18</f>
        <v>218439.94</v>
      </c>
      <c r="L30" s="14">
        <f>'תבל  '!L18</f>
        <v>1394757.22</v>
      </c>
      <c r="M30" s="14">
        <f>'תבל  '!M18</f>
        <v>5242.7800000000279</v>
      </c>
      <c r="N30" s="14">
        <f>'תבל  '!N18</f>
        <v>0</v>
      </c>
      <c r="O30" s="14">
        <f>'תבל  '!O18</f>
        <v>0</v>
      </c>
      <c r="P30" s="14">
        <f>'תבל  '!P18</f>
        <v>5242.7800000000279</v>
      </c>
      <c r="Q30" s="14">
        <f>'תבל  '!Q18</f>
        <v>0</v>
      </c>
      <c r="R30" s="14">
        <f>'תבל  '!R18</f>
        <v>0</v>
      </c>
      <c r="S30" s="14">
        <f>'תבל  '!S18</f>
        <v>0</v>
      </c>
      <c r="T30" s="14">
        <f>'תבל  '!T18</f>
        <v>0</v>
      </c>
      <c r="U30" s="14">
        <f>'תבל  '!U18</f>
        <v>0</v>
      </c>
      <c r="V30" s="14">
        <f>'תבל  '!V18</f>
        <v>0</v>
      </c>
      <c r="W30" s="14">
        <f>'תבל  '!W18</f>
        <v>0</v>
      </c>
      <c r="X30" s="14">
        <f>'תבל  '!X18</f>
        <v>0</v>
      </c>
      <c r="Y30" s="14">
        <f>'תבל  '!Y18</f>
        <v>0</v>
      </c>
      <c r="Z30" s="14">
        <f>'תבל  '!Z18</f>
        <v>0</v>
      </c>
      <c r="AA30" s="101">
        <f>'תבל  '!AA18</f>
        <v>810000</v>
      </c>
      <c r="AB30" s="196"/>
      <c r="AC30" s="112"/>
      <c r="AD30" s="55"/>
      <c r="AE30" s="55"/>
      <c r="AF30" s="57"/>
      <c r="AG30" s="57"/>
      <c r="AH30" s="55"/>
    </row>
    <row r="31" spans="1:34" s="15" customFormat="1">
      <c r="A31" s="13">
        <f t="shared" si="4"/>
        <v>20</v>
      </c>
      <c r="B31" s="13">
        <v>1480</v>
      </c>
      <c r="C31" s="13" t="s">
        <v>94</v>
      </c>
      <c r="D31" s="14">
        <f>'תבל  '!D19</f>
        <v>4500000</v>
      </c>
      <c r="E31" s="14">
        <f>'תבל  '!E19</f>
        <v>4500000</v>
      </c>
      <c r="F31" s="14">
        <f>'תבל  '!F19</f>
        <v>0</v>
      </c>
      <c r="G31" s="14">
        <f>'תבל  '!G19</f>
        <v>3000000</v>
      </c>
      <c r="H31" s="14">
        <f>'תבל  '!H19</f>
        <v>2246459.44</v>
      </c>
      <c r="I31" s="14">
        <f>'תבל  '!I19</f>
        <v>0</v>
      </c>
      <c r="J31" s="14">
        <f>'תבל  '!J19</f>
        <v>727346.23</v>
      </c>
      <c r="K31" s="14">
        <f>'תבל  '!K19</f>
        <v>727346.23</v>
      </c>
      <c r="L31" s="14">
        <f>'תבל  '!L19</f>
        <v>2973805.67</v>
      </c>
      <c r="M31" s="14">
        <f>'תבל  '!M19</f>
        <v>26194.330000000075</v>
      </c>
      <c r="N31" s="14">
        <f>'תבל  '!N19</f>
        <v>500000</v>
      </c>
      <c r="O31" s="14">
        <f>'תבל  '!O19</f>
        <v>1000000</v>
      </c>
      <c r="P31" s="14">
        <f>'תבל  '!P19</f>
        <v>26194.330000000075</v>
      </c>
      <c r="Q31" s="14">
        <f>'תבל  '!Q19</f>
        <v>0</v>
      </c>
      <c r="R31" s="14">
        <f>'תבל  '!R19</f>
        <v>0</v>
      </c>
      <c r="S31" s="14">
        <f>'תבל  '!S19</f>
        <v>0</v>
      </c>
      <c r="T31" s="14">
        <f>'תבל  '!T19</f>
        <v>0</v>
      </c>
      <c r="U31" s="14">
        <f>'תבל  '!U19</f>
        <v>500000</v>
      </c>
      <c r="V31" s="14">
        <f>'תבל  '!V19</f>
        <v>0</v>
      </c>
      <c r="W31" s="14">
        <f>'תבל  '!W19</f>
        <v>500000</v>
      </c>
      <c r="X31" s="14">
        <f>'תבל  '!X19</f>
        <v>0</v>
      </c>
      <c r="Y31" s="14">
        <f>'תבל  '!Y19</f>
        <v>0</v>
      </c>
      <c r="Z31" s="14">
        <f>'תבל  '!Z19</f>
        <v>0</v>
      </c>
      <c r="AA31" s="101">
        <f>'תבל  '!AA19</f>
        <v>810000</v>
      </c>
      <c r="AB31" s="196"/>
      <c r="AC31" s="112"/>
      <c r="AD31" s="55"/>
      <c r="AE31" s="55"/>
      <c r="AF31" s="57"/>
      <c r="AG31" s="57"/>
      <c r="AH31" s="55"/>
    </row>
    <row r="32" spans="1:34" s="15" customFormat="1">
      <c r="A32" s="13">
        <f t="shared" si="4"/>
        <v>21</v>
      </c>
      <c r="B32" s="13">
        <v>1482</v>
      </c>
      <c r="C32" s="13" t="s">
        <v>95</v>
      </c>
      <c r="D32" s="14">
        <f>'תבל  '!D21</f>
        <v>1450000</v>
      </c>
      <c r="E32" s="14">
        <f>'תבל  '!E21</f>
        <v>1450000</v>
      </c>
      <c r="F32" s="14">
        <f>'תבל  '!F21</f>
        <v>0</v>
      </c>
      <c r="G32" s="14">
        <f>'תבל  '!G21</f>
        <v>1450000</v>
      </c>
      <c r="H32" s="14">
        <f>'תבל  '!H21</f>
        <v>1360550.43</v>
      </c>
      <c r="I32" s="14">
        <f>'תבל  '!I21</f>
        <v>0</v>
      </c>
      <c r="J32" s="14">
        <f>'תבל  '!J21</f>
        <v>88263.37</v>
      </c>
      <c r="K32" s="14">
        <f>'תבל  '!K21</f>
        <v>88263.37</v>
      </c>
      <c r="L32" s="14">
        <f>'תבל  '!L21</f>
        <v>1448813.7999999998</v>
      </c>
      <c r="M32" s="14">
        <f>'תבל  '!M21</f>
        <v>1186.2000000001863</v>
      </c>
      <c r="N32" s="14">
        <f>'תבל  '!N21</f>
        <v>0</v>
      </c>
      <c r="O32" s="14">
        <f>'תבל  '!O21</f>
        <v>0</v>
      </c>
      <c r="P32" s="14">
        <f>'תבל  '!P21</f>
        <v>1186.2000000001863</v>
      </c>
      <c r="Q32" s="14">
        <f>'תבל  '!Q21</f>
        <v>0</v>
      </c>
      <c r="R32" s="14">
        <f>'תבל  '!R21</f>
        <v>0</v>
      </c>
      <c r="S32" s="14">
        <f>'תבל  '!S21</f>
        <v>0</v>
      </c>
      <c r="T32" s="14">
        <f>'תבל  '!T21</f>
        <v>0</v>
      </c>
      <c r="U32" s="14">
        <f>'תבל  '!U21</f>
        <v>0</v>
      </c>
      <c r="V32" s="14">
        <f>'תבל  '!V21</f>
        <v>0</v>
      </c>
      <c r="W32" s="14">
        <f>'תבל  '!W21</f>
        <v>0</v>
      </c>
      <c r="X32" s="14">
        <f>'תבל  '!X21</f>
        <v>0</v>
      </c>
      <c r="Y32" s="14">
        <f>'תבל  '!Y21</f>
        <v>0</v>
      </c>
      <c r="Z32" s="14">
        <f>'תבל  '!Z21</f>
        <v>0</v>
      </c>
      <c r="AA32" s="101">
        <f>'תבל  '!AA21</f>
        <v>810000</v>
      </c>
      <c r="AB32" s="196"/>
      <c r="AC32" s="112"/>
      <c r="AD32" s="55"/>
      <c r="AE32" s="55"/>
      <c r="AF32" s="57"/>
      <c r="AG32" s="57"/>
      <c r="AH32" s="55"/>
    </row>
    <row r="33" spans="1:34" s="15" customFormat="1">
      <c r="A33" s="13">
        <f t="shared" si="4"/>
        <v>22</v>
      </c>
      <c r="B33" s="13">
        <v>1483</v>
      </c>
      <c r="C33" s="13" t="s">
        <v>96</v>
      </c>
      <c r="D33" s="14">
        <f>'תבל  '!D22</f>
        <v>2700000</v>
      </c>
      <c r="E33" s="14">
        <f>'תבל  '!E22</f>
        <v>2700000</v>
      </c>
      <c r="F33" s="14">
        <f>'תבל  '!F22</f>
        <v>0</v>
      </c>
      <c r="G33" s="14">
        <f>'תבל  '!G22</f>
        <v>1500000</v>
      </c>
      <c r="H33" s="14">
        <f>'תבל  '!H22</f>
        <v>1436402</v>
      </c>
      <c r="I33" s="14">
        <f>'תבל  '!I22</f>
        <v>0</v>
      </c>
      <c r="J33" s="14">
        <f>'תבל  '!J22</f>
        <v>57683.9</v>
      </c>
      <c r="K33" s="14">
        <f>'תבל  '!K22</f>
        <v>57683.9</v>
      </c>
      <c r="L33" s="14">
        <f>'תבל  '!L22</f>
        <v>1494085.9</v>
      </c>
      <c r="M33" s="14">
        <f>'תבל  '!M22</f>
        <v>5914.1000000000931</v>
      </c>
      <c r="N33" s="14">
        <f>'תבל  '!N22</f>
        <v>300000</v>
      </c>
      <c r="O33" s="14">
        <f>'תבל  '!O22</f>
        <v>900000</v>
      </c>
      <c r="P33" s="14">
        <f>'תבל  '!P22</f>
        <v>5914.1000000000931</v>
      </c>
      <c r="Q33" s="14">
        <f>'תבל  '!Q22</f>
        <v>0</v>
      </c>
      <c r="R33" s="14">
        <f>'תבל  '!R22</f>
        <v>0</v>
      </c>
      <c r="S33" s="14">
        <f>'תבל  '!S22</f>
        <v>0</v>
      </c>
      <c r="T33" s="14">
        <f>'תבל  '!T22</f>
        <v>0</v>
      </c>
      <c r="U33" s="14">
        <f>'תבל  '!U22</f>
        <v>300000</v>
      </c>
      <c r="V33" s="14">
        <f>'תבל  '!V22</f>
        <v>0</v>
      </c>
      <c r="W33" s="14">
        <f>'תבל  '!W22</f>
        <v>300000</v>
      </c>
      <c r="X33" s="14">
        <f>'תבל  '!X22</f>
        <v>0</v>
      </c>
      <c r="Y33" s="14">
        <f>'תבל  '!Y22</f>
        <v>0</v>
      </c>
      <c r="Z33" s="14">
        <f>'תבל  '!Z22</f>
        <v>0</v>
      </c>
      <c r="AA33" s="101">
        <f>'תבל  '!AA22</f>
        <v>812000</v>
      </c>
      <c r="AB33" s="196"/>
      <c r="AC33" s="112"/>
      <c r="AD33" s="55"/>
      <c r="AE33" s="55"/>
      <c r="AF33" s="57"/>
      <c r="AG33" s="57"/>
      <c r="AH33" s="55"/>
    </row>
    <row r="34" spans="1:34" s="15" customFormat="1">
      <c r="A34" s="13">
        <f t="shared" si="4"/>
        <v>23</v>
      </c>
      <c r="B34" s="13">
        <v>1676</v>
      </c>
      <c r="C34" s="13" t="s">
        <v>390</v>
      </c>
      <c r="D34" s="14">
        <f>'תבל  '!D28</f>
        <v>43215000</v>
      </c>
      <c r="E34" s="14">
        <f>'תבל  '!E28</f>
        <v>43215000</v>
      </c>
      <c r="F34" s="14">
        <f>'תבל  '!F28</f>
        <v>0</v>
      </c>
      <c r="G34" s="14">
        <f>'תבל  '!G28</f>
        <v>43215000</v>
      </c>
      <c r="H34" s="14">
        <f>'תבל  '!H28</f>
        <v>42364741</v>
      </c>
      <c r="I34" s="14">
        <f>'תבל  '!I28</f>
        <v>209870.43</v>
      </c>
      <c r="J34" s="14">
        <f>'תבל  '!J28</f>
        <v>0</v>
      </c>
      <c r="K34" s="14">
        <f>'תבל  '!K28</f>
        <v>209870.43</v>
      </c>
      <c r="L34" s="14">
        <f>'תבל  '!L28</f>
        <v>42574611.43</v>
      </c>
      <c r="M34" s="14">
        <f>'תבל  '!M28</f>
        <v>640388.5700000003</v>
      </c>
      <c r="N34" s="14">
        <f>'תבל  '!N28</f>
        <v>0</v>
      </c>
      <c r="O34" s="14">
        <f>'תבל  '!O28</f>
        <v>0</v>
      </c>
      <c r="P34" s="14">
        <f>'תבל  '!P28</f>
        <v>640388.5700000003</v>
      </c>
      <c r="Q34" s="14">
        <f>'תבל  '!Q28</f>
        <v>0</v>
      </c>
      <c r="R34" s="14">
        <f>'תבל  '!R28</f>
        <v>0</v>
      </c>
      <c r="S34" s="14">
        <f>'תבל  '!S28</f>
        <v>0</v>
      </c>
      <c r="T34" s="14">
        <f>'תבל  '!T28</f>
        <v>0</v>
      </c>
      <c r="U34" s="14">
        <f>'תבל  '!U28</f>
        <v>0</v>
      </c>
      <c r="V34" s="14">
        <f>'תבל  '!V28</f>
        <v>0</v>
      </c>
      <c r="W34" s="14">
        <f>'תבל  '!W28</f>
        <v>0</v>
      </c>
      <c r="X34" s="14">
        <f>'תבל  '!X28</f>
        <v>0</v>
      </c>
      <c r="Y34" s="14">
        <f>'תבל  '!Y28</f>
        <v>0</v>
      </c>
      <c r="Z34" s="14">
        <f>'תבל  '!Z28</f>
        <v>0</v>
      </c>
      <c r="AA34" s="101">
        <f>'תבל  '!AA28</f>
        <v>810000</v>
      </c>
      <c r="AB34" s="196"/>
      <c r="AC34" s="112"/>
      <c r="AD34" s="55"/>
      <c r="AE34" s="55"/>
      <c r="AF34" s="57"/>
      <c r="AG34" s="57"/>
      <c r="AH34" s="55"/>
    </row>
    <row r="35" spans="1:34" s="15" customFormat="1">
      <c r="A35" s="13">
        <f t="shared" si="4"/>
        <v>24</v>
      </c>
      <c r="B35" s="13">
        <v>1677</v>
      </c>
      <c r="C35" s="13" t="s">
        <v>102</v>
      </c>
      <c r="D35" s="14">
        <f>'תבל  '!D29</f>
        <v>19000000</v>
      </c>
      <c r="E35" s="14">
        <f>'תבל  '!E29</f>
        <v>19000000</v>
      </c>
      <c r="F35" s="14">
        <f>'תבל  '!F29</f>
        <v>0</v>
      </c>
      <c r="G35" s="14">
        <f>'תבל  '!G29</f>
        <v>19000000</v>
      </c>
      <c r="H35" s="14">
        <f>'תבל  '!H29</f>
        <v>17457009.460000001</v>
      </c>
      <c r="I35" s="14">
        <f>'תבל  '!I29</f>
        <v>397067.78</v>
      </c>
      <c r="J35" s="14">
        <f>'תבל  '!J29</f>
        <v>1025254.45</v>
      </c>
      <c r="K35" s="14">
        <f>'תבל  '!K29</f>
        <v>1422322.23</v>
      </c>
      <c r="L35" s="14">
        <f>'תבל  '!L29</f>
        <v>18879331.690000001</v>
      </c>
      <c r="M35" s="14">
        <f>'תבל  '!M29</f>
        <v>120668.30999999866</v>
      </c>
      <c r="N35" s="14">
        <f>'תבל  '!N29</f>
        <v>0</v>
      </c>
      <c r="O35" s="14">
        <f>'תבל  '!O29</f>
        <v>0</v>
      </c>
      <c r="P35" s="14">
        <f>'תבל  '!P29</f>
        <v>120668.30999999866</v>
      </c>
      <c r="Q35" s="14">
        <f>'תבל  '!Q29</f>
        <v>0</v>
      </c>
      <c r="R35" s="14">
        <f>'תבל  '!R29</f>
        <v>0</v>
      </c>
      <c r="S35" s="14">
        <f>'תבל  '!S29</f>
        <v>0</v>
      </c>
      <c r="T35" s="14">
        <f>'תבל  '!T29</f>
        <v>0</v>
      </c>
      <c r="U35" s="14">
        <f>'תבל  '!U29</f>
        <v>0</v>
      </c>
      <c r="V35" s="14">
        <f>'תבל  '!V29</f>
        <v>0</v>
      </c>
      <c r="W35" s="14">
        <f>'תבל  '!W29</f>
        <v>0</v>
      </c>
      <c r="X35" s="14">
        <f>'תבל  '!X29</f>
        <v>0</v>
      </c>
      <c r="Y35" s="14">
        <f>'תבל  '!Y29</f>
        <v>0</v>
      </c>
      <c r="Z35" s="14">
        <f>'תבל  '!Z29</f>
        <v>0</v>
      </c>
      <c r="AA35" s="101">
        <f>'תבל  '!AA29</f>
        <v>810000</v>
      </c>
      <c r="AB35" s="196"/>
      <c r="AC35" s="112"/>
      <c r="AD35" s="55"/>
      <c r="AE35" s="55"/>
      <c r="AF35" s="57"/>
      <c r="AG35" s="57"/>
      <c r="AH35" s="55"/>
    </row>
    <row r="36" spans="1:34" s="15" customFormat="1">
      <c r="A36" s="13">
        <f t="shared" si="4"/>
        <v>25</v>
      </c>
      <c r="B36" s="13">
        <v>1691</v>
      </c>
      <c r="C36" s="13" t="s">
        <v>391</v>
      </c>
      <c r="D36" s="14">
        <f>'תבל  '!D30</f>
        <v>210000</v>
      </c>
      <c r="E36" s="14">
        <f>'תבל  '!E30</f>
        <v>210000</v>
      </c>
      <c r="F36" s="14">
        <f>'תבל  '!F30</f>
        <v>0</v>
      </c>
      <c r="G36" s="14">
        <f>'תבל  '!G30</f>
        <v>210000</v>
      </c>
      <c r="H36" s="14">
        <f>'תבל  '!H30</f>
        <v>184253.53</v>
      </c>
      <c r="I36" s="14">
        <f>'תבל  '!I30</f>
        <v>0</v>
      </c>
      <c r="J36" s="14">
        <f>'תבל  '!J30</f>
        <v>0</v>
      </c>
      <c r="K36" s="14">
        <f>'תבל  '!K30</f>
        <v>0</v>
      </c>
      <c r="L36" s="14">
        <f>'תבל  '!L30</f>
        <v>184253.53</v>
      </c>
      <c r="M36" s="14">
        <f>'תבל  '!M30</f>
        <v>25746.47</v>
      </c>
      <c r="N36" s="14">
        <f>'תבל  '!N30</f>
        <v>0</v>
      </c>
      <c r="O36" s="14">
        <f>'תבל  '!O30</f>
        <v>0</v>
      </c>
      <c r="P36" s="14">
        <f>'תבל  '!P30</f>
        <v>25746.47</v>
      </c>
      <c r="Q36" s="14">
        <f>'תבל  '!Q30</f>
        <v>0</v>
      </c>
      <c r="R36" s="14">
        <f>'תבל  '!R30</f>
        <v>0</v>
      </c>
      <c r="S36" s="14">
        <f>'תבל  '!S30</f>
        <v>0</v>
      </c>
      <c r="T36" s="14">
        <f>'תבל  '!T30</f>
        <v>0</v>
      </c>
      <c r="U36" s="14">
        <f>'תבל  '!U30</f>
        <v>0</v>
      </c>
      <c r="V36" s="14">
        <f>'תבל  '!V30</f>
        <v>0</v>
      </c>
      <c r="W36" s="14">
        <f>'תבל  '!W30</f>
        <v>0</v>
      </c>
      <c r="X36" s="14">
        <f>'תבל  '!X30</f>
        <v>0</v>
      </c>
      <c r="Y36" s="14">
        <f>'תבל  '!Y30</f>
        <v>0</v>
      </c>
      <c r="Z36" s="14">
        <f>'תבל  '!Z30</f>
        <v>0</v>
      </c>
      <c r="AA36" s="101">
        <f>'תבל  '!AA30</f>
        <v>810000</v>
      </c>
      <c r="AB36" s="196"/>
      <c r="AC36" s="112"/>
      <c r="AD36" s="55"/>
      <c r="AE36" s="55"/>
      <c r="AF36" s="57"/>
      <c r="AG36" s="57"/>
      <c r="AH36" s="55"/>
    </row>
    <row r="37" spans="1:34" s="15" customFormat="1">
      <c r="A37" s="13">
        <f t="shared" si="4"/>
        <v>26</v>
      </c>
      <c r="B37" s="13">
        <v>1711</v>
      </c>
      <c r="C37" s="13" t="s">
        <v>104</v>
      </c>
      <c r="D37" s="14">
        <f>'תבל  '!D31</f>
        <v>525000</v>
      </c>
      <c r="E37" s="14">
        <f>'תבל  '!E31</f>
        <v>425000</v>
      </c>
      <c r="F37" s="14">
        <f>'תבל  '!F31</f>
        <v>100000</v>
      </c>
      <c r="G37" s="14">
        <f>'תבל  '!G31</f>
        <v>425000</v>
      </c>
      <c r="H37" s="14">
        <f>'תבל  '!H31</f>
        <v>244847</v>
      </c>
      <c r="I37" s="14">
        <f>'תבל  '!I31</f>
        <v>0</v>
      </c>
      <c r="J37" s="14">
        <f>'תבל  '!J31</f>
        <v>94191</v>
      </c>
      <c r="K37" s="14">
        <f>'תבל  '!K31</f>
        <v>94191</v>
      </c>
      <c r="L37" s="14">
        <f>'תבל  '!L31</f>
        <v>339038</v>
      </c>
      <c r="M37" s="14">
        <f>'תבל  '!M31</f>
        <v>85962</v>
      </c>
      <c r="N37" s="14">
        <f>'תבל  '!N31</f>
        <v>100000</v>
      </c>
      <c r="O37" s="14">
        <f>'תבל  '!O31</f>
        <v>0</v>
      </c>
      <c r="P37" s="14">
        <f>'תבל  '!P31</f>
        <v>85962</v>
      </c>
      <c r="Q37" s="14">
        <f>'תבל  '!Q31</f>
        <v>0</v>
      </c>
      <c r="R37" s="14">
        <f>'תבל  '!R31</f>
        <v>0</v>
      </c>
      <c r="S37" s="14">
        <f>'תבל  '!S31</f>
        <v>0</v>
      </c>
      <c r="T37" s="14">
        <f>'תבל  '!T31</f>
        <v>0</v>
      </c>
      <c r="U37" s="14">
        <f>'תבל  '!U31</f>
        <v>100000</v>
      </c>
      <c r="V37" s="14">
        <f>'תבל  '!V31</f>
        <v>50000</v>
      </c>
      <c r="W37" s="14">
        <f>'תבל  '!W31</f>
        <v>50000</v>
      </c>
      <c r="X37" s="14">
        <f>'תבל  '!X31</f>
        <v>0</v>
      </c>
      <c r="Y37" s="14">
        <f>'תבל  '!Y31</f>
        <v>0</v>
      </c>
      <c r="Z37" s="14">
        <f>'תבל  '!Z31</f>
        <v>0</v>
      </c>
      <c r="AA37" s="101">
        <f>'תבל  '!AA31</f>
        <v>810000</v>
      </c>
      <c r="AB37" s="196"/>
      <c r="AC37" s="112"/>
      <c r="AD37" s="55"/>
      <c r="AE37" s="55"/>
      <c r="AF37" s="57"/>
      <c r="AG37" s="57"/>
      <c r="AH37" s="55"/>
    </row>
    <row r="38" spans="1:34" s="15" customFormat="1">
      <c r="A38" s="13">
        <f t="shared" si="4"/>
        <v>27</v>
      </c>
      <c r="B38" s="13">
        <v>1767</v>
      </c>
      <c r="C38" s="13" t="s">
        <v>347</v>
      </c>
      <c r="D38" s="14">
        <f>'תבל  '!D32</f>
        <v>1300000</v>
      </c>
      <c r="E38" s="14">
        <f>'תבל  '!E32</f>
        <v>1300000</v>
      </c>
      <c r="F38" s="14">
        <f>'תבל  '!F32</f>
        <v>0</v>
      </c>
      <c r="G38" s="14">
        <f>'תבל  '!G32</f>
        <v>1300000</v>
      </c>
      <c r="H38" s="14">
        <f>'תבל  '!H32</f>
        <v>1075110.06</v>
      </c>
      <c r="I38" s="14">
        <f>'תבל  '!I32</f>
        <v>0</v>
      </c>
      <c r="J38" s="14">
        <f>'תבל  '!J32</f>
        <v>224000</v>
      </c>
      <c r="K38" s="14">
        <f>'תבל  '!K32</f>
        <v>224000</v>
      </c>
      <c r="L38" s="14">
        <f>'תבל  '!L32</f>
        <v>1299110.06</v>
      </c>
      <c r="M38" s="14">
        <f>'תבל  '!M32</f>
        <v>889.93999999994412</v>
      </c>
      <c r="N38" s="14">
        <f>'תבל  '!N32</f>
        <v>0</v>
      </c>
      <c r="O38" s="14">
        <f>'תבל  '!O32</f>
        <v>0</v>
      </c>
      <c r="P38" s="14">
        <f>'תבל  '!P32</f>
        <v>889.93999999994412</v>
      </c>
      <c r="Q38" s="14">
        <f>'תבל  '!Q32</f>
        <v>0</v>
      </c>
      <c r="R38" s="14">
        <f>'תבל  '!R32</f>
        <v>0</v>
      </c>
      <c r="S38" s="14">
        <f>'תבל  '!S32</f>
        <v>0</v>
      </c>
      <c r="T38" s="14">
        <f>'תבל  '!T32</f>
        <v>0</v>
      </c>
      <c r="U38" s="14">
        <f>'תבל  '!U32</f>
        <v>0</v>
      </c>
      <c r="V38" s="14">
        <f>'תבל  '!V32</f>
        <v>0</v>
      </c>
      <c r="W38" s="14">
        <f>'תבל  '!W32</f>
        <v>0</v>
      </c>
      <c r="X38" s="14">
        <f>'תבל  '!X32</f>
        <v>0</v>
      </c>
      <c r="Y38" s="14">
        <f>'תבל  '!Y32</f>
        <v>0</v>
      </c>
      <c r="Z38" s="14">
        <f>'תבל  '!Z32</f>
        <v>0</v>
      </c>
      <c r="AA38" s="101">
        <f>'תבל  '!AA32</f>
        <v>810000</v>
      </c>
      <c r="AB38" s="196"/>
      <c r="AC38" s="112"/>
      <c r="AD38" s="55"/>
      <c r="AE38" s="55"/>
      <c r="AF38" s="57"/>
      <c r="AG38" s="57"/>
      <c r="AH38" s="55"/>
    </row>
    <row r="39" spans="1:34" s="15" customFormat="1">
      <c r="A39" s="13">
        <f t="shared" si="4"/>
        <v>28</v>
      </c>
      <c r="B39" s="13">
        <v>1769</v>
      </c>
      <c r="C39" s="13" t="s">
        <v>105</v>
      </c>
      <c r="D39" s="14">
        <f>'תבל  '!D33</f>
        <v>4870000</v>
      </c>
      <c r="E39" s="14">
        <f>'תבל  '!E33</f>
        <v>4870000</v>
      </c>
      <c r="F39" s="14">
        <f>'תבל  '!F33</f>
        <v>0</v>
      </c>
      <c r="G39" s="14">
        <f>'תבל  '!G33</f>
        <v>4870000</v>
      </c>
      <c r="H39" s="14">
        <f>'תבל  '!H33</f>
        <v>4649992.74</v>
      </c>
      <c r="I39" s="14">
        <f>'תבל  '!I33</f>
        <v>183763.5</v>
      </c>
      <c r="J39" s="14">
        <f>'תבל  '!J33</f>
        <v>0</v>
      </c>
      <c r="K39" s="14">
        <f>'תבל  '!K33</f>
        <v>183763.5</v>
      </c>
      <c r="L39" s="14">
        <f>'תבל  '!L33</f>
        <v>4833756.24</v>
      </c>
      <c r="M39" s="14">
        <f>'תבל  '!M33</f>
        <v>36243.759999999776</v>
      </c>
      <c r="N39" s="14">
        <f>'תבל  '!N33</f>
        <v>0</v>
      </c>
      <c r="O39" s="14">
        <f>'תבל  '!O33</f>
        <v>0</v>
      </c>
      <c r="P39" s="14">
        <f>'תבל  '!P33</f>
        <v>36243.759999999776</v>
      </c>
      <c r="Q39" s="14">
        <f>'תבל  '!Q33</f>
        <v>0</v>
      </c>
      <c r="R39" s="14">
        <f>'תבל  '!R33</f>
        <v>0</v>
      </c>
      <c r="S39" s="14">
        <f>'תבל  '!S33</f>
        <v>0</v>
      </c>
      <c r="T39" s="14">
        <f>'תבל  '!T33</f>
        <v>0</v>
      </c>
      <c r="U39" s="14">
        <f>'תבל  '!U33</f>
        <v>0</v>
      </c>
      <c r="V39" s="14">
        <f>'תבל  '!V33</f>
        <v>0</v>
      </c>
      <c r="W39" s="14">
        <f>'תבל  '!W33</f>
        <v>0</v>
      </c>
      <c r="X39" s="14">
        <f>'תבל  '!X33</f>
        <v>0</v>
      </c>
      <c r="Y39" s="14">
        <f>'תבל  '!Y33</f>
        <v>0</v>
      </c>
      <c r="Z39" s="14">
        <f>'תבל  '!Z33</f>
        <v>0</v>
      </c>
      <c r="AA39" s="101">
        <f>'תבל  '!AA33</f>
        <v>810000</v>
      </c>
      <c r="AB39" s="196"/>
      <c r="AC39" s="112"/>
      <c r="AD39" s="55"/>
      <c r="AE39" s="55"/>
      <c r="AF39" s="57"/>
      <c r="AG39" s="57"/>
      <c r="AH39" s="55"/>
    </row>
    <row r="40" spans="1:34" s="15" customFormat="1">
      <c r="A40" s="13">
        <f t="shared" si="4"/>
        <v>29</v>
      </c>
      <c r="B40" s="13">
        <v>1770</v>
      </c>
      <c r="C40" s="13" t="s">
        <v>355</v>
      </c>
      <c r="D40" s="14">
        <f>'תבל  '!D34</f>
        <v>29752105</v>
      </c>
      <c r="E40" s="14">
        <f>'תבל  '!E34</f>
        <v>29752105</v>
      </c>
      <c r="F40" s="14">
        <f>'תבל  '!F34</f>
        <v>0</v>
      </c>
      <c r="G40" s="14">
        <f>'תבל  '!G34</f>
        <v>29752105</v>
      </c>
      <c r="H40" s="14">
        <f>'תבל  '!H34</f>
        <v>23120463.469999999</v>
      </c>
      <c r="I40" s="14">
        <f>'תבל  '!I34</f>
        <v>3163571.7</v>
      </c>
      <c r="J40" s="14">
        <f>'תבל  '!J34</f>
        <v>2473363.66</v>
      </c>
      <c r="K40" s="14">
        <f>'תבל  '!K34</f>
        <v>5636935.3600000003</v>
      </c>
      <c r="L40" s="14">
        <f>'תבל  '!L34</f>
        <v>28757398.829999998</v>
      </c>
      <c r="M40" s="14">
        <f>'תבל  '!M34</f>
        <v>994706.17000000179</v>
      </c>
      <c r="N40" s="14">
        <f>'תבל  '!N34</f>
        <v>0</v>
      </c>
      <c r="O40" s="14">
        <f>'תבל  '!O34</f>
        <v>0</v>
      </c>
      <c r="P40" s="14">
        <f>'תבל  '!P34</f>
        <v>994706.17000000179</v>
      </c>
      <c r="Q40" s="14">
        <f>'תבל  '!Q34</f>
        <v>0</v>
      </c>
      <c r="R40" s="14">
        <f>'תבל  '!R34</f>
        <v>0</v>
      </c>
      <c r="S40" s="14">
        <f>'תבל  '!S34</f>
        <v>0</v>
      </c>
      <c r="T40" s="14">
        <f>'תבל  '!T34</f>
        <v>0</v>
      </c>
      <c r="U40" s="14">
        <f>'תבל  '!U34</f>
        <v>0</v>
      </c>
      <c r="V40" s="14">
        <f>'תבל  '!V34</f>
        <v>0</v>
      </c>
      <c r="W40" s="14">
        <f>'תבל  '!W34</f>
        <v>0</v>
      </c>
      <c r="X40" s="14">
        <f>'תבל  '!X34</f>
        <v>0</v>
      </c>
      <c r="Y40" s="14">
        <f>'תבל  '!Y34</f>
        <v>0</v>
      </c>
      <c r="Z40" s="14">
        <f>'תבל  '!Z34</f>
        <v>0</v>
      </c>
      <c r="AA40" s="101">
        <f>'תבל  '!AA34</f>
        <v>810000</v>
      </c>
      <c r="AB40" s="196"/>
      <c r="AC40" s="112"/>
      <c r="AD40" s="55"/>
      <c r="AE40" s="55"/>
      <c r="AF40" s="57"/>
      <c r="AG40" s="57"/>
      <c r="AH40" s="55"/>
    </row>
    <row r="41" spans="1:34" s="15" customFormat="1">
      <c r="A41" s="13">
        <f t="shared" si="4"/>
        <v>30</v>
      </c>
      <c r="B41" s="13">
        <v>1821</v>
      </c>
      <c r="C41" s="13" t="s">
        <v>279</v>
      </c>
      <c r="D41" s="14">
        <f>'תבל  '!D38</f>
        <v>170000</v>
      </c>
      <c r="E41" s="14">
        <f>'תבל  '!E38</f>
        <v>170000</v>
      </c>
      <c r="F41" s="14">
        <f>'תבל  '!F38</f>
        <v>0</v>
      </c>
      <c r="G41" s="14">
        <f>'תבל  '!G38</f>
        <v>170000</v>
      </c>
      <c r="H41" s="14">
        <f>'תבל  '!H38</f>
        <v>128701</v>
      </c>
      <c r="I41" s="14">
        <f>'תבל  '!I38</f>
        <v>0</v>
      </c>
      <c r="J41" s="14">
        <f>'תבל  '!J38</f>
        <v>0</v>
      </c>
      <c r="K41" s="14">
        <f>'תבל  '!K38</f>
        <v>0</v>
      </c>
      <c r="L41" s="14">
        <f>'תבל  '!L38</f>
        <v>128701</v>
      </c>
      <c r="M41" s="14">
        <f>'תבל  '!M38</f>
        <v>41299</v>
      </c>
      <c r="N41" s="14">
        <f>'תבל  '!N38</f>
        <v>0</v>
      </c>
      <c r="O41" s="14">
        <f>'תבל  '!O38</f>
        <v>0</v>
      </c>
      <c r="P41" s="14">
        <f>'תבל  '!P38</f>
        <v>41299</v>
      </c>
      <c r="Q41" s="14">
        <f>'תבל  '!Q38</f>
        <v>0</v>
      </c>
      <c r="R41" s="14">
        <f>'תבל  '!R38</f>
        <v>0</v>
      </c>
      <c r="S41" s="14">
        <f>'תבל  '!S38</f>
        <v>0</v>
      </c>
      <c r="T41" s="14">
        <f>'תבל  '!T38</f>
        <v>0</v>
      </c>
      <c r="U41" s="14">
        <f>'תבל  '!U38</f>
        <v>0</v>
      </c>
      <c r="V41" s="14">
        <f>'תבל  '!V38</f>
        <v>0</v>
      </c>
      <c r="W41" s="14">
        <f>'תבל  '!W38</f>
        <v>0</v>
      </c>
      <c r="X41" s="14">
        <f>'תבל  '!X38</f>
        <v>0</v>
      </c>
      <c r="Y41" s="14">
        <f>'תבל  '!Y38</f>
        <v>0</v>
      </c>
      <c r="Z41" s="14">
        <f>'תבל  '!Z38</f>
        <v>0</v>
      </c>
      <c r="AA41" s="101">
        <f>'תבל  '!AA38</f>
        <v>810000</v>
      </c>
      <c r="AB41" s="196"/>
      <c r="AC41" s="112"/>
      <c r="AD41" s="55"/>
      <c r="AE41" s="55"/>
      <c r="AF41" s="57"/>
      <c r="AG41" s="57"/>
      <c r="AH41" s="55"/>
    </row>
    <row r="42" spans="1:34" s="15" customFormat="1">
      <c r="A42" s="13">
        <f t="shared" si="4"/>
        <v>31</v>
      </c>
      <c r="B42" s="13">
        <v>1850</v>
      </c>
      <c r="C42" s="13" t="s">
        <v>281</v>
      </c>
      <c r="D42" s="14">
        <f>'תבל  '!D41</f>
        <v>14600000</v>
      </c>
      <c r="E42" s="14">
        <f>'תבל  '!E41</f>
        <v>14600000</v>
      </c>
      <c r="F42" s="14">
        <f>'תבל  '!F41</f>
        <v>0</v>
      </c>
      <c r="G42" s="14">
        <f>'תבל  '!G41</f>
        <v>2350000</v>
      </c>
      <c r="H42" s="14">
        <f>'תבל  '!H41</f>
        <v>175101.91</v>
      </c>
      <c r="I42" s="14">
        <f>'תבל  '!I41</f>
        <v>0</v>
      </c>
      <c r="J42" s="14">
        <f>'תבל  '!J41</f>
        <v>627020.53</v>
      </c>
      <c r="K42" s="14">
        <f>'תבל  '!K41</f>
        <v>627020.53</v>
      </c>
      <c r="L42" s="14">
        <f>'תבל  '!L41</f>
        <v>802122.44000000006</v>
      </c>
      <c r="M42" s="14">
        <f>'תבל  '!M41</f>
        <v>2477877.56</v>
      </c>
      <c r="N42" s="14">
        <f>'תבל  '!N41</f>
        <v>1500000</v>
      </c>
      <c r="O42" s="14">
        <f>'תבל  '!O41</f>
        <v>9820000</v>
      </c>
      <c r="P42" s="14">
        <f>'תבל  '!P41</f>
        <v>1547877.56</v>
      </c>
      <c r="Q42" s="14">
        <f>'תבל  '!Q41</f>
        <v>930000</v>
      </c>
      <c r="R42" s="14">
        <f>'תבל  '!R41</f>
        <v>0</v>
      </c>
      <c r="S42" s="14">
        <f>'תבל  '!S41</f>
        <v>930000</v>
      </c>
      <c r="T42" s="14">
        <f>'תבל  '!T41</f>
        <v>0</v>
      </c>
      <c r="U42" s="14">
        <f>'תבל  '!U41</f>
        <v>1500000</v>
      </c>
      <c r="V42" s="14">
        <f>'תבל  '!V41</f>
        <v>1000000</v>
      </c>
      <c r="W42" s="14">
        <f>'תבל  '!W41</f>
        <v>500000</v>
      </c>
      <c r="X42" s="14">
        <f>'תבל  '!X41</f>
        <v>0</v>
      </c>
      <c r="Y42" s="14">
        <f>'תבל  '!Y41</f>
        <v>0</v>
      </c>
      <c r="Z42" s="14">
        <f>'תבל  '!Z41</f>
        <v>0</v>
      </c>
      <c r="AA42" s="101">
        <f>'תבל  '!AA41</f>
        <v>810000</v>
      </c>
      <c r="AB42" s="196"/>
      <c r="AC42" s="112"/>
      <c r="AD42" s="55"/>
      <c r="AE42" s="55"/>
      <c r="AF42" s="55"/>
      <c r="AG42" s="55"/>
      <c r="AH42" s="55"/>
    </row>
    <row r="43" spans="1:34" s="15" customFormat="1">
      <c r="A43" s="13">
        <f t="shared" si="4"/>
        <v>32</v>
      </c>
      <c r="B43" s="13">
        <v>1851</v>
      </c>
      <c r="C43" s="13" t="s">
        <v>282</v>
      </c>
      <c r="D43" s="14">
        <f>'תבל  '!D42</f>
        <v>3050000</v>
      </c>
      <c r="E43" s="14">
        <f>'תבל  '!E42</f>
        <v>3300000</v>
      </c>
      <c r="F43" s="14">
        <f>'תבל  '!F42</f>
        <v>-250000</v>
      </c>
      <c r="G43" s="14">
        <f>'תבל  '!G42</f>
        <v>3300000</v>
      </c>
      <c r="H43" s="14">
        <f>'תבל  '!H42</f>
        <v>2985585.59</v>
      </c>
      <c r="I43" s="14">
        <f>'תבל  '!I42</f>
        <v>47649</v>
      </c>
      <c r="J43" s="14">
        <f>'תבל  '!J42</f>
        <v>0</v>
      </c>
      <c r="K43" s="14">
        <f>'תבל  '!K42</f>
        <v>47649</v>
      </c>
      <c r="L43" s="14">
        <f>'תבל  '!L42</f>
        <v>3033234.59</v>
      </c>
      <c r="M43" s="14">
        <f>'תבל  '!M42</f>
        <v>16765.410000000149</v>
      </c>
      <c r="N43" s="14">
        <f>'תבל  '!N42</f>
        <v>0</v>
      </c>
      <c r="O43" s="14">
        <f>'תבל  '!O42</f>
        <v>0</v>
      </c>
      <c r="P43" s="14">
        <f>'תבל  '!P42</f>
        <v>266765.41000000015</v>
      </c>
      <c r="Q43" s="14">
        <f>'תבל  '!Q42</f>
        <v>0</v>
      </c>
      <c r="R43" s="14">
        <f>'תבל  '!R42</f>
        <v>0</v>
      </c>
      <c r="S43" s="14">
        <f>'תבל  '!S42</f>
        <v>0</v>
      </c>
      <c r="T43" s="14">
        <f>'תבל  '!T42</f>
        <v>250000</v>
      </c>
      <c r="U43" s="14">
        <f>'תבל  '!U42</f>
        <v>-250000</v>
      </c>
      <c r="V43" s="14">
        <f>'תבל  '!V42</f>
        <v>0</v>
      </c>
      <c r="W43" s="14">
        <f>'תבל  '!W42</f>
        <v>-250000</v>
      </c>
      <c r="X43" s="14">
        <f>'תבל  '!X42</f>
        <v>0</v>
      </c>
      <c r="Y43" s="14">
        <f>'תבל  '!Y42</f>
        <v>0</v>
      </c>
      <c r="Z43" s="14">
        <f>'תבל  '!Z42</f>
        <v>0</v>
      </c>
      <c r="AA43" s="101">
        <f>'תבל  '!AA42</f>
        <v>810000</v>
      </c>
      <c r="AB43" s="196"/>
      <c r="AC43" s="112"/>
      <c r="AD43" s="55"/>
      <c r="AE43" s="55"/>
      <c r="AF43" s="57"/>
      <c r="AG43" s="57"/>
      <c r="AH43" s="55"/>
    </row>
    <row r="44" spans="1:34" s="15" customFormat="1">
      <c r="A44" s="13">
        <f t="shared" si="4"/>
        <v>33</v>
      </c>
      <c r="B44" s="13">
        <v>1855</v>
      </c>
      <c r="C44" s="13" t="s">
        <v>284</v>
      </c>
      <c r="D44" s="14">
        <f>'תבל  '!D44</f>
        <v>400000</v>
      </c>
      <c r="E44" s="14">
        <f>'תבל  '!E44</f>
        <v>400000</v>
      </c>
      <c r="F44" s="14">
        <f>'תבל  '!F44</f>
        <v>0</v>
      </c>
      <c r="G44" s="14">
        <f>'תבל  '!G44</f>
        <v>400000</v>
      </c>
      <c r="H44" s="14">
        <f>'תבל  '!H44</f>
        <v>298160.06</v>
      </c>
      <c r="I44" s="14">
        <f>'תבל  '!I44</f>
        <v>0</v>
      </c>
      <c r="J44" s="14">
        <f>'תבל  '!J44</f>
        <v>0</v>
      </c>
      <c r="K44" s="14">
        <f>'תבל  '!K44</f>
        <v>0</v>
      </c>
      <c r="L44" s="14">
        <f>'תבל  '!L44</f>
        <v>298160.06</v>
      </c>
      <c r="M44" s="14">
        <f>'תבל  '!M44</f>
        <v>101839.94</v>
      </c>
      <c r="N44" s="14">
        <f>'תבל  '!N44</f>
        <v>0</v>
      </c>
      <c r="O44" s="14">
        <f>'תבל  '!O44</f>
        <v>0</v>
      </c>
      <c r="P44" s="14">
        <f>'תבל  '!P44</f>
        <v>101839.94</v>
      </c>
      <c r="Q44" s="14">
        <f>'תבל  '!Q44</f>
        <v>0</v>
      </c>
      <c r="R44" s="14">
        <f>'תבל  '!R44</f>
        <v>0</v>
      </c>
      <c r="S44" s="14">
        <f>'תבל  '!S44</f>
        <v>0</v>
      </c>
      <c r="T44" s="14">
        <f>'תבל  '!T44</f>
        <v>0</v>
      </c>
      <c r="U44" s="14">
        <f>'תבל  '!U44</f>
        <v>0</v>
      </c>
      <c r="V44" s="14">
        <f>'תבל  '!V44</f>
        <v>0</v>
      </c>
      <c r="W44" s="14">
        <f>'תבל  '!W44</f>
        <v>0</v>
      </c>
      <c r="X44" s="14">
        <f>'תבל  '!X44</f>
        <v>0</v>
      </c>
      <c r="Y44" s="14">
        <f>'תבל  '!Y44</f>
        <v>0</v>
      </c>
      <c r="Z44" s="14">
        <f>'תבל  '!Z44</f>
        <v>0</v>
      </c>
      <c r="AA44" s="101">
        <f>'תבל  '!AA44</f>
        <v>810000</v>
      </c>
      <c r="AB44" s="196"/>
      <c r="AC44" s="112"/>
      <c r="AD44" s="55"/>
      <c r="AE44" s="55"/>
      <c r="AF44" s="55"/>
      <c r="AG44" s="55"/>
      <c r="AH44" s="55"/>
    </row>
    <row r="45" spans="1:34" s="15" customFormat="1">
      <c r="A45" s="13">
        <f t="shared" si="4"/>
        <v>34</v>
      </c>
      <c r="B45" s="13">
        <v>1856</v>
      </c>
      <c r="C45" s="13" t="s">
        <v>285</v>
      </c>
      <c r="D45" s="14">
        <f>'תבל  '!D45</f>
        <v>200000</v>
      </c>
      <c r="E45" s="14">
        <f>'תבל  '!E45</f>
        <v>200000</v>
      </c>
      <c r="F45" s="14">
        <f>'תבל  '!F45</f>
        <v>0</v>
      </c>
      <c r="G45" s="14">
        <f>'תבל  '!G45</f>
        <v>200000</v>
      </c>
      <c r="H45" s="14">
        <f>'תבל  '!H45</f>
        <v>169286.11</v>
      </c>
      <c r="I45" s="14">
        <f>'תבל  '!I45</f>
        <v>0</v>
      </c>
      <c r="J45" s="14">
        <f>'תבל  '!J45</f>
        <v>30691.52</v>
      </c>
      <c r="K45" s="14">
        <f>'תבל  '!K45</f>
        <v>30691.52</v>
      </c>
      <c r="L45" s="14">
        <f>'תבל  '!L45</f>
        <v>199977.62999999998</v>
      </c>
      <c r="M45" s="14">
        <f>'תבל  '!M45</f>
        <v>22.370000000024447</v>
      </c>
      <c r="N45" s="14">
        <f>'תבל  '!N45</f>
        <v>0</v>
      </c>
      <c r="O45" s="14">
        <f>'תבל  '!O45</f>
        <v>0</v>
      </c>
      <c r="P45" s="14">
        <f>'תבל  '!P45</f>
        <v>22.370000000024447</v>
      </c>
      <c r="Q45" s="14">
        <f>'תבל  '!Q45</f>
        <v>0</v>
      </c>
      <c r="R45" s="14">
        <f>'תבל  '!R45</f>
        <v>0</v>
      </c>
      <c r="S45" s="14">
        <f>'תבל  '!S45</f>
        <v>0</v>
      </c>
      <c r="T45" s="14">
        <f>'תבל  '!T45</f>
        <v>0</v>
      </c>
      <c r="U45" s="14">
        <f>'תבל  '!U45</f>
        <v>0</v>
      </c>
      <c r="V45" s="14">
        <f>'תבל  '!V45</f>
        <v>0</v>
      </c>
      <c r="W45" s="14">
        <f>'תבל  '!W45</f>
        <v>0</v>
      </c>
      <c r="X45" s="14">
        <f>'תבל  '!X45</f>
        <v>0</v>
      </c>
      <c r="Y45" s="14">
        <f>'תבל  '!Y45</f>
        <v>0</v>
      </c>
      <c r="Z45" s="14">
        <f>'תבל  '!Z45</f>
        <v>0</v>
      </c>
      <c r="AA45" s="101">
        <f>'תבל  '!AA45</f>
        <v>810000</v>
      </c>
      <c r="AB45" s="196"/>
      <c r="AC45" s="112"/>
      <c r="AD45" s="55"/>
      <c r="AE45" s="55"/>
      <c r="AF45" s="55"/>
      <c r="AG45" s="55"/>
      <c r="AH45" s="55"/>
    </row>
    <row r="46" spans="1:34" s="15" customFormat="1">
      <c r="A46" s="13">
        <f t="shared" si="4"/>
        <v>35</v>
      </c>
      <c r="B46" s="13">
        <v>1883</v>
      </c>
      <c r="C46" s="13" t="s">
        <v>286</v>
      </c>
      <c r="D46" s="14">
        <f>'תבל  '!D46</f>
        <v>23500000</v>
      </c>
      <c r="E46" s="14">
        <f>'תבל  '!E46</f>
        <v>23500000</v>
      </c>
      <c r="F46" s="14">
        <f>'תבל  '!F46</f>
        <v>0</v>
      </c>
      <c r="G46" s="14">
        <f>'תבל  '!G46</f>
        <v>16500000</v>
      </c>
      <c r="H46" s="14">
        <f>'תבל  '!H46</f>
        <v>389885</v>
      </c>
      <c r="I46" s="14">
        <f>'תבל  '!I46</f>
        <v>15304730.26</v>
      </c>
      <c r="J46" s="14">
        <f>'תבל  '!J46</f>
        <v>788509</v>
      </c>
      <c r="K46" s="14">
        <f>'תבל  '!K46</f>
        <v>16093239.26</v>
      </c>
      <c r="L46" s="14">
        <f>'תבל  '!L46</f>
        <v>16483124.26</v>
      </c>
      <c r="M46" s="14">
        <f>'תבל  '!M46</f>
        <v>16875.740000000224</v>
      </c>
      <c r="N46" s="14">
        <f>'תבל  '!N46</f>
        <v>7000000</v>
      </c>
      <c r="O46" s="14">
        <f>'תבל  '!O46</f>
        <v>0</v>
      </c>
      <c r="P46" s="14">
        <f>'תבל  '!P46</f>
        <v>16875.740000000224</v>
      </c>
      <c r="Q46" s="14">
        <f>'תבל  '!Q46</f>
        <v>0</v>
      </c>
      <c r="R46" s="14">
        <f>'תבל  '!R46</f>
        <v>0</v>
      </c>
      <c r="S46" s="14">
        <f>'תבל  '!S46</f>
        <v>0</v>
      </c>
      <c r="T46" s="14">
        <f>'תבל  '!T46</f>
        <v>0</v>
      </c>
      <c r="U46" s="14">
        <f>'תבל  '!U46</f>
        <v>7000000</v>
      </c>
      <c r="V46" s="14">
        <f>'תבל  '!V46</f>
        <v>5000000</v>
      </c>
      <c r="W46" s="14">
        <f>'תבל  '!W46</f>
        <v>1000000</v>
      </c>
      <c r="X46" s="14">
        <f>'תבל  '!X46</f>
        <v>0</v>
      </c>
      <c r="Y46" s="14">
        <f>'תבל  '!Y46</f>
        <v>0</v>
      </c>
      <c r="Z46" s="14">
        <f>'תבל  '!Z46</f>
        <v>1000000</v>
      </c>
      <c r="AA46" s="101">
        <f>'תבל  '!AA46</f>
        <v>810000</v>
      </c>
      <c r="AB46" s="196"/>
      <c r="AC46" s="112"/>
      <c r="AD46" s="55"/>
      <c r="AE46" s="55"/>
      <c r="AF46" s="55"/>
      <c r="AG46" s="55"/>
      <c r="AH46" s="55"/>
    </row>
    <row r="47" spans="1:34" s="15" customFormat="1">
      <c r="A47" s="13">
        <f t="shared" si="4"/>
        <v>36</v>
      </c>
      <c r="B47" s="13">
        <v>1884</v>
      </c>
      <c r="C47" s="13" t="s">
        <v>287</v>
      </c>
      <c r="D47" s="14">
        <f>'תבל  '!D47</f>
        <v>2100000</v>
      </c>
      <c r="E47" s="14">
        <f>'תבל  '!E47</f>
        <v>2100000</v>
      </c>
      <c r="F47" s="14">
        <f>'תבל  '!F47</f>
        <v>0</v>
      </c>
      <c r="G47" s="14">
        <f>'תבל  '!G47</f>
        <v>2100000</v>
      </c>
      <c r="H47" s="14">
        <f>'תבל  '!H47</f>
        <v>1278537.27</v>
      </c>
      <c r="I47" s="14">
        <f>'תבל  '!I47</f>
        <v>604396.26</v>
      </c>
      <c r="J47" s="14">
        <f>'תבל  '!J47</f>
        <v>216430.65</v>
      </c>
      <c r="K47" s="14">
        <f>'תבל  '!K47</f>
        <v>820826.91</v>
      </c>
      <c r="L47" s="14">
        <f>'תבל  '!L47</f>
        <v>2099364.1800000002</v>
      </c>
      <c r="M47" s="14">
        <f>'תבל  '!M47</f>
        <v>635.81999999983236</v>
      </c>
      <c r="N47" s="14">
        <f>'תבל  '!N47</f>
        <v>0</v>
      </c>
      <c r="O47" s="14">
        <f>'תבל  '!O47</f>
        <v>0</v>
      </c>
      <c r="P47" s="14">
        <f>'תבל  '!P47</f>
        <v>635.81999999983236</v>
      </c>
      <c r="Q47" s="14">
        <f>'תבל  '!Q47</f>
        <v>0</v>
      </c>
      <c r="R47" s="14">
        <f>'תבל  '!R47</f>
        <v>0</v>
      </c>
      <c r="S47" s="14">
        <f>'תבל  '!S47</f>
        <v>0</v>
      </c>
      <c r="T47" s="14">
        <f>'תבל  '!T47</f>
        <v>0</v>
      </c>
      <c r="U47" s="14">
        <f>'תבל  '!U47</f>
        <v>0</v>
      </c>
      <c r="V47" s="14">
        <f>'תבל  '!V47</f>
        <v>0</v>
      </c>
      <c r="W47" s="14">
        <f>'תבל  '!W47</f>
        <v>0</v>
      </c>
      <c r="X47" s="14">
        <f>'תבל  '!X47</f>
        <v>0</v>
      </c>
      <c r="Y47" s="14">
        <f>'תבל  '!Y47</f>
        <v>0</v>
      </c>
      <c r="Z47" s="14">
        <f>'תבל  '!Z47</f>
        <v>0</v>
      </c>
      <c r="AA47" s="101">
        <f>'תבל  '!AA47</f>
        <v>810000</v>
      </c>
      <c r="AB47" s="196"/>
      <c r="AC47" s="112"/>
      <c r="AD47" s="55"/>
      <c r="AE47" s="55"/>
      <c r="AF47" s="55"/>
      <c r="AG47" s="55"/>
      <c r="AH47" s="55"/>
    </row>
    <row r="48" spans="1:34" s="15" customFormat="1">
      <c r="A48" s="13">
        <f t="shared" si="4"/>
        <v>37</v>
      </c>
      <c r="B48" s="13">
        <v>1885</v>
      </c>
      <c r="C48" s="13" t="s">
        <v>348</v>
      </c>
      <c r="D48" s="14">
        <f>'תבל  '!D48</f>
        <v>300000</v>
      </c>
      <c r="E48" s="14">
        <f>'תבל  '!E48</f>
        <v>300000</v>
      </c>
      <c r="F48" s="14">
        <f>'תבל  '!F48</f>
        <v>0</v>
      </c>
      <c r="G48" s="14">
        <f>'תבל  '!G48</f>
        <v>300000</v>
      </c>
      <c r="H48" s="14">
        <f>'תבל  '!H48</f>
        <v>232115.8</v>
      </c>
      <c r="I48" s="14">
        <f>'תבל  '!I48</f>
        <v>2080.2600000000002</v>
      </c>
      <c r="J48" s="14">
        <f>'תבל  '!J48</f>
        <v>59317.77</v>
      </c>
      <c r="K48" s="14">
        <f>'תבל  '!K48</f>
        <v>61398.03</v>
      </c>
      <c r="L48" s="14">
        <f>'תבל  '!L48</f>
        <v>293513.82999999996</v>
      </c>
      <c r="M48" s="14">
        <f>'תבל  '!M48</f>
        <v>6486.1700000000419</v>
      </c>
      <c r="N48" s="14">
        <f>'תבל  '!N48</f>
        <v>0</v>
      </c>
      <c r="O48" s="14">
        <f>'תבל  '!O48</f>
        <v>0</v>
      </c>
      <c r="P48" s="14">
        <f>'תבל  '!P48</f>
        <v>6486.1700000000419</v>
      </c>
      <c r="Q48" s="14">
        <f>'תבל  '!Q48</f>
        <v>0</v>
      </c>
      <c r="R48" s="14">
        <f>'תבל  '!R48</f>
        <v>0</v>
      </c>
      <c r="S48" s="14">
        <f>'תבל  '!S48</f>
        <v>0</v>
      </c>
      <c r="T48" s="14">
        <f>'תבל  '!T48</f>
        <v>0</v>
      </c>
      <c r="U48" s="14">
        <f>'תבל  '!U48</f>
        <v>0</v>
      </c>
      <c r="V48" s="14">
        <f>'תבל  '!V48</f>
        <v>0</v>
      </c>
      <c r="W48" s="14">
        <f>'תבל  '!W48</f>
        <v>0</v>
      </c>
      <c r="X48" s="14">
        <f>'תבל  '!X48</f>
        <v>0</v>
      </c>
      <c r="Y48" s="14">
        <f>'תבל  '!Y48</f>
        <v>0</v>
      </c>
      <c r="Z48" s="14">
        <f>'תבל  '!Z48</f>
        <v>0</v>
      </c>
      <c r="AA48" s="101">
        <f>'תבל  '!AA48</f>
        <v>810000</v>
      </c>
      <c r="AB48" s="196"/>
      <c r="AC48" s="112"/>
      <c r="AD48" s="55"/>
      <c r="AE48" s="55"/>
      <c r="AF48" s="55"/>
      <c r="AG48" s="55"/>
      <c r="AH48" s="55"/>
    </row>
    <row r="49" spans="1:35" s="15" customFormat="1">
      <c r="A49" s="13">
        <f t="shared" si="4"/>
        <v>38</v>
      </c>
      <c r="B49" s="13">
        <v>1886</v>
      </c>
      <c r="C49" s="13" t="s">
        <v>408</v>
      </c>
      <c r="D49" s="14">
        <f>'תבל  '!D49</f>
        <v>4830000</v>
      </c>
      <c r="E49" s="14">
        <f>'תבל  '!E49</f>
        <v>4830000</v>
      </c>
      <c r="F49" s="14">
        <f>'תבל  '!F49</f>
        <v>0</v>
      </c>
      <c r="G49" s="14">
        <f>'תבל  '!G49</f>
        <v>4830000</v>
      </c>
      <c r="H49" s="14">
        <f>'תבל  '!H49</f>
        <v>1945158</v>
      </c>
      <c r="I49" s="14">
        <f>'תבל  '!I49</f>
        <v>2022424</v>
      </c>
      <c r="J49" s="14">
        <f>'תבל  '!J49</f>
        <v>401418</v>
      </c>
      <c r="K49" s="14">
        <f>'תבל  '!K49</f>
        <v>2423842</v>
      </c>
      <c r="L49" s="14">
        <f>'תבל  '!L49</f>
        <v>4369000</v>
      </c>
      <c r="M49" s="14">
        <f>'תבל  '!M49</f>
        <v>461000</v>
      </c>
      <c r="N49" s="14">
        <f>'תבל  '!N49</f>
        <v>0</v>
      </c>
      <c r="O49" s="14">
        <f>'תבל  '!O49</f>
        <v>0</v>
      </c>
      <c r="P49" s="14">
        <f>'תבל  '!P49</f>
        <v>461000</v>
      </c>
      <c r="Q49" s="14">
        <f>'תבל  '!Q49</f>
        <v>0</v>
      </c>
      <c r="R49" s="14">
        <f>'תבל  '!R49</f>
        <v>0</v>
      </c>
      <c r="S49" s="14">
        <f>'תבל  '!S49</f>
        <v>0</v>
      </c>
      <c r="T49" s="14">
        <f>'תבל  '!T49</f>
        <v>0</v>
      </c>
      <c r="U49" s="14">
        <f>'תבל  '!U49</f>
        <v>0</v>
      </c>
      <c r="V49" s="14">
        <f>'תבל  '!V49</f>
        <v>0</v>
      </c>
      <c r="W49" s="14">
        <f>'תבל  '!W49</f>
        <v>0</v>
      </c>
      <c r="X49" s="14">
        <f>'תבל  '!X49</f>
        <v>0</v>
      </c>
      <c r="Y49" s="14">
        <f>'תבל  '!Y49</f>
        <v>0</v>
      </c>
      <c r="Z49" s="14">
        <f>'תבל  '!Z49</f>
        <v>0</v>
      </c>
      <c r="AA49" s="101">
        <f>'תבל  '!AA49</f>
        <v>810000</v>
      </c>
      <c r="AB49" s="154"/>
      <c r="AC49" s="112"/>
      <c r="AD49" s="55"/>
      <c r="AE49" s="55"/>
      <c r="AF49" s="55"/>
      <c r="AG49" s="55"/>
      <c r="AH49" s="55"/>
    </row>
    <row r="50" spans="1:35" s="15" customFormat="1">
      <c r="A50" s="13">
        <f t="shared" si="4"/>
        <v>39</v>
      </c>
      <c r="B50" s="13">
        <v>1887</v>
      </c>
      <c r="C50" s="13" t="s">
        <v>288</v>
      </c>
      <c r="D50" s="14">
        <f>'תבל  '!D50</f>
        <v>2200000</v>
      </c>
      <c r="E50" s="14">
        <f>'תבל  '!E50</f>
        <v>2000000</v>
      </c>
      <c r="F50" s="14">
        <f>'תבל  '!F50</f>
        <v>200000</v>
      </c>
      <c r="G50" s="14">
        <f>'תבל  '!G50</f>
        <v>2000000</v>
      </c>
      <c r="H50" s="14">
        <f>'תבל  '!H50</f>
        <v>747281.5</v>
      </c>
      <c r="I50" s="14">
        <f>'תבל  '!I50</f>
        <v>56575.35</v>
      </c>
      <c r="J50" s="14">
        <f>'תבל  '!J50</f>
        <v>119131</v>
      </c>
      <c r="K50" s="14">
        <f>'תבל  '!K50</f>
        <v>175706.35</v>
      </c>
      <c r="L50" s="14">
        <f>'תבל  '!L50</f>
        <v>922987.85</v>
      </c>
      <c r="M50" s="14">
        <f>'תבל  '!M50</f>
        <v>1077012.1499999999</v>
      </c>
      <c r="N50" s="14">
        <f>'תבל  '!N50</f>
        <v>200000</v>
      </c>
      <c r="O50" s="14">
        <f>'תבל  '!O50</f>
        <v>0</v>
      </c>
      <c r="P50" s="14">
        <f>'תבל  '!P50</f>
        <v>1077012.1499999999</v>
      </c>
      <c r="Q50" s="14">
        <f>'תבל  '!Q50</f>
        <v>0</v>
      </c>
      <c r="R50" s="14">
        <f>'תבל  '!R50</f>
        <v>0</v>
      </c>
      <c r="S50" s="14">
        <f>'תבל  '!S50</f>
        <v>0</v>
      </c>
      <c r="T50" s="14">
        <f>'תבל  '!T50</f>
        <v>0</v>
      </c>
      <c r="U50" s="14">
        <f>'תבל  '!U50</f>
        <v>200000</v>
      </c>
      <c r="V50" s="14">
        <f>'תבל  '!V50</f>
        <v>0</v>
      </c>
      <c r="W50" s="14">
        <f>'תבל  '!W50</f>
        <v>200000</v>
      </c>
      <c r="X50" s="14">
        <f>'תבל  '!X50</f>
        <v>0</v>
      </c>
      <c r="Y50" s="14">
        <f>'תבל  '!Y50</f>
        <v>0</v>
      </c>
      <c r="Z50" s="14">
        <f>'תבל  '!Z50</f>
        <v>0</v>
      </c>
      <c r="AA50" s="101">
        <f>'תבל  '!AA50</f>
        <v>810000</v>
      </c>
      <c r="AB50" s="196"/>
      <c r="AC50" s="112"/>
      <c r="AD50" s="55"/>
      <c r="AE50" s="55"/>
      <c r="AF50" s="55"/>
      <c r="AG50" s="55"/>
      <c r="AH50" s="55"/>
    </row>
    <row r="51" spans="1:35" s="15" customFormat="1">
      <c r="A51" s="13">
        <f t="shared" si="4"/>
        <v>40</v>
      </c>
      <c r="B51" s="13">
        <v>1889</v>
      </c>
      <c r="C51" s="13" t="s">
        <v>300</v>
      </c>
      <c r="D51" s="14">
        <f>'תבל  '!D51</f>
        <v>1450000</v>
      </c>
      <c r="E51" s="14">
        <f>'תבל  '!E51</f>
        <v>1450000</v>
      </c>
      <c r="F51" s="14">
        <f>'תבל  '!F51</f>
        <v>0</v>
      </c>
      <c r="G51" s="14">
        <f>'תבל  '!G51</f>
        <v>1450000</v>
      </c>
      <c r="H51" s="14">
        <f>'תבל  '!H51</f>
        <v>1162892.1100000001</v>
      </c>
      <c r="I51" s="14">
        <f>'תבל  '!I51</f>
        <v>18944.64</v>
      </c>
      <c r="J51" s="14">
        <f>'תבל  '!J51</f>
        <v>268143.96000000002</v>
      </c>
      <c r="K51" s="14">
        <f>'תבל  '!K51</f>
        <v>287088.60000000003</v>
      </c>
      <c r="L51" s="14">
        <f>'תבל  '!L51</f>
        <v>1449980.7100000002</v>
      </c>
      <c r="M51" s="14">
        <f>'תבל  '!M51</f>
        <v>19.289999999804422</v>
      </c>
      <c r="N51" s="14">
        <f>'תבל  '!N51</f>
        <v>0</v>
      </c>
      <c r="O51" s="14">
        <f>'תבל  '!O51</f>
        <v>0</v>
      </c>
      <c r="P51" s="14">
        <f>'תבל  '!P51</f>
        <v>19.289999999804422</v>
      </c>
      <c r="Q51" s="14">
        <f>'תבל  '!Q51</f>
        <v>0</v>
      </c>
      <c r="R51" s="14">
        <f>'תבל  '!R51</f>
        <v>0</v>
      </c>
      <c r="S51" s="14">
        <f>'תבל  '!S51</f>
        <v>0</v>
      </c>
      <c r="T51" s="14">
        <f>'תבל  '!T51</f>
        <v>0</v>
      </c>
      <c r="U51" s="14">
        <f>'תבל  '!U51</f>
        <v>0</v>
      </c>
      <c r="V51" s="14">
        <f>'תבל  '!V51</f>
        <v>0</v>
      </c>
      <c r="W51" s="14">
        <f>'תבל  '!W51</f>
        <v>0</v>
      </c>
      <c r="X51" s="14">
        <f>'תבל  '!X51</f>
        <v>0</v>
      </c>
      <c r="Y51" s="14">
        <f>'תבל  '!Y51</f>
        <v>0</v>
      </c>
      <c r="Z51" s="14">
        <f>'תבל  '!Z51</f>
        <v>0</v>
      </c>
      <c r="AA51" s="101">
        <f>'תבל  '!AA51</f>
        <v>810000</v>
      </c>
      <c r="AB51" s="196"/>
      <c r="AC51" s="112"/>
      <c r="AD51" s="55"/>
      <c r="AE51" s="55"/>
      <c r="AF51" s="55"/>
      <c r="AG51" s="55"/>
      <c r="AH51" s="55"/>
    </row>
    <row r="52" spans="1:35" s="15" customFormat="1">
      <c r="A52" s="13">
        <f t="shared" si="4"/>
        <v>41</v>
      </c>
      <c r="B52" s="13">
        <v>1900</v>
      </c>
      <c r="C52" s="13" t="s">
        <v>290</v>
      </c>
      <c r="D52" s="14">
        <f>'תבל  '!D54</f>
        <v>700000</v>
      </c>
      <c r="E52" s="14">
        <f>'תבל  '!E54</f>
        <v>700000</v>
      </c>
      <c r="F52" s="14">
        <f>'תבל  '!F54</f>
        <v>0</v>
      </c>
      <c r="G52" s="14">
        <f>'תבל  '!G54</f>
        <v>700000</v>
      </c>
      <c r="H52" s="14">
        <f>'תבל  '!H54</f>
        <v>0</v>
      </c>
      <c r="I52" s="14">
        <f>'תבל  '!I54</f>
        <v>23400</v>
      </c>
      <c r="J52" s="14">
        <f>'תבל  '!J54</f>
        <v>0</v>
      </c>
      <c r="K52" s="14">
        <f>'תבל  '!K54</f>
        <v>23400</v>
      </c>
      <c r="L52" s="14">
        <f>'תבל  '!L54</f>
        <v>23400</v>
      </c>
      <c r="M52" s="14">
        <f>'תבל  '!M54</f>
        <v>676600</v>
      </c>
      <c r="N52" s="14">
        <f>'תבל  '!N54</f>
        <v>0</v>
      </c>
      <c r="O52" s="14">
        <f>'תבל  '!O54</f>
        <v>0</v>
      </c>
      <c r="P52" s="14">
        <f>'תבל  '!P54</f>
        <v>676600</v>
      </c>
      <c r="Q52" s="14">
        <f>'תבל  '!Q54</f>
        <v>0</v>
      </c>
      <c r="R52" s="14">
        <f>'תבל  '!R54</f>
        <v>0</v>
      </c>
      <c r="S52" s="14">
        <f>'תבל  '!S54</f>
        <v>0</v>
      </c>
      <c r="T52" s="14">
        <f>'תבל  '!T54</f>
        <v>0</v>
      </c>
      <c r="U52" s="14">
        <f>'תבל  '!U54</f>
        <v>0</v>
      </c>
      <c r="V52" s="14">
        <f>'תבל  '!V54</f>
        <v>0</v>
      </c>
      <c r="W52" s="14">
        <f>'תבל  '!W54</f>
        <v>0</v>
      </c>
      <c r="X52" s="14">
        <f>'תבל  '!X54</f>
        <v>0</v>
      </c>
      <c r="Y52" s="14">
        <f>'תבל  '!Y54</f>
        <v>0</v>
      </c>
      <c r="Z52" s="14">
        <f>'תבל  '!Z54</f>
        <v>0</v>
      </c>
      <c r="AA52" s="101">
        <f>'תבל  '!AA54</f>
        <v>810000</v>
      </c>
      <c r="AB52" s="196"/>
      <c r="AC52" s="112"/>
      <c r="AD52" s="55"/>
      <c r="AE52" s="55"/>
      <c r="AF52" s="57"/>
      <c r="AG52" s="57"/>
      <c r="AH52" s="55"/>
    </row>
    <row r="53" spans="1:35" s="15" customFormat="1">
      <c r="A53" s="13">
        <f t="shared" si="4"/>
        <v>42</v>
      </c>
      <c r="B53" s="13">
        <v>1926</v>
      </c>
      <c r="C53" s="13" t="s">
        <v>295</v>
      </c>
      <c r="D53" s="14">
        <f>'תבל  '!D59</f>
        <v>850000</v>
      </c>
      <c r="E53" s="14">
        <f>'תבל  '!E59</f>
        <v>850000</v>
      </c>
      <c r="F53" s="14">
        <f>'תבל  '!F59</f>
        <v>0</v>
      </c>
      <c r="G53" s="14">
        <f>'תבל  '!G59</f>
        <v>850000</v>
      </c>
      <c r="H53" s="14">
        <f>'תבל  '!H59</f>
        <v>154966.89000000001</v>
      </c>
      <c r="I53" s="14">
        <f>'תבל  '!I59</f>
        <v>0</v>
      </c>
      <c r="J53" s="14">
        <f>'תבל  '!J59</f>
        <v>170071</v>
      </c>
      <c r="K53" s="14">
        <f>'תבל  '!K59</f>
        <v>170071</v>
      </c>
      <c r="L53" s="14">
        <f>'תבל  '!L59</f>
        <v>325037.89</v>
      </c>
      <c r="M53" s="14">
        <f>'תבל  '!M59</f>
        <v>524962.11</v>
      </c>
      <c r="N53" s="14">
        <f>'תבל  '!N59</f>
        <v>0</v>
      </c>
      <c r="O53" s="14">
        <f>'תבל  '!O59</f>
        <v>0</v>
      </c>
      <c r="P53" s="14">
        <f>'תבל  '!P59</f>
        <v>524962.11</v>
      </c>
      <c r="Q53" s="14">
        <f>'תבל  '!Q59</f>
        <v>0</v>
      </c>
      <c r="R53" s="14">
        <f>'תבל  '!R59</f>
        <v>0</v>
      </c>
      <c r="S53" s="14">
        <f>'תבל  '!S59</f>
        <v>0</v>
      </c>
      <c r="T53" s="14">
        <f>'תבל  '!T59</f>
        <v>0</v>
      </c>
      <c r="U53" s="14">
        <f>'תבל  '!U59</f>
        <v>0</v>
      </c>
      <c r="V53" s="14">
        <f>'תבל  '!V59</f>
        <v>0</v>
      </c>
      <c r="W53" s="14">
        <f>'תבל  '!W59</f>
        <v>0</v>
      </c>
      <c r="X53" s="14">
        <f>'תבל  '!X59</f>
        <v>0</v>
      </c>
      <c r="Y53" s="14">
        <f>'תבל  '!Y59</f>
        <v>0</v>
      </c>
      <c r="Z53" s="14">
        <f>'תבל  '!Z59</f>
        <v>0</v>
      </c>
      <c r="AA53" s="101">
        <f>'תבל  '!AA59</f>
        <v>810000</v>
      </c>
      <c r="AB53" s="196"/>
      <c r="AC53" s="112"/>
      <c r="AD53" s="55"/>
      <c r="AE53" s="55"/>
      <c r="AF53" s="57"/>
      <c r="AG53" s="57"/>
      <c r="AH53" s="55"/>
    </row>
    <row r="54" spans="1:35" s="15" customFormat="1">
      <c r="A54" s="13">
        <f t="shared" si="4"/>
        <v>43</v>
      </c>
      <c r="B54" s="13">
        <v>1931</v>
      </c>
      <c r="C54" s="13" t="s">
        <v>299</v>
      </c>
      <c r="D54" s="14">
        <f>'תבל  '!D60</f>
        <v>831000</v>
      </c>
      <c r="E54" s="14">
        <f>'תבל  '!E60</f>
        <v>831000</v>
      </c>
      <c r="F54" s="14">
        <f>'תבל  '!F60</f>
        <v>0</v>
      </c>
      <c r="G54" s="14">
        <f>'תבל  '!G60</f>
        <v>831000</v>
      </c>
      <c r="H54" s="14">
        <f>'תבל  '!H60</f>
        <v>715572</v>
      </c>
      <c r="I54" s="14">
        <f>'תבל  '!I60</f>
        <v>0</v>
      </c>
      <c r="J54" s="14">
        <f>'תבל  '!J60</f>
        <v>45747</v>
      </c>
      <c r="K54" s="14">
        <f>'תבל  '!K60</f>
        <v>45747</v>
      </c>
      <c r="L54" s="14">
        <f>'תבל  '!L60</f>
        <v>761319</v>
      </c>
      <c r="M54" s="14">
        <f>'תבל  '!M60</f>
        <v>69681</v>
      </c>
      <c r="N54" s="14">
        <f>'תבל  '!N60</f>
        <v>0</v>
      </c>
      <c r="O54" s="14">
        <f>'תבל  '!O60</f>
        <v>0</v>
      </c>
      <c r="P54" s="14">
        <f>'תבל  '!P60</f>
        <v>69681</v>
      </c>
      <c r="Q54" s="14">
        <f>'תבל  '!Q60</f>
        <v>0</v>
      </c>
      <c r="R54" s="14">
        <f>'תבל  '!R60</f>
        <v>0</v>
      </c>
      <c r="S54" s="14">
        <f>'תבל  '!S60</f>
        <v>0</v>
      </c>
      <c r="T54" s="14">
        <f>'תבל  '!T60</f>
        <v>0</v>
      </c>
      <c r="U54" s="14">
        <f>'תבל  '!U60</f>
        <v>0</v>
      </c>
      <c r="V54" s="14">
        <f>'תבל  '!V60</f>
        <v>0</v>
      </c>
      <c r="W54" s="14">
        <f>'תבל  '!W60</f>
        <v>0</v>
      </c>
      <c r="X54" s="14">
        <f>'תבל  '!X60</f>
        <v>0</v>
      </c>
      <c r="Y54" s="14">
        <f>'תבל  '!Y60</f>
        <v>0</v>
      </c>
      <c r="Z54" s="14">
        <f>'תבל  '!Z60</f>
        <v>0</v>
      </c>
      <c r="AA54" s="101">
        <f>'תבל  '!AA60</f>
        <v>810000</v>
      </c>
      <c r="AB54" s="196"/>
      <c r="AC54" s="112"/>
      <c r="AD54" s="55"/>
      <c r="AE54" s="55"/>
      <c r="AF54" s="57"/>
      <c r="AG54" s="57"/>
      <c r="AH54" s="55"/>
    </row>
    <row r="55" spans="1:35" s="15" customFormat="1">
      <c r="A55" s="13">
        <f t="shared" si="4"/>
        <v>44</v>
      </c>
      <c r="B55" s="13">
        <v>1946</v>
      </c>
      <c r="C55" s="13" t="s">
        <v>409</v>
      </c>
      <c r="D55" s="14">
        <f>'תבל  '!D63</f>
        <v>590000</v>
      </c>
      <c r="E55" s="14">
        <f>'תבל  '!E63</f>
        <v>590000</v>
      </c>
      <c r="F55" s="14">
        <f>'תבל  '!F63</f>
        <v>0</v>
      </c>
      <c r="G55" s="14">
        <f>'תבל  '!G63</f>
        <v>590000</v>
      </c>
      <c r="H55" s="14">
        <f>'תבל  '!H63</f>
        <v>2925</v>
      </c>
      <c r="I55" s="14">
        <f>'תבל  '!I63</f>
        <v>0</v>
      </c>
      <c r="J55" s="14">
        <f>'תבל  '!J63</f>
        <v>374284</v>
      </c>
      <c r="K55" s="14">
        <f>'תבל  '!K63</f>
        <v>374284</v>
      </c>
      <c r="L55" s="14">
        <f>'תבל  '!L63</f>
        <v>377209</v>
      </c>
      <c r="M55" s="14">
        <f>'תבל  '!M63</f>
        <v>212791</v>
      </c>
      <c r="N55" s="14">
        <f>'תבל  '!N63</f>
        <v>0</v>
      </c>
      <c r="O55" s="14">
        <f>'תבל  '!O63</f>
        <v>0</v>
      </c>
      <c r="P55" s="14">
        <f>'תבל  '!P63</f>
        <v>212791</v>
      </c>
      <c r="Q55" s="14">
        <f>'תבל  '!Q63</f>
        <v>0</v>
      </c>
      <c r="R55" s="14">
        <f>'תבל  '!R63</f>
        <v>0</v>
      </c>
      <c r="S55" s="14">
        <f>'תבל  '!S63</f>
        <v>0</v>
      </c>
      <c r="T55" s="14">
        <f>'תבל  '!T63</f>
        <v>0</v>
      </c>
      <c r="U55" s="14">
        <f>'תבל  '!U63</f>
        <v>0</v>
      </c>
      <c r="V55" s="14">
        <f>'תבל  '!V63</f>
        <v>0</v>
      </c>
      <c r="W55" s="14">
        <f>'תבל  '!W63</f>
        <v>0</v>
      </c>
      <c r="X55" s="14">
        <f>'תבל  '!X63</f>
        <v>0</v>
      </c>
      <c r="Y55" s="14">
        <f>'תבל  '!Y63</f>
        <v>0</v>
      </c>
      <c r="Z55" s="14">
        <f>'תבל  '!Z63</f>
        <v>0</v>
      </c>
      <c r="AA55" s="101">
        <f>'תבל  '!AA63</f>
        <v>810000</v>
      </c>
      <c r="AB55" s="196"/>
      <c r="AC55" s="112"/>
      <c r="AD55" s="55"/>
      <c r="AE55" s="55"/>
      <c r="AF55" s="57"/>
      <c r="AG55" s="57"/>
      <c r="AH55" s="55"/>
    </row>
    <row r="56" spans="1:35" s="15" customFormat="1">
      <c r="A56" s="13">
        <f t="shared" si="4"/>
        <v>45</v>
      </c>
      <c r="B56" s="13">
        <v>1967</v>
      </c>
      <c r="C56" s="13" t="s">
        <v>352</v>
      </c>
      <c r="D56" s="14">
        <f>'תבל  '!D66</f>
        <v>3000000</v>
      </c>
      <c r="E56" s="14">
        <f>'תבל  '!E66</f>
        <v>2000000</v>
      </c>
      <c r="F56" s="14">
        <f>'תבל  '!F66</f>
        <v>1000000</v>
      </c>
      <c r="G56" s="14">
        <f>'תבל  '!G66</f>
        <v>1500000</v>
      </c>
      <c r="H56" s="14">
        <f>'תבל  '!H66</f>
        <v>0</v>
      </c>
      <c r="I56" s="14">
        <f>'תבל  '!I66</f>
        <v>257400</v>
      </c>
      <c r="J56" s="14">
        <f>'תבל  '!J66</f>
        <v>25740</v>
      </c>
      <c r="K56" s="14">
        <f>'תבל  '!K66</f>
        <v>283140</v>
      </c>
      <c r="L56" s="14">
        <f>'תבל  '!L66</f>
        <v>283140</v>
      </c>
      <c r="M56" s="14">
        <f>'תבל  '!M66</f>
        <v>1216860</v>
      </c>
      <c r="N56" s="14">
        <f>'תבל  '!N66</f>
        <v>500000</v>
      </c>
      <c r="O56" s="14">
        <f>'תבל  '!O66</f>
        <v>1000000</v>
      </c>
      <c r="P56" s="14">
        <f>'תבל  '!P66</f>
        <v>1216860</v>
      </c>
      <c r="Q56" s="14">
        <f>'תבל  '!Q66</f>
        <v>0</v>
      </c>
      <c r="R56" s="14">
        <f>'תבל  '!R66</f>
        <v>0</v>
      </c>
      <c r="S56" s="14">
        <f>'תבל  '!S66</f>
        <v>0</v>
      </c>
      <c r="T56" s="14">
        <f>'תבל  '!T66</f>
        <v>0</v>
      </c>
      <c r="U56" s="14">
        <f>'תבל  '!U66</f>
        <v>500000</v>
      </c>
      <c r="V56" s="14">
        <f>'תבל  '!V66</f>
        <v>500000</v>
      </c>
      <c r="W56" s="14">
        <f>'תבל  '!W66</f>
        <v>0</v>
      </c>
      <c r="X56" s="14">
        <f>'תבל  '!X66</f>
        <v>0</v>
      </c>
      <c r="Y56" s="14">
        <f>'תבל  '!Y66</f>
        <v>0</v>
      </c>
      <c r="Z56" s="14">
        <f>'תבל  '!Z66</f>
        <v>0</v>
      </c>
      <c r="AA56" s="101">
        <f>'תבל  '!AA66</f>
        <v>810000</v>
      </c>
      <c r="AB56" s="196"/>
      <c r="AC56" s="112"/>
      <c r="AD56" s="55"/>
      <c r="AE56" s="55"/>
      <c r="AF56" s="57"/>
      <c r="AG56" s="57"/>
      <c r="AH56" s="55"/>
    </row>
    <row r="57" spans="1:35" s="15" customFormat="1">
      <c r="A57" s="13">
        <f t="shared" si="4"/>
        <v>46</v>
      </c>
      <c r="B57" s="13">
        <v>1969</v>
      </c>
      <c r="C57" s="13" t="s">
        <v>354</v>
      </c>
      <c r="D57" s="14">
        <f>'תבל  '!D68</f>
        <v>1485000</v>
      </c>
      <c r="E57" s="14">
        <f>'תבל  '!E68</f>
        <v>1485000</v>
      </c>
      <c r="F57" s="14">
        <f>'תבל  '!F68</f>
        <v>0</v>
      </c>
      <c r="G57" s="14">
        <f>'תבל  '!G68</f>
        <v>500000</v>
      </c>
      <c r="H57" s="14">
        <f>'תבל  '!H68</f>
        <v>0</v>
      </c>
      <c r="I57" s="14">
        <f>'תבל  '!I68</f>
        <v>0</v>
      </c>
      <c r="J57" s="14">
        <f>'תבל  '!J68</f>
        <v>288743.93</v>
      </c>
      <c r="K57" s="14">
        <f>'תבל  '!K68</f>
        <v>288743.93</v>
      </c>
      <c r="L57" s="14">
        <f>'תבל  '!L68</f>
        <v>288743.93</v>
      </c>
      <c r="M57" s="14">
        <f>'תבל  '!M68</f>
        <v>211256.07</v>
      </c>
      <c r="N57" s="14">
        <f>'תבל  '!N68</f>
        <v>400000</v>
      </c>
      <c r="O57" s="14">
        <f>'תבל  '!O68</f>
        <v>585000</v>
      </c>
      <c r="P57" s="14">
        <f>'תבל  '!P68</f>
        <v>211256.07</v>
      </c>
      <c r="Q57" s="14">
        <f>'תבל  '!Q68</f>
        <v>0</v>
      </c>
      <c r="R57" s="14">
        <f>'תבל  '!R68</f>
        <v>0</v>
      </c>
      <c r="S57" s="14">
        <f>'תבל  '!S68</f>
        <v>0</v>
      </c>
      <c r="T57" s="14">
        <f>'תבל  '!T68</f>
        <v>0</v>
      </c>
      <c r="U57" s="14">
        <f>'תבל  '!U68</f>
        <v>400000</v>
      </c>
      <c r="V57" s="14">
        <f>'תבל  '!V68</f>
        <v>400000</v>
      </c>
      <c r="W57" s="14">
        <f>'תבל  '!W68</f>
        <v>0</v>
      </c>
      <c r="X57" s="14">
        <f>'תבל  '!X68</f>
        <v>0</v>
      </c>
      <c r="Y57" s="14">
        <f>'תבל  '!Y68</f>
        <v>0</v>
      </c>
      <c r="Z57" s="14">
        <f>'תבל  '!Z68</f>
        <v>0</v>
      </c>
      <c r="AA57" s="101">
        <f>'תבל  '!AA68</f>
        <v>810000</v>
      </c>
      <c r="AB57" s="196"/>
      <c r="AC57" s="112"/>
      <c r="AD57" s="55"/>
      <c r="AE57" s="55"/>
      <c r="AF57" s="57"/>
      <c r="AG57" s="57"/>
      <c r="AH57" s="55"/>
    </row>
    <row r="58" spans="1:35" s="15" customFormat="1">
      <c r="A58" s="13">
        <f t="shared" si="4"/>
        <v>47</v>
      </c>
      <c r="B58" s="13">
        <v>1970</v>
      </c>
      <c r="C58" s="13" t="s">
        <v>392</v>
      </c>
      <c r="D58" s="14">
        <f>'תבל  '!D69</f>
        <v>5700000</v>
      </c>
      <c r="E58" s="14">
        <f>'תבל  '!E69</f>
        <v>2700000</v>
      </c>
      <c r="F58" s="14">
        <f>'תבל  '!F69</f>
        <v>3000000</v>
      </c>
      <c r="G58" s="14">
        <f>'תבל  '!G69</f>
        <v>2700000</v>
      </c>
      <c r="H58" s="14">
        <f>'תבל  '!H69</f>
        <v>33359</v>
      </c>
      <c r="I58" s="14">
        <f>'תבל  '!I69</f>
        <v>0</v>
      </c>
      <c r="J58" s="14">
        <f>'תבל  '!J69</f>
        <v>1726223</v>
      </c>
      <c r="K58" s="14">
        <f>'תבל  '!K69</f>
        <v>1726223</v>
      </c>
      <c r="L58" s="14">
        <f>'תבל  '!L69</f>
        <v>1759582</v>
      </c>
      <c r="M58" s="14">
        <f>'תבל  '!M69</f>
        <v>940418</v>
      </c>
      <c r="N58" s="14">
        <f>'תבל  '!N69</f>
        <v>3000000</v>
      </c>
      <c r="O58" s="14">
        <f>'תבל  '!O69</f>
        <v>0</v>
      </c>
      <c r="P58" s="14">
        <f>'תבל  '!P69</f>
        <v>940418</v>
      </c>
      <c r="Q58" s="14">
        <f>'תבל  '!Q69</f>
        <v>0</v>
      </c>
      <c r="R58" s="14">
        <f>'תבל  '!R69</f>
        <v>0</v>
      </c>
      <c r="S58" s="14">
        <f>'תבל  '!S69</f>
        <v>0</v>
      </c>
      <c r="T58" s="14">
        <f>'תבל  '!T69</f>
        <v>0</v>
      </c>
      <c r="U58" s="14">
        <f>'תבל  '!U69</f>
        <v>3000000</v>
      </c>
      <c r="V58" s="14">
        <f>'תבל  '!V69</f>
        <v>2000000</v>
      </c>
      <c r="W58" s="14">
        <f>'תבל  '!W69</f>
        <v>1000000</v>
      </c>
      <c r="X58" s="14">
        <f>'תבל  '!X69</f>
        <v>0</v>
      </c>
      <c r="Y58" s="14">
        <f>'תבל  '!Y69</f>
        <v>0</v>
      </c>
      <c r="Z58" s="14">
        <f>'תבל  '!Z69</f>
        <v>0</v>
      </c>
      <c r="AA58" s="101">
        <f>'תבל  '!AA69</f>
        <v>810000</v>
      </c>
      <c r="AB58" s="13"/>
      <c r="AC58" s="112"/>
      <c r="AD58" s="55"/>
      <c r="AE58" s="55"/>
      <c r="AF58" s="57"/>
      <c r="AG58" s="57"/>
      <c r="AH58" s="55"/>
    </row>
    <row r="59" spans="1:35" s="15" customFormat="1">
      <c r="A59" s="13">
        <f t="shared" si="4"/>
        <v>48</v>
      </c>
      <c r="B59" s="13">
        <v>2001</v>
      </c>
      <c r="C59" s="13" t="s">
        <v>435</v>
      </c>
      <c r="D59" s="14">
        <f>'תבל  '!D71</f>
        <v>18500000</v>
      </c>
      <c r="E59" s="14">
        <f>'תבל  '!E71</f>
        <v>18500000</v>
      </c>
      <c r="F59" s="14">
        <f>'תבל  '!F71</f>
        <v>0</v>
      </c>
      <c r="G59" s="14">
        <f>'תבל  '!G71</f>
        <v>6998700</v>
      </c>
      <c r="H59" s="14">
        <f>'תבל  '!H71</f>
        <v>0</v>
      </c>
      <c r="I59" s="14">
        <f>'תבל  '!I71</f>
        <v>0</v>
      </c>
      <c r="J59" s="14">
        <f>'תבל  '!J71</f>
        <v>0</v>
      </c>
      <c r="K59" s="14">
        <f>'תבל  '!K71</f>
        <v>0</v>
      </c>
      <c r="L59" s="14">
        <f>'תבל  '!L71</f>
        <v>0</v>
      </c>
      <c r="M59" s="14">
        <f>'תבל  '!M71</f>
        <v>0</v>
      </c>
      <c r="N59" s="14">
        <f>'תבל  '!N71</f>
        <v>9001300</v>
      </c>
      <c r="O59" s="14">
        <f>'תבל  '!O71</f>
        <v>9498700</v>
      </c>
      <c r="P59" s="14">
        <f>'תבל  '!P71</f>
        <v>6998700</v>
      </c>
      <c r="Q59" s="14">
        <f>'תבל  '!Q71</f>
        <v>0</v>
      </c>
      <c r="R59" s="14">
        <f>'תבל  '!R71</f>
        <v>0</v>
      </c>
      <c r="S59" s="14">
        <f>'תבל  '!S71</f>
        <v>0</v>
      </c>
      <c r="T59" s="14">
        <f>'תבל  '!T71</f>
        <v>6998700</v>
      </c>
      <c r="U59" s="14">
        <f>'תבל  '!U71</f>
        <v>2002600</v>
      </c>
      <c r="V59" s="14">
        <f>'תבל  '!V71</f>
        <v>-6998700</v>
      </c>
      <c r="W59" s="14">
        <f>'תבל  '!W71</f>
        <v>0</v>
      </c>
      <c r="X59" s="14">
        <f>'תבל  '!X71</f>
        <v>0</v>
      </c>
      <c r="Y59" s="14">
        <f>'תבל  '!Y71</f>
        <v>0</v>
      </c>
      <c r="Z59" s="14">
        <f>'תבל  '!Z71</f>
        <v>9001300</v>
      </c>
      <c r="AA59" s="101">
        <f>'תבל  '!AA71</f>
        <v>810000</v>
      </c>
      <c r="AB59" s="154"/>
      <c r="AC59" s="112"/>
      <c r="AD59" s="55"/>
      <c r="AE59" s="55"/>
      <c r="AF59" s="57"/>
      <c r="AG59" s="57"/>
      <c r="AH59" s="55"/>
    </row>
    <row r="60" spans="1:35" s="15" customFormat="1" ht="15" customHeight="1">
      <c r="A60" s="13">
        <f t="shared" si="4"/>
        <v>49</v>
      </c>
      <c r="B60" s="69">
        <v>2027</v>
      </c>
      <c r="C60" s="13" t="s">
        <v>1035</v>
      </c>
      <c r="D60" s="14">
        <f>'תבל  '!D72</f>
        <v>1930000</v>
      </c>
      <c r="E60" s="14">
        <f>'תבל  '!E72</f>
        <v>0</v>
      </c>
      <c r="F60" s="14">
        <f>'תבל  '!F72</f>
        <v>1930000</v>
      </c>
      <c r="G60" s="14">
        <f>'תבל  '!G72</f>
        <v>0</v>
      </c>
      <c r="H60" s="14">
        <f>'תבל  '!H72</f>
        <v>0</v>
      </c>
      <c r="I60" s="14">
        <f>'תבל  '!I72</f>
        <v>0</v>
      </c>
      <c r="J60" s="14">
        <f>'תבל  '!J72</f>
        <v>0</v>
      </c>
      <c r="K60" s="14">
        <f>'תבל  '!K72</f>
        <v>0</v>
      </c>
      <c r="L60" s="14">
        <f>'תבל  '!L72</f>
        <v>0</v>
      </c>
      <c r="M60" s="14">
        <f>'תבל  '!M72</f>
        <v>0</v>
      </c>
      <c r="N60" s="14">
        <f>'תבל  '!N72</f>
        <v>1000000</v>
      </c>
      <c r="O60" s="14">
        <f>'תבל  '!O72</f>
        <v>930000</v>
      </c>
      <c r="P60" s="14">
        <f>'תבל  '!P72</f>
        <v>0</v>
      </c>
      <c r="Q60" s="14">
        <f>'תבל  '!Q72</f>
        <v>0</v>
      </c>
      <c r="R60" s="14">
        <f>'תבל  '!R72</f>
        <v>0</v>
      </c>
      <c r="S60" s="14">
        <f>'תבל  '!S72</f>
        <v>0</v>
      </c>
      <c r="T60" s="14">
        <f>'תבל  '!T72</f>
        <v>0</v>
      </c>
      <c r="U60" s="14">
        <f>'תבל  '!U72</f>
        <v>1000000</v>
      </c>
      <c r="V60" s="14">
        <f>'תבל  '!V72</f>
        <v>600000</v>
      </c>
      <c r="W60" s="14">
        <f>'תבל  '!W72</f>
        <v>400000</v>
      </c>
      <c r="X60" s="14">
        <f>'תבל  '!X72</f>
        <v>0</v>
      </c>
      <c r="Y60" s="14">
        <f>'תבל  '!Y72</f>
        <v>0</v>
      </c>
      <c r="Z60" s="14">
        <f>'תבל  '!Z72</f>
        <v>0</v>
      </c>
      <c r="AA60" s="101">
        <f>'תבל  '!AA72</f>
        <v>810000</v>
      </c>
      <c r="AB60" s="196"/>
      <c r="AC60" s="57"/>
      <c r="AD60" s="57"/>
      <c r="AE60" s="57"/>
      <c r="AF60" s="57"/>
      <c r="AG60" s="57"/>
      <c r="AH60" s="55"/>
    </row>
    <row r="61" spans="1:35" s="15" customFormat="1">
      <c r="A61" s="13">
        <f t="shared" si="4"/>
        <v>50</v>
      </c>
      <c r="B61" s="69">
        <v>2028</v>
      </c>
      <c r="C61" s="13" t="s">
        <v>471</v>
      </c>
      <c r="D61" s="14">
        <f>'תבל  '!D73</f>
        <v>1500000</v>
      </c>
      <c r="E61" s="14">
        <f>'תבל  '!E73</f>
        <v>0</v>
      </c>
      <c r="F61" s="14">
        <f>'תבל  '!F73</f>
        <v>1500000</v>
      </c>
      <c r="G61" s="14">
        <f>'תבל  '!G73</f>
        <v>0</v>
      </c>
      <c r="H61" s="14">
        <f>'תבל  '!H73</f>
        <v>0</v>
      </c>
      <c r="I61" s="14">
        <f>'תבל  '!I73</f>
        <v>0</v>
      </c>
      <c r="J61" s="14">
        <f>'תבל  '!J73</f>
        <v>0</v>
      </c>
      <c r="K61" s="14">
        <f>'תבל  '!K73</f>
        <v>0</v>
      </c>
      <c r="L61" s="14">
        <f>'תבל  '!L73</f>
        <v>0</v>
      </c>
      <c r="M61" s="14">
        <f>'תבל  '!M73</f>
        <v>0</v>
      </c>
      <c r="N61" s="14">
        <f>'תבל  '!N73</f>
        <v>1500000</v>
      </c>
      <c r="O61" s="14">
        <f>'תבל  '!O73</f>
        <v>0</v>
      </c>
      <c r="P61" s="14">
        <f>'תבל  '!P73</f>
        <v>0</v>
      </c>
      <c r="Q61" s="14">
        <f>'תבל  '!Q73</f>
        <v>0</v>
      </c>
      <c r="R61" s="14">
        <f>'תבל  '!R73</f>
        <v>0</v>
      </c>
      <c r="S61" s="14">
        <f>'תבל  '!S73</f>
        <v>0</v>
      </c>
      <c r="T61" s="14">
        <f>'תבל  '!T73</f>
        <v>0</v>
      </c>
      <c r="U61" s="14">
        <f>'תבל  '!U73</f>
        <v>1500000</v>
      </c>
      <c r="V61" s="14">
        <f>'תבל  '!V73</f>
        <v>500000</v>
      </c>
      <c r="W61" s="14">
        <f>'תבל  '!W73</f>
        <v>1000000</v>
      </c>
      <c r="X61" s="14">
        <f>'תבל  '!X73</f>
        <v>0</v>
      </c>
      <c r="Y61" s="14">
        <f>'תבל  '!Y73</f>
        <v>0</v>
      </c>
      <c r="Z61" s="14">
        <f>'תבל  '!Z73</f>
        <v>0</v>
      </c>
      <c r="AA61" s="101">
        <f>'תבל  '!AA73</f>
        <v>810000</v>
      </c>
      <c r="AB61" s="196"/>
      <c r="AC61" s="57"/>
      <c r="AD61" s="57"/>
      <c r="AE61" s="57"/>
      <c r="AF61" s="57"/>
      <c r="AG61" s="57"/>
      <c r="AH61" s="55"/>
    </row>
    <row r="62" spans="1:35" s="15" customFormat="1" ht="15" customHeight="1">
      <c r="A62" s="13">
        <f t="shared" si="4"/>
        <v>51</v>
      </c>
      <c r="B62" s="69">
        <v>2030</v>
      </c>
      <c r="C62" s="1" t="s">
        <v>1033</v>
      </c>
      <c r="D62" s="14">
        <f>'תבל  '!D75</f>
        <v>28000000</v>
      </c>
      <c r="E62" s="14">
        <f>'תבל  '!E75</f>
        <v>0</v>
      </c>
      <c r="F62" s="14">
        <f>'תבל  '!F75</f>
        <v>28000000</v>
      </c>
      <c r="G62" s="14">
        <f>'תבל  '!G75</f>
        <v>0</v>
      </c>
      <c r="H62" s="14">
        <f>'תבל  '!H75</f>
        <v>0</v>
      </c>
      <c r="I62" s="14">
        <f>'תבל  '!I75</f>
        <v>0</v>
      </c>
      <c r="J62" s="14">
        <f>'תבל  '!J75</f>
        <v>0</v>
      </c>
      <c r="K62" s="14">
        <f>'תבל  '!K75</f>
        <v>0</v>
      </c>
      <c r="L62" s="14">
        <f>'תבל  '!L75</f>
        <v>0</v>
      </c>
      <c r="M62" s="14">
        <f>'תבל  '!M75</f>
        <v>0</v>
      </c>
      <c r="N62" s="14">
        <f>'תבל  '!N75</f>
        <v>1000000</v>
      </c>
      <c r="O62" s="14">
        <f>'תבל  '!O75</f>
        <v>27000000</v>
      </c>
      <c r="P62" s="14">
        <f>'תבל  '!P75</f>
        <v>0</v>
      </c>
      <c r="Q62" s="14">
        <f>'תבל  '!Q75</f>
        <v>0</v>
      </c>
      <c r="R62" s="14">
        <f>'תבל  '!R75</f>
        <v>0</v>
      </c>
      <c r="S62" s="14">
        <f>'תבל  '!S75</f>
        <v>0</v>
      </c>
      <c r="T62" s="14">
        <f>'תבל  '!T75</f>
        <v>0</v>
      </c>
      <c r="U62" s="14">
        <f>'תבל  '!U75</f>
        <v>1000000</v>
      </c>
      <c r="V62" s="14">
        <f>'תבל  '!V75</f>
        <v>1000000</v>
      </c>
      <c r="W62" s="14">
        <f>'תבל  '!W75</f>
        <v>0</v>
      </c>
      <c r="X62" s="14">
        <f>'תבל  '!X75</f>
        <v>0</v>
      </c>
      <c r="Y62" s="14">
        <f>'תבל  '!Y75</f>
        <v>0</v>
      </c>
      <c r="Z62" s="14">
        <f>'תבל  '!Z75</f>
        <v>0</v>
      </c>
      <c r="AA62" s="101">
        <f>'תבל  '!AA75</f>
        <v>810000</v>
      </c>
      <c r="AB62" s="762"/>
      <c r="AC62" s="11"/>
      <c r="AD62" s="11"/>
      <c r="AE62" s="11"/>
      <c r="AF62" s="11"/>
      <c r="AG62" s="11"/>
      <c r="AH62" s="11"/>
      <c r="AI62" s="11"/>
    </row>
    <row r="63" spans="1:35" s="149" customFormat="1">
      <c r="A63" s="81"/>
      <c r="B63" s="81">
        <v>6</v>
      </c>
      <c r="C63" s="81" t="s">
        <v>1040</v>
      </c>
      <c r="D63" s="198">
        <f>SUM(D24:D62)</f>
        <v>458018945</v>
      </c>
      <c r="E63" s="198">
        <f t="shared" ref="E63:Z63" si="5">SUM(E24:E62)</f>
        <v>422038945</v>
      </c>
      <c r="F63" s="198">
        <f t="shared" si="5"/>
        <v>35980000</v>
      </c>
      <c r="G63" s="198">
        <f t="shared" si="5"/>
        <v>385702645</v>
      </c>
      <c r="H63" s="198">
        <f t="shared" si="5"/>
        <v>334336265.60000002</v>
      </c>
      <c r="I63" s="198">
        <f t="shared" si="5"/>
        <v>23605134.540000007</v>
      </c>
      <c r="J63" s="198">
        <f t="shared" si="5"/>
        <v>11392778.24</v>
      </c>
      <c r="K63" s="198">
        <f t="shared" si="5"/>
        <v>34997912.780000001</v>
      </c>
      <c r="L63" s="198">
        <f t="shared" si="5"/>
        <v>369334178.37999994</v>
      </c>
      <c r="M63" s="198">
        <f t="shared" si="5"/>
        <v>10049766.619999975</v>
      </c>
      <c r="N63" s="198">
        <f t="shared" si="5"/>
        <v>26301300</v>
      </c>
      <c r="O63" s="198">
        <f t="shared" si="5"/>
        <v>52333700</v>
      </c>
      <c r="P63" s="198">
        <f t="shared" si="5"/>
        <v>16368466.619999975</v>
      </c>
      <c r="Q63" s="198">
        <f t="shared" si="5"/>
        <v>930000</v>
      </c>
      <c r="R63" s="198">
        <f t="shared" si="5"/>
        <v>0</v>
      </c>
      <c r="S63" s="198">
        <f t="shared" si="5"/>
        <v>930000</v>
      </c>
      <c r="T63" s="198">
        <f t="shared" si="5"/>
        <v>7248700</v>
      </c>
      <c r="U63" s="198">
        <f t="shared" si="5"/>
        <v>19052600</v>
      </c>
      <c r="V63" s="198">
        <f t="shared" si="5"/>
        <v>4051300</v>
      </c>
      <c r="W63" s="198">
        <f t="shared" si="5"/>
        <v>5000000</v>
      </c>
      <c r="X63" s="198">
        <f t="shared" si="5"/>
        <v>0</v>
      </c>
      <c r="Y63" s="198">
        <f t="shared" si="5"/>
        <v>0</v>
      </c>
      <c r="Z63" s="198">
        <f t="shared" si="5"/>
        <v>10001300</v>
      </c>
      <c r="AA63" s="763"/>
      <c r="AB63" s="764"/>
      <c r="AC63" s="765"/>
      <c r="AD63" s="766"/>
      <c r="AE63" s="766"/>
      <c r="AF63" s="767"/>
      <c r="AG63" s="767"/>
      <c r="AH63" s="766"/>
    </row>
    <row r="64" spans="1:35" s="15" customFormat="1">
      <c r="A64" s="13"/>
      <c r="B64" s="13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01"/>
      <c r="AB64" s="196"/>
      <c r="AC64" s="112"/>
      <c r="AD64" s="55"/>
      <c r="AE64" s="55"/>
      <c r="AF64" s="57"/>
      <c r="AG64" s="57"/>
      <c r="AH64" s="55"/>
    </row>
    <row r="65" spans="1:34" s="15" customFormat="1">
      <c r="A65" s="13">
        <f>A62+1</f>
        <v>52</v>
      </c>
      <c r="B65" s="13">
        <v>1853</v>
      </c>
      <c r="C65" s="13" t="s">
        <v>283</v>
      </c>
      <c r="D65" s="14">
        <f>'תבל  '!D43</f>
        <v>310000</v>
      </c>
      <c r="E65" s="14">
        <f>'תבל  '!E43</f>
        <v>310000</v>
      </c>
      <c r="F65" s="14">
        <f>'תבל  '!F43</f>
        <v>0</v>
      </c>
      <c r="G65" s="14">
        <f>'תבל  '!G43</f>
        <v>310000</v>
      </c>
      <c r="H65" s="14">
        <f>'תבל  '!H43</f>
        <v>45951</v>
      </c>
      <c r="I65" s="14">
        <f>'תבל  '!I43</f>
        <v>5148</v>
      </c>
      <c r="J65" s="14">
        <f>'תבל  '!J43</f>
        <v>73044.66</v>
      </c>
      <c r="K65" s="14">
        <f>'תבל  '!K43</f>
        <v>78192.66</v>
      </c>
      <c r="L65" s="14">
        <f>'תבל  '!L43</f>
        <v>124143.66</v>
      </c>
      <c r="M65" s="14">
        <f>'תבל  '!M43</f>
        <v>185856.34</v>
      </c>
      <c r="N65" s="14">
        <f>'תבל  '!N43</f>
        <v>0</v>
      </c>
      <c r="O65" s="14">
        <f>'תבל  '!O43</f>
        <v>0</v>
      </c>
      <c r="P65" s="14">
        <f>'תבל  '!P43</f>
        <v>185856.34</v>
      </c>
      <c r="Q65" s="14">
        <f>'תבל  '!Q43</f>
        <v>0</v>
      </c>
      <c r="R65" s="14">
        <f>'תבל  '!R43</f>
        <v>0</v>
      </c>
      <c r="S65" s="14">
        <f>'תבל  '!S43</f>
        <v>0</v>
      </c>
      <c r="T65" s="14">
        <f>'תבל  '!T43</f>
        <v>0</v>
      </c>
      <c r="U65" s="14">
        <f>'תבל  '!U43</f>
        <v>0</v>
      </c>
      <c r="V65" s="14">
        <f>'תבל  '!V43</f>
        <v>0</v>
      </c>
      <c r="W65" s="14">
        <f>'תבל  '!W43</f>
        <v>0</v>
      </c>
      <c r="X65" s="14">
        <f>'תבל  '!X43</f>
        <v>0</v>
      </c>
      <c r="Y65" s="14">
        <f>'תבל  '!Y43</f>
        <v>0</v>
      </c>
      <c r="Z65" s="14">
        <f>'תבל  '!Z43</f>
        <v>0</v>
      </c>
      <c r="AA65" s="101">
        <f>'תבל  '!AA43</f>
        <v>824000</v>
      </c>
      <c r="AB65" s="196"/>
      <c r="AC65" s="112"/>
      <c r="AD65" s="55"/>
      <c r="AE65" s="55"/>
      <c r="AF65" s="57"/>
      <c r="AG65" s="57"/>
      <c r="AH65" s="55"/>
    </row>
    <row r="66" spans="1:34" s="15" customFormat="1">
      <c r="A66" s="13">
        <f>A65+1</f>
        <v>53</v>
      </c>
      <c r="B66" s="13">
        <v>1916</v>
      </c>
      <c r="C66" s="13" t="s">
        <v>291</v>
      </c>
      <c r="D66" s="14">
        <f>'תבל  '!D55</f>
        <v>300000</v>
      </c>
      <c r="E66" s="14">
        <f>'תבל  '!E55</f>
        <v>300000</v>
      </c>
      <c r="F66" s="14">
        <f>'תבל  '!F55</f>
        <v>0</v>
      </c>
      <c r="G66" s="14">
        <f>'תבל  '!G55</f>
        <v>300000</v>
      </c>
      <c r="H66" s="14">
        <f>'תבל  '!H55</f>
        <v>0</v>
      </c>
      <c r="I66" s="14">
        <f>'תבל  '!I55</f>
        <v>0</v>
      </c>
      <c r="J66" s="14">
        <f>'תבל  '!J55</f>
        <v>300000</v>
      </c>
      <c r="K66" s="14">
        <f>'תבל  '!K55</f>
        <v>300000</v>
      </c>
      <c r="L66" s="14">
        <f>'תבל  '!L55</f>
        <v>300000</v>
      </c>
      <c r="M66" s="14">
        <f>'תבל  '!M55</f>
        <v>0</v>
      </c>
      <c r="N66" s="14">
        <f>'תבל  '!N55</f>
        <v>0</v>
      </c>
      <c r="O66" s="14">
        <f>'תבל  '!O55</f>
        <v>0</v>
      </c>
      <c r="P66" s="14">
        <f>'תבל  '!P55</f>
        <v>0</v>
      </c>
      <c r="Q66" s="14">
        <f>'תבל  '!Q55</f>
        <v>0</v>
      </c>
      <c r="R66" s="14">
        <f>'תבל  '!R55</f>
        <v>0</v>
      </c>
      <c r="S66" s="14">
        <f>'תבל  '!S55</f>
        <v>0</v>
      </c>
      <c r="T66" s="14">
        <f>'תבל  '!T55</f>
        <v>0</v>
      </c>
      <c r="U66" s="14">
        <f>'תבל  '!U55</f>
        <v>0</v>
      </c>
      <c r="V66" s="14">
        <f>'תבל  '!V55</f>
        <v>0</v>
      </c>
      <c r="W66" s="14">
        <f>'תבל  '!W55</f>
        <v>0</v>
      </c>
      <c r="X66" s="14">
        <f>'תבל  '!X55</f>
        <v>0</v>
      </c>
      <c r="Y66" s="14">
        <f>'תבל  '!Y55</f>
        <v>0</v>
      </c>
      <c r="Z66" s="14">
        <f>'תבל  '!Z55</f>
        <v>0</v>
      </c>
      <c r="AA66" s="101">
        <f>'תבל  '!AA55</f>
        <v>824000</v>
      </c>
      <c r="AB66" s="196"/>
      <c r="AC66" s="112"/>
      <c r="AD66" s="55"/>
      <c r="AE66" s="55"/>
      <c r="AF66" s="57"/>
      <c r="AG66" s="57"/>
      <c r="AH66" s="55"/>
    </row>
    <row r="67" spans="1:34" s="15" customFormat="1">
      <c r="A67" s="13">
        <f>A66+1</f>
        <v>54</v>
      </c>
      <c r="B67" s="13">
        <v>1933</v>
      </c>
      <c r="C67" s="13" t="s">
        <v>349</v>
      </c>
      <c r="D67" s="14">
        <f>'תבל  '!D61</f>
        <v>1200000</v>
      </c>
      <c r="E67" s="14">
        <f>'תבל  '!E61</f>
        <v>200000</v>
      </c>
      <c r="F67" s="14">
        <f>'תבל  '!F61</f>
        <v>1000000</v>
      </c>
      <c r="G67" s="14">
        <f>'תבל  '!G61</f>
        <v>200000</v>
      </c>
      <c r="H67" s="14">
        <f>'תבל  '!H61</f>
        <v>9360</v>
      </c>
      <c r="I67" s="14">
        <f>'תבל  '!I61</f>
        <v>0</v>
      </c>
      <c r="J67" s="14">
        <f>'תבל  '!J61</f>
        <v>158859</v>
      </c>
      <c r="K67" s="14">
        <f>'תבל  '!K61</f>
        <v>158859</v>
      </c>
      <c r="L67" s="14">
        <f>'תבל  '!L61</f>
        <v>168219</v>
      </c>
      <c r="M67" s="14">
        <f>'תבל  '!M61</f>
        <v>31781</v>
      </c>
      <c r="N67" s="14">
        <f>'תבל  '!N61</f>
        <v>1000000</v>
      </c>
      <c r="O67" s="14">
        <f>'תבל  '!O61</f>
        <v>0</v>
      </c>
      <c r="P67" s="14">
        <f>'תבל  '!P61</f>
        <v>31781</v>
      </c>
      <c r="Q67" s="14">
        <f>'תבל  '!Q61</f>
        <v>0</v>
      </c>
      <c r="R67" s="14">
        <f>'תבל  '!R61</f>
        <v>0</v>
      </c>
      <c r="S67" s="14">
        <f>'תבל  '!S61</f>
        <v>0</v>
      </c>
      <c r="T67" s="14">
        <f>'תבל  '!T61</f>
        <v>0</v>
      </c>
      <c r="U67" s="14">
        <f>'תבל  '!U61</f>
        <v>1000000</v>
      </c>
      <c r="V67" s="14">
        <f>'תבל  '!V61</f>
        <v>1000000</v>
      </c>
      <c r="W67" s="14">
        <f>'תבל  '!W61</f>
        <v>0</v>
      </c>
      <c r="X67" s="14">
        <f>'תבל  '!X61</f>
        <v>0</v>
      </c>
      <c r="Y67" s="14">
        <f>'תבל  '!Y61</f>
        <v>0</v>
      </c>
      <c r="Z67" s="14">
        <f>'תבל  '!Z61</f>
        <v>0</v>
      </c>
      <c r="AA67" s="101">
        <f>'תבל  '!AA61</f>
        <v>826000</v>
      </c>
      <c r="AB67" s="196"/>
      <c r="AC67" s="112"/>
      <c r="AD67" s="55"/>
      <c r="AE67" s="55"/>
      <c r="AF67" s="57"/>
      <c r="AG67" s="57"/>
      <c r="AH67" s="55"/>
    </row>
    <row r="68" spans="1:34" s="15" customFormat="1">
      <c r="A68" s="13">
        <f>A67+1</f>
        <v>55</v>
      </c>
      <c r="B68" s="69">
        <v>2031</v>
      </c>
      <c r="C68" s="13" t="s">
        <v>473</v>
      </c>
      <c r="D68" s="14">
        <f>'תבל  '!D76</f>
        <v>2700000</v>
      </c>
      <c r="E68" s="14">
        <f>'תבל  '!E76</f>
        <v>0</v>
      </c>
      <c r="F68" s="14">
        <f>'תבל  '!F76</f>
        <v>2700000</v>
      </c>
      <c r="G68" s="14">
        <f>'תבל  '!G76</f>
        <v>0</v>
      </c>
      <c r="H68" s="14">
        <f>'תבל  '!H76</f>
        <v>0</v>
      </c>
      <c r="I68" s="14">
        <f>'תבל  '!I76</f>
        <v>0</v>
      </c>
      <c r="J68" s="14">
        <f>'תבל  '!J76</f>
        <v>0</v>
      </c>
      <c r="K68" s="14">
        <f>'תבל  '!K76</f>
        <v>0</v>
      </c>
      <c r="L68" s="14">
        <f>'תבל  '!L76</f>
        <v>0</v>
      </c>
      <c r="M68" s="14">
        <f>'תבל  '!M76</f>
        <v>0</v>
      </c>
      <c r="N68" s="14">
        <f>'תבל  '!N76</f>
        <v>2700000</v>
      </c>
      <c r="O68" s="14">
        <f>'תבל  '!O76</f>
        <v>0</v>
      </c>
      <c r="P68" s="14">
        <f>'תבל  '!P76</f>
        <v>0</v>
      </c>
      <c r="Q68" s="14">
        <f>'תבל  '!Q76</f>
        <v>0</v>
      </c>
      <c r="R68" s="14">
        <f>'תבל  '!R76</f>
        <v>0</v>
      </c>
      <c r="S68" s="14">
        <f>'תבל  '!S76</f>
        <v>0</v>
      </c>
      <c r="T68" s="14">
        <f>'תבל  '!T76</f>
        <v>0</v>
      </c>
      <c r="U68" s="14">
        <f>'תבל  '!U76</f>
        <v>2700000</v>
      </c>
      <c r="V68" s="14">
        <f>'תבל  '!V76</f>
        <v>1000000</v>
      </c>
      <c r="W68" s="14">
        <f>'תבל  '!W76</f>
        <v>1700000</v>
      </c>
      <c r="X68" s="14">
        <f>'תבל  '!X76</f>
        <v>0</v>
      </c>
      <c r="Y68" s="14">
        <f>'תבל  '!Y76</f>
        <v>0</v>
      </c>
      <c r="Z68" s="14">
        <f>'תבל  '!Z76</f>
        <v>0</v>
      </c>
      <c r="AA68" s="101">
        <f>'תבל  '!AA76</f>
        <v>826000</v>
      </c>
      <c r="AB68" s="196"/>
      <c r="AC68" s="57"/>
      <c r="AD68" s="57"/>
      <c r="AE68" s="57"/>
      <c r="AF68" s="57"/>
      <c r="AG68" s="57"/>
      <c r="AH68" s="55"/>
    </row>
    <row r="69" spans="1:34" s="149" customFormat="1">
      <c r="A69" s="81"/>
      <c r="B69" s="81">
        <v>6</v>
      </c>
      <c r="C69" s="81" t="s">
        <v>1041</v>
      </c>
      <c r="D69" s="198">
        <f>SUM(D65:D68)</f>
        <v>4510000</v>
      </c>
      <c r="E69" s="198">
        <f t="shared" ref="E69:Z69" si="6">SUM(E65:E68)</f>
        <v>810000</v>
      </c>
      <c r="F69" s="198">
        <f t="shared" si="6"/>
        <v>3700000</v>
      </c>
      <c r="G69" s="198">
        <f t="shared" si="6"/>
        <v>810000</v>
      </c>
      <c r="H69" s="198">
        <f t="shared" si="6"/>
        <v>55311</v>
      </c>
      <c r="I69" s="198">
        <f t="shared" si="6"/>
        <v>5148</v>
      </c>
      <c r="J69" s="198">
        <f t="shared" si="6"/>
        <v>531903.66</v>
      </c>
      <c r="K69" s="198">
        <f t="shared" si="6"/>
        <v>537051.66</v>
      </c>
      <c r="L69" s="198">
        <f t="shared" si="6"/>
        <v>592362.66</v>
      </c>
      <c r="M69" s="198">
        <f t="shared" si="6"/>
        <v>217637.34</v>
      </c>
      <c r="N69" s="198">
        <f t="shared" si="6"/>
        <v>3700000</v>
      </c>
      <c r="O69" s="198">
        <f t="shared" si="6"/>
        <v>0</v>
      </c>
      <c r="P69" s="198">
        <f t="shared" si="6"/>
        <v>217637.34</v>
      </c>
      <c r="Q69" s="198">
        <f t="shared" si="6"/>
        <v>0</v>
      </c>
      <c r="R69" s="198">
        <f t="shared" si="6"/>
        <v>0</v>
      </c>
      <c r="S69" s="198">
        <f t="shared" si="6"/>
        <v>0</v>
      </c>
      <c r="T69" s="198">
        <f t="shared" si="6"/>
        <v>0</v>
      </c>
      <c r="U69" s="198">
        <f t="shared" si="6"/>
        <v>3700000</v>
      </c>
      <c r="V69" s="198">
        <f t="shared" si="6"/>
        <v>2000000</v>
      </c>
      <c r="W69" s="198">
        <f t="shared" si="6"/>
        <v>1700000</v>
      </c>
      <c r="X69" s="198">
        <f t="shared" si="6"/>
        <v>0</v>
      </c>
      <c r="Y69" s="198">
        <f t="shared" si="6"/>
        <v>0</v>
      </c>
      <c r="Z69" s="198">
        <f t="shared" si="6"/>
        <v>0</v>
      </c>
      <c r="AA69" s="763"/>
      <c r="AB69" s="764"/>
      <c r="AC69" s="765"/>
      <c r="AD69" s="766"/>
      <c r="AE69" s="766"/>
      <c r="AF69" s="767"/>
      <c r="AG69" s="767"/>
      <c r="AH69" s="766"/>
    </row>
    <row r="70" spans="1:34" s="15" customFormat="1">
      <c r="A70" s="13"/>
      <c r="B70" s="69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01"/>
      <c r="AB70" s="196"/>
      <c r="AC70" s="57"/>
      <c r="AD70" s="57"/>
      <c r="AE70" s="57"/>
      <c r="AF70" s="57"/>
      <c r="AG70" s="57"/>
      <c r="AH70" s="55"/>
    </row>
    <row r="71" spans="1:34" s="15" customFormat="1">
      <c r="A71" s="13">
        <f>A68+1</f>
        <v>56</v>
      </c>
      <c r="B71" s="13">
        <v>2000</v>
      </c>
      <c r="C71" s="13" t="s">
        <v>434</v>
      </c>
      <c r="D71" s="14">
        <f>'תבל  '!D70</f>
        <v>354000</v>
      </c>
      <c r="E71" s="14">
        <f>'תבל  '!E70</f>
        <v>354000</v>
      </c>
      <c r="F71" s="14">
        <f>'תבל  '!F70</f>
        <v>0</v>
      </c>
      <c r="G71" s="14">
        <f>'תבל  '!G70</f>
        <v>354000</v>
      </c>
      <c r="H71" s="14">
        <f>'תבל  '!H70</f>
        <v>0</v>
      </c>
      <c r="I71" s="14">
        <f>'תבל  '!I70</f>
        <v>0</v>
      </c>
      <c r="J71" s="14">
        <f>'תבל  '!J70</f>
        <v>354000</v>
      </c>
      <c r="K71" s="14">
        <f>'תבל  '!K70</f>
        <v>354000</v>
      </c>
      <c r="L71" s="14">
        <f>'תבל  '!L70</f>
        <v>354000</v>
      </c>
      <c r="M71" s="14">
        <f>'תבל  '!M70</f>
        <v>0</v>
      </c>
      <c r="N71" s="14">
        <f>'תבל  '!N70</f>
        <v>0</v>
      </c>
      <c r="O71" s="14">
        <f>'תבל  '!O70</f>
        <v>0</v>
      </c>
      <c r="P71" s="14">
        <f>'תבל  '!P70</f>
        <v>0</v>
      </c>
      <c r="Q71" s="14">
        <f>'תבל  '!Q70</f>
        <v>0</v>
      </c>
      <c r="R71" s="14">
        <f>'תבל  '!R70</f>
        <v>0</v>
      </c>
      <c r="S71" s="14">
        <f>'תבל  '!S70</f>
        <v>0</v>
      </c>
      <c r="T71" s="14">
        <f>'תבל  '!T70</f>
        <v>0</v>
      </c>
      <c r="U71" s="14">
        <f>'תבל  '!U70</f>
        <v>0</v>
      </c>
      <c r="V71" s="14">
        <f>'תבל  '!V70</f>
        <v>0</v>
      </c>
      <c r="W71" s="14">
        <f>'תבל  '!W70</f>
        <v>0</v>
      </c>
      <c r="X71" s="14">
        <f>'תבל  '!X70</f>
        <v>0</v>
      </c>
      <c r="Y71" s="14">
        <f>'תבל  '!Y70</f>
        <v>0</v>
      </c>
      <c r="Z71" s="14">
        <f>'תבל  '!Z70</f>
        <v>0</v>
      </c>
      <c r="AA71" s="101">
        <f>'תבל  '!AA70</f>
        <v>840000</v>
      </c>
      <c r="AB71" s="196"/>
      <c r="AC71" s="112"/>
      <c r="AD71" s="55"/>
      <c r="AE71" s="55"/>
      <c r="AF71" s="57"/>
      <c r="AG71" s="57"/>
      <c r="AH71" s="55"/>
    </row>
    <row r="72" spans="1:34" s="149" customFormat="1">
      <c r="A72" s="81"/>
      <c r="B72" s="81">
        <v>6</v>
      </c>
      <c r="C72" s="81" t="s">
        <v>1043</v>
      </c>
      <c r="D72" s="198">
        <f>SUM(D71)</f>
        <v>354000</v>
      </c>
      <c r="E72" s="198">
        <f t="shared" ref="E72:Z72" si="7">SUM(E71)</f>
        <v>354000</v>
      </c>
      <c r="F72" s="198">
        <f t="shared" si="7"/>
        <v>0</v>
      </c>
      <c r="G72" s="198">
        <f t="shared" si="7"/>
        <v>354000</v>
      </c>
      <c r="H72" s="198">
        <f t="shared" si="7"/>
        <v>0</v>
      </c>
      <c r="I72" s="198">
        <f t="shared" si="7"/>
        <v>0</v>
      </c>
      <c r="J72" s="198">
        <f t="shared" si="7"/>
        <v>354000</v>
      </c>
      <c r="K72" s="198">
        <f t="shared" si="7"/>
        <v>354000</v>
      </c>
      <c r="L72" s="198">
        <f t="shared" si="7"/>
        <v>354000</v>
      </c>
      <c r="M72" s="198">
        <f t="shared" si="7"/>
        <v>0</v>
      </c>
      <c r="N72" s="198">
        <f t="shared" si="7"/>
        <v>0</v>
      </c>
      <c r="O72" s="198">
        <f t="shared" si="7"/>
        <v>0</v>
      </c>
      <c r="P72" s="198">
        <f t="shared" si="7"/>
        <v>0</v>
      </c>
      <c r="Q72" s="198">
        <f t="shared" si="7"/>
        <v>0</v>
      </c>
      <c r="R72" s="198">
        <f t="shared" si="7"/>
        <v>0</v>
      </c>
      <c r="S72" s="198">
        <f t="shared" si="7"/>
        <v>0</v>
      </c>
      <c r="T72" s="198">
        <f t="shared" si="7"/>
        <v>0</v>
      </c>
      <c r="U72" s="198">
        <f t="shared" si="7"/>
        <v>0</v>
      </c>
      <c r="V72" s="198">
        <f t="shared" si="7"/>
        <v>0</v>
      </c>
      <c r="W72" s="198">
        <f t="shared" si="7"/>
        <v>0</v>
      </c>
      <c r="X72" s="198">
        <f t="shared" si="7"/>
        <v>0</v>
      </c>
      <c r="Y72" s="198">
        <f t="shared" si="7"/>
        <v>0</v>
      </c>
      <c r="Z72" s="198">
        <f t="shared" si="7"/>
        <v>0</v>
      </c>
      <c r="AA72" s="763"/>
      <c r="AB72" s="764"/>
      <c r="AC72" s="765"/>
      <c r="AD72" s="766"/>
      <c r="AE72" s="766"/>
      <c r="AF72" s="767"/>
      <c r="AG72" s="767"/>
      <c r="AH72" s="766"/>
    </row>
    <row r="73" spans="1:34" s="15" customFormat="1">
      <c r="A73" s="13"/>
      <c r="B73" s="13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01"/>
      <c r="AB73" s="196"/>
      <c r="AC73" s="112"/>
      <c r="AD73" s="55"/>
      <c r="AE73" s="55"/>
      <c r="AF73" s="57"/>
      <c r="AG73" s="57"/>
      <c r="AH73" s="55"/>
    </row>
    <row r="74" spans="1:34" s="15" customFormat="1">
      <c r="A74" s="13">
        <f>A71+1</f>
        <v>57</v>
      </c>
      <c r="B74" s="13">
        <v>1968</v>
      </c>
      <c r="C74" s="13" t="s">
        <v>353</v>
      </c>
      <c r="D74" s="14">
        <f>'תבל  '!D67</f>
        <v>1800000</v>
      </c>
      <c r="E74" s="14">
        <f>'תבל  '!E67</f>
        <v>1000000</v>
      </c>
      <c r="F74" s="14">
        <f>'תבל  '!F67</f>
        <v>800000</v>
      </c>
      <c r="G74" s="14">
        <f>'תבל  '!G67</f>
        <v>600000</v>
      </c>
      <c r="H74" s="14">
        <f>'תבל  '!H67</f>
        <v>12520.13</v>
      </c>
      <c r="I74" s="14">
        <f>'תבל  '!I67</f>
        <v>0</v>
      </c>
      <c r="J74" s="14">
        <f>'תבל  '!J67</f>
        <v>587106.04</v>
      </c>
      <c r="K74" s="14">
        <f>'תבל  '!K67</f>
        <v>587106.04</v>
      </c>
      <c r="L74" s="14">
        <f>'תבל  '!L67</f>
        <v>599626.17000000004</v>
      </c>
      <c r="M74" s="14">
        <f>'תבל  '!M67</f>
        <v>373.82999999995809</v>
      </c>
      <c r="N74" s="14">
        <f>'תבל  '!N67</f>
        <v>600000</v>
      </c>
      <c r="O74" s="14">
        <f>'תבל  '!O67</f>
        <v>600000</v>
      </c>
      <c r="P74" s="14">
        <f>'תבל  '!P67</f>
        <v>373.82999999995809</v>
      </c>
      <c r="Q74" s="14">
        <f>'תבל  '!Q67</f>
        <v>0</v>
      </c>
      <c r="R74" s="14">
        <f>'תבל  '!R67</f>
        <v>0</v>
      </c>
      <c r="S74" s="14">
        <f>'תבל  '!S67</f>
        <v>0</v>
      </c>
      <c r="T74" s="14">
        <f>'תבל  '!T67</f>
        <v>0</v>
      </c>
      <c r="U74" s="14">
        <f>'תבל  '!U67</f>
        <v>600000</v>
      </c>
      <c r="V74" s="14">
        <f>'תבל  '!V67</f>
        <v>300000</v>
      </c>
      <c r="W74" s="14">
        <f>'תבל  '!W67</f>
        <v>300000</v>
      </c>
      <c r="X74" s="14">
        <f>'תבל  '!X67</f>
        <v>0</v>
      </c>
      <c r="Y74" s="14">
        <f>'תבל  '!Y67</f>
        <v>0</v>
      </c>
      <c r="Z74" s="14">
        <f>'תבל  '!Z67</f>
        <v>0</v>
      </c>
      <c r="AA74" s="101">
        <f>'תבל  '!AA67</f>
        <v>848500</v>
      </c>
      <c r="AB74" s="196"/>
      <c r="AC74" s="112"/>
      <c r="AD74" s="55"/>
      <c r="AE74" s="55"/>
      <c r="AF74" s="57"/>
      <c r="AG74" s="57"/>
      <c r="AH74" s="55"/>
    </row>
    <row r="75" spans="1:34" s="149" customFormat="1">
      <c r="A75" s="81"/>
      <c r="B75" s="81">
        <v>9</v>
      </c>
      <c r="C75" s="81" t="s">
        <v>1054</v>
      </c>
      <c r="D75" s="198">
        <f>SUM(D74)</f>
        <v>1800000</v>
      </c>
      <c r="E75" s="198">
        <f t="shared" ref="E75:Z75" si="8">SUM(E74)</f>
        <v>1000000</v>
      </c>
      <c r="F75" s="198">
        <f t="shared" si="8"/>
        <v>800000</v>
      </c>
      <c r="G75" s="198">
        <f t="shared" si="8"/>
        <v>600000</v>
      </c>
      <c r="H75" s="198">
        <f t="shared" si="8"/>
        <v>12520.13</v>
      </c>
      <c r="I75" s="198">
        <f t="shared" si="8"/>
        <v>0</v>
      </c>
      <c r="J75" s="198">
        <f t="shared" si="8"/>
        <v>587106.04</v>
      </c>
      <c r="K75" s="198">
        <f t="shared" si="8"/>
        <v>587106.04</v>
      </c>
      <c r="L75" s="198">
        <f t="shared" si="8"/>
        <v>599626.17000000004</v>
      </c>
      <c r="M75" s="198">
        <f t="shared" si="8"/>
        <v>373.82999999995809</v>
      </c>
      <c r="N75" s="198">
        <f t="shared" si="8"/>
        <v>600000</v>
      </c>
      <c r="O75" s="198">
        <f t="shared" si="8"/>
        <v>600000</v>
      </c>
      <c r="P75" s="198">
        <f t="shared" si="8"/>
        <v>373.82999999995809</v>
      </c>
      <c r="Q75" s="198">
        <f t="shared" si="8"/>
        <v>0</v>
      </c>
      <c r="R75" s="198">
        <f t="shared" si="8"/>
        <v>0</v>
      </c>
      <c r="S75" s="198">
        <f t="shared" si="8"/>
        <v>0</v>
      </c>
      <c r="T75" s="198">
        <f t="shared" si="8"/>
        <v>0</v>
      </c>
      <c r="U75" s="198">
        <f t="shared" si="8"/>
        <v>600000</v>
      </c>
      <c r="V75" s="198">
        <f t="shared" si="8"/>
        <v>300000</v>
      </c>
      <c r="W75" s="198">
        <f t="shared" si="8"/>
        <v>300000</v>
      </c>
      <c r="X75" s="198">
        <f t="shared" si="8"/>
        <v>0</v>
      </c>
      <c r="Y75" s="198">
        <f t="shared" si="8"/>
        <v>0</v>
      </c>
      <c r="Z75" s="198">
        <f t="shared" si="8"/>
        <v>0</v>
      </c>
      <c r="AA75" s="763"/>
      <c r="AB75" s="764"/>
      <c r="AC75" s="765"/>
      <c r="AD75" s="766"/>
      <c r="AE75" s="766"/>
      <c r="AF75" s="767"/>
      <c r="AG75" s="767"/>
      <c r="AH75" s="766"/>
    </row>
    <row r="76" spans="1:34" s="15" customFormat="1">
      <c r="A76" s="13"/>
      <c r="B76" s="13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01"/>
      <c r="AB76" s="196"/>
      <c r="AC76" s="112"/>
      <c r="AD76" s="55"/>
      <c r="AE76" s="55"/>
      <c r="AF76" s="57"/>
      <c r="AG76" s="57"/>
      <c r="AH76" s="55"/>
    </row>
    <row r="77" spans="1:34" s="15" customFormat="1">
      <c r="A77" s="13">
        <f>A74+1</f>
        <v>58</v>
      </c>
      <c r="B77" s="13">
        <v>1253</v>
      </c>
      <c r="C77" s="13" t="s">
        <v>86</v>
      </c>
      <c r="D77" s="14">
        <f>'תבל  '!D8</f>
        <v>4200000</v>
      </c>
      <c r="E77" s="14">
        <f>'תבל  '!E8</f>
        <v>3900000</v>
      </c>
      <c r="F77" s="14">
        <f>'תבל  '!F8</f>
        <v>300000</v>
      </c>
      <c r="G77" s="14">
        <f>'תבל  '!G8</f>
        <v>3700000</v>
      </c>
      <c r="H77" s="14">
        <f>'תבל  '!H8</f>
        <v>3269133</v>
      </c>
      <c r="I77" s="14">
        <f>'תבל  '!I8</f>
        <v>0</v>
      </c>
      <c r="J77" s="14">
        <f>'תבל  '!J8</f>
        <v>260499.41</v>
      </c>
      <c r="K77" s="14">
        <f>'תבל  '!K8</f>
        <v>260499.41</v>
      </c>
      <c r="L77" s="14">
        <f>'תבל  '!L8</f>
        <v>3529632.41</v>
      </c>
      <c r="M77" s="14">
        <f>'תבל  '!M8</f>
        <v>170367.58999999985</v>
      </c>
      <c r="N77" s="14">
        <f>'תבל  '!N8</f>
        <v>500000</v>
      </c>
      <c r="O77" s="14">
        <f>'תבל  '!O8</f>
        <v>0</v>
      </c>
      <c r="P77" s="14">
        <f>'תבל  '!P8</f>
        <v>170367.58999999985</v>
      </c>
      <c r="Q77" s="14">
        <f>'תבל  '!Q8</f>
        <v>0</v>
      </c>
      <c r="R77" s="14">
        <f>'תבל  '!R8</f>
        <v>0</v>
      </c>
      <c r="S77" s="14">
        <f>'תבל  '!S8</f>
        <v>0</v>
      </c>
      <c r="T77" s="14">
        <f>'תבל  '!T8</f>
        <v>0</v>
      </c>
      <c r="U77" s="14">
        <f>'תבל  '!U8</f>
        <v>500000</v>
      </c>
      <c r="V77" s="14">
        <f>'תבל  '!V8</f>
        <v>0</v>
      </c>
      <c r="W77" s="14">
        <f>'תבל  '!W8</f>
        <v>500000</v>
      </c>
      <c r="X77" s="14">
        <f>'תבל  '!X8</f>
        <v>0</v>
      </c>
      <c r="Y77" s="14">
        <f>'תבל  '!Y8</f>
        <v>0</v>
      </c>
      <c r="Z77" s="14">
        <f>'תבל  '!Z8</f>
        <v>0</v>
      </c>
      <c r="AA77" s="101">
        <f>'תבל  '!AA8</f>
        <v>850000</v>
      </c>
      <c r="AB77" s="196"/>
      <c r="AC77" s="112"/>
      <c r="AD77" s="55"/>
      <c r="AE77" s="55"/>
      <c r="AF77" s="57"/>
      <c r="AG77" s="57"/>
      <c r="AH77" s="55"/>
    </row>
    <row r="78" spans="1:34" s="15" customFormat="1">
      <c r="A78" s="13">
        <f>A77+1</f>
        <v>59</v>
      </c>
      <c r="B78" s="13">
        <v>1794</v>
      </c>
      <c r="C78" s="13" t="s">
        <v>242</v>
      </c>
      <c r="D78" s="14">
        <f>'תבל  '!D36</f>
        <v>850000</v>
      </c>
      <c r="E78" s="14">
        <f>'תבל  '!E36</f>
        <v>850000</v>
      </c>
      <c r="F78" s="14">
        <f>'תבל  '!F36</f>
        <v>0</v>
      </c>
      <c r="G78" s="14">
        <f>'תבל  '!G36</f>
        <v>850000</v>
      </c>
      <c r="H78" s="14">
        <f>'תבל  '!H36</f>
        <v>0</v>
      </c>
      <c r="I78" s="14">
        <f>'תבל  '!I36</f>
        <v>93600</v>
      </c>
      <c r="J78" s="14">
        <f>'תבל  '!J36</f>
        <v>0</v>
      </c>
      <c r="K78" s="14">
        <f>'תבל  '!K36</f>
        <v>93600</v>
      </c>
      <c r="L78" s="14">
        <f>'תבל  '!L36</f>
        <v>93600</v>
      </c>
      <c r="M78" s="14">
        <f>'תבל  '!M36</f>
        <v>756400</v>
      </c>
      <c r="N78" s="14">
        <f>'תבל  '!N36</f>
        <v>0</v>
      </c>
      <c r="O78" s="14">
        <f>'תבל  '!O36</f>
        <v>0</v>
      </c>
      <c r="P78" s="14">
        <f>'תבל  '!P36</f>
        <v>756400</v>
      </c>
      <c r="Q78" s="14">
        <f>'תבל  '!Q36</f>
        <v>0</v>
      </c>
      <c r="R78" s="14">
        <f>'תבל  '!R36</f>
        <v>0</v>
      </c>
      <c r="S78" s="14">
        <f>'תבל  '!S36</f>
        <v>0</v>
      </c>
      <c r="T78" s="14">
        <f>'תבל  '!T36</f>
        <v>0</v>
      </c>
      <c r="U78" s="14">
        <f>'תבל  '!U36</f>
        <v>0</v>
      </c>
      <c r="V78" s="14">
        <f>'תבל  '!V36</f>
        <v>0</v>
      </c>
      <c r="W78" s="14">
        <f>'תבל  '!W36</f>
        <v>0</v>
      </c>
      <c r="X78" s="14">
        <f>'תבל  '!X36</f>
        <v>0</v>
      </c>
      <c r="Y78" s="14">
        <f>'תבל  '!Y36</f>
        <v>0</v>
      </c>
      <c r="Z78" s="14">
        <f>'תבל  '!Z36</f>
        <v>0</v>
      </c>
      <c r="AA78" s="101">
        <f>'תבל  '!AA36</f>
        <v>850000</v>
      </c>
      <c r="AB78" s="196"/>
      <c r="AC78" s="112"/>
      <c r="AD78" s="55"/>
      <c r="AE78" s="55"/>
      <c r="AF78" s="57"/>
      <c r="AG78" s="57"/>
      <c r="AH78" s="55"/>
    </row>
    <row r="79" spans="1:34" s="15" customFormat="1">
      <c r="A79" s="13">
        <f t="shared" ref="A79:A82" si="9">A78+1</f>
        <v>60</v>
      </c>
      <c r="B79" s="13">
        <v>1897</v>
      </c>
      <c r="C79" s="13" t="s">
        <v>289</v>
      </c>
      <c r="D79" s="14">
        <f>'תבל  '!D53</f>
        <v>200000</v>
      </c>
      <c r="E79" s="14">
        <f>'תבל  '!E53</f>
        <v>200000</v>
      </c>
      <c r="F79" s="14">
        <f>'תבל  '!F53</f>
        <v>0</v>
      </c>
      <c r="G79" s="14">
        <f>'תבל  '!G53</f>
        <v>200000</v>
      </c>
      <c r="H79" s="14">
        <f>'תבל  '!H53</f>
        <v>160440.88</v>
      </c>
      <c r="I79" s="14">
        <f>'תבל  '!I53</f>
        <v>0</v>
      </c>
      <c r="J79" s="14">
        <f>'תבל  '!J53</f>
        <v>0</v>
      </c>
      <c r="K79" s="14">
        <f>'תבל  '!K53</f>
        <v>0</v>
      </c>
      <c r="L79" s="14">
        <f>'תבל  '!L53</f>
        <v>160440.88</v>
      </c>
      <c r="M79" s="14">
        <f>'תבל  '!M53</f>
        <v>39559.119999999995</v>
      </c>
      <c r="N79" s="14">
        <f>'תבל  '!N53</f>
        <v>0</v>
      </c>
      <c r="O79" s="14">
        <f>'תבל  '!O53</f>
        <v>0</v>
      </c>
      <c r="P79" s="14">
        <f>'תבל  '!P53</f>
        <v>39559.119999999995</v>
      </c>
      <c r="Q79" s="14">
        <f>'תבל  '!Q53</f>
        <v>0</v>
      </c>
      <c r="R79" s="14">
        <f>'תבל  '!R53</f>
        <v>0</v>
      </c>
      <c r="S79" s="14">
        <f>'תבל  '!S53</f>
        <v>0</v>
      </c>
      <c r="T79" s="14">
        <f>'תבל  '!T53</f>
        <v>0</v>
      </c>
      <c r="U79" s="14">
        <f>'תבל  '!U53</f>
        <v>0</v>
      </c>
      <c r="V79" s="14">
        <f>'תבל  '!V53</f>
        <v>0</v>
      </c>
      <c r="W79" s="14">
        <f>'תבל  '!W53</f>
        <v>0</v>
      </c>
      <c r="X79" s="14">
        <f>'תבל  '!X53</f>
        <v>0</v>
      </c>
      <c r="Y79" s="14">
        <f>'תבל  '!Y53</f>
        <v>0</v>
      </c>
      <c r="Z79" s="14">
        <f>'תבל  '!Z53</f>
        <v>0</v>
      </c>
      <c r="AA79" s="101">
        <f>'תבל  '!AA53</f>
        <v>850000</v>
      </c>
      <c r="AB79" s="196"/>
      <c r="AC79" s="112"/>
      <c r="AD79" s="55"/>
      <c r="AE79" s="55"/>
      <c r="AF79" s="57"/>
      <c r="AG79" s="57"/>
      <c r="AH79" s="55"/>
    </row>
    <row r="80" spans="1:34" s="15" customFormat="1">
      <c r="A80" s="13">
        <f t="shared" si="9"/>
        <v>61</v>
      </c>
      <c r="B80" s="13">
        <v>1925</v>
      </c>
      <c r="C80" s="13" t="s">
        <v>294</v>
      </c>
      <c r="D80" s="14">
        <f>'תבל  '!D58</f>
        <v>1000000</v>
      </c>
      <c r="E80" s="14">
        <f>'תבל  '!E58</f>
        <v>1000000</v>
      </c>
      <c r="F80" s="14">
        <f>'תבל  '!F58</f>
        <v>0</v>
      </c>
      <c r="G80" s="14">
        <f>'תבל  '!G58</f>
        <v>1000000</v>
      </c>
      <c r="H80" s="14">
        <f>'תבל  '!H58</f>
        <v>0</v>
      </c>
      <c r="I80" s="14">
        <f>'תבל  '!I58</f>
        <v>580611</v>
      </c>
      <c r="J80" s="14">
        <f>'תבל  '!J58</f>
        <v>296081</v>
      </c>
      <c r="K80" s="14">
        <f>'תבל  '!K58</f>
        <v>876692</v>
      </c>
      <c r="L80" s="14">
        <f>'תבל  '!L58</f>
        <v>876692</v>
      </c>
      <c r="M80" s="14">
        <f>'תבל  '!M58</f>
        <v>123308</v>
      </c>
      <c r="N80" s="14">
        <f>'תבל  '!N58</f>
        <v>0</v>
      </c>
      <c r="O80" s="14">
        <f>'תבל  '!O58</f>
        <v>0</v>
      </c>
      <c r="P80" s="14">
        <f>'תבל  '!P58</f>
        <v>123308</v>
      </c>
      <c r="Q80" s="14">
        <f>'תבל  '!Q58</f>
        <v>0</v>
      </c>
      <c r="R80" s="14">
        <f>'תבל  '!R58</f>
        <v>0</v>
      </c>
      <c r="S80" s="14">
        <f>'תבל  '!S58</f>
        <v>0</v>
      </c>
      <c r="T80" s="14">
        <f>'תבל  '!T58</f>
        <v>0</v>
      </c>
      <c r="U80" s="14">
        <f>'תבל  '!U58</f>
        <v>0</v>
      </c>
      <c r="V80" s="14">
        <f>'תבל  '!V58</f>
        <v>0</v>
      </c>
      <c r="W80" s="14">
        <f>'תבל  '!W58</f>
        <v>0</v>
      </c>
      <c r="X80" s="14">
        <f>'תבל  '!X58</f>
        <v>0</v>
      </c>
      <c r="Y80" s="14">
        <f>'תבל  '!Y58</f>
        <v>0</v>
      </c>
      <c r="Z80" s="14">
        <f>'תבל  '!Z58</f>
        <v>0</v>
      </c>
      <c r="AA80" s="101">
        <f>'תבל  '!AA58</f>
        <v>850000</v>
      </c>
      <c r="AB80" s="196"/>
      <c r="AC80" s="112"/>
      <c r="AD80" s="55"/>
      <c r="AE80" s="55"/>
      <c r="AF80" s="57"/>
      <c r="AG80" s="57"/>
      <c r="AH80" s="55"/>
    </row>
    <row r="81" spans="1:35" s="15" customFormat="1">
      <c r="A81" s="13">
        <f t="shared" si="9"/>
        <v>62</v>
      </c>
      <c r="B81" s="13">
        <v>1947</v>
      </c>
      <c r="C81" s="13" t="s">
        <v>433</v>
      </c>
      <c r="D81" s="14">
        <f>'תבל  '!D64</f>
        <v>1400000</v>
      </c>
      <c r="E81" s="14">
        <f>'תבל  '!E64</f>
        <v>1400000</v>
      </c>
      <c r="F81" s="14">
        <f>'תבל  '!F64</f>
        <v>0</v>
      </c>
      <c r="G81" s="14">
        <f>'תבל  '!G64</f>
        <v>1400000</v>
      </c>
      <c r="H81" s="14">
        <f>'תבל  '!H64</f>
        <v>0</v>
      </c>
      <c r="I81" s="14">
        <f>'תבל  '!I64</f>
        <v>0</v>
      </c>
      <c r="J81" s="14">
        <f>'תבל  '!J64</f>
        <v>0</v>
      </c>
      <c r="K81" s="14">
        <f>'תבל  '!K64</f>
        <v>0</v>
      </c>
      <c r="L81" s="14">
        <f>'תבל  '!L64</f>
        <v>0</v>
      </c>
      <c r="M81" s="14">
        <f>'תבל  '!M64</f>
        <v>1400000</v>
      </c>
      <c r="N81" s="14">
        <f>'תבל  '!N64</f>
        <v>0</v>
      </c>
      <c r="O81" s="14">
        <f>'תבל  '!O64</f>
        <v>0</v>
      </c>
      <c r="P81" s="14">
        <f>'תבל  '!P64</f>
        <v>1400000</v>
      </c>
      <c r="Q81" s="14">
        <f>'תבל  '!Q64</f>
        <v>0</v>
      </c>
      <c r="R81" s="14">
        <f>'תבל  '!R64</f>
        <v>0</v>
      </c>
      <c r="S81" s="14">
        <f>'תבל  '!S64</f>
        <v>0</v>
      </c>
      <c r="T81" s="14">
        <f>'תבל  '!T64</f>
        <v>0</v>
      </c>
      <c r="U81" s="14">
        <f>'תבל  '!U64</f>
        <v>0</v>
      </c>
      <c r="V81" s="14">
        <f>'תבל  '!V64</f>
        <v>0</v>
      </c>
      <c r="W81" s="14">
        <f>'תבל  '!W64</f>
        <v>0</v>
      </c>
      <c r="X81" s="14">
        <f>'תבל  '!X64</f>
        <v>0</v>
      </c>
      <c r="Y81" s="14">
        <f>'תבל  '!Y64</f>
        <v>0</v>
      </c>
      <c r="Z81" s="14">
        <f>'תבל  '!Z64</f>
        <v>0</v>
      </c>
      <c r="AA81" s="101">
        <f>'תבל  '!AA64</f>
        <v>850000</v>
      </c>
      <c r="AB81" s="196"/>
      <c r="AC81" s="112"/>
      <c r="AD81" s="55"/>
      <c r="AE81" s="55"/>
      <c r="AF81" s="57"/>
      <c r="AG81" s="57"/>
      <c r="AH81" s="55"/>
    </row>
    <row r="82" spans="1:35" s="15" customFormat="1" ht="30">
      <c r="A82" s="13">
        <f t="shared" si="9"/>
        <v>63</v>
      </c>
      <c r="B82" s="69">
        <v>2029</v>
      </c>
      <c r="C82" s="13" t="s">
        <v>472</v>
      </c>
      <c r="D82" s="14">
        <f>'תבל  '!D74</f>
        <v>300000</v>
      </c>
      <c r="E82" s="14">
        <f>'תבל  '!E74</f>
        <v>0</v>
      </c>
      <c r="F82" s="14">
        <f>'תבל  '!F74</f>
        <v>300000</v>
      </c>
      <c r="G82" s="14">
        <f>'תבל  '!G74</f>
        <v>0</v>
      </c>
      <c r="H82" s="14">
        <f>'תבל  '!H74</f>
        <v>0</v>
      </c>
      <c r="I82" s="14">
        <f>'תבל  '!I74</f>
        <v>0</v>
      </c>
      <c r="J82" s="14">
        <f>'תבל  '!J74</f>
        <v>0</v>
      </c>
      <c r="K82" s="14">
        <f>'תבל  '!K74</f>
        <v>0</v>
      </c>
      <c r="L82" s="14">
        <f>'תבל  '!L74</f>
        <v>0</v>
      </c>
      <c r="M82" s="14">
        <f>'תבל  '!M74</f>
        <v>0</v>
      </c>
      <c r="N82" s="14">
        <f>'תבל  '!N74</f>
        <v>300000</v>
      </c>
      <c r="O82" s="14">
        <f>'תבל  '!O74</f>
        <v>0</v>
      </c>
      <c r="P82" s="14">
        <f>'תבל  '!P74</f>
        <v>0</v>
      </c>
      <c r="Q82" s="14">
        <f>'תבל  '!Q74</f>
        <v>0</v>
      </c>
      <c r="R82" s="14">
        <f>'תבל  '!R74</f>
        <v>0</v>
      </c>
      <c r="S82" s="14">
        <f>'תבל  '!S74</f>
        <v>0</v>
      </c>
      <c r="T82" s="14">
        <f>'תבל  '!T74</f>
        <v>0</v>
      </c>
      <c r="U82" s="14">
        <f>'תבל  '!U74</f>
        <v>300000</v>
      </c>
      <c r="V82" s="14">
        <f>'תבל  '!V74</f>
        <v>0</v>
      </c>
      <c r="W82" s="14">
        <f>'תבל  '!W74</f>
        <v>300000</v>
      </c>
      <c r="X82" s="14">
        <f>'תבל  '!X74</f>
        <v>0</v>
      </c>
      <c r="Y82" s="14">
        <f>'תבל  '!Y74</f>
        <v>0</v>
      </c>
      <c r="Z82" s="14">
        <f>'תבל  '!Z74</f>
        <v>0</v>
      </c>
      <c r="AA82" s="101">
        <f>'תבל  '!AA74</f>
        <v>850000</v>
      </c>
      <c r="AB82" s="196"/>
      <c r="AC82" s="57"/>
      <c r="AD82" s="57"/>
      <c r="AE82" s="57"/>
      <c r="AF82" s="57"/>
      <c r="AG82" s="57"/>
      <c r="AH82" s="55"/>
    </row>
    <row r="83" spans="1:35" s="149" customFormat="1">
      <c r="A83" s="81"/>
      <c r="B83" s="81">
        <v>7</v>
      </c>
      <c r="C83" s="81" t="s">
        <v>1044</v>
      </c>
      <c r="D83" s="198">
        <f>SUM(D77:D82)</f>
        <v>7950000</v>
      </c>
      <c r="E83" s="198">
        <f t="shared" ref="E83:Z83" si="10">SUM(E77:E82)</f>
        <v>7350000</v>
      </c>
      <c r="F83" s="198">
        <f t="shared" si="10"/>
        <v>600000</v>
      </c>
      <c r="G83" s="198">
        <f t="shared" si="10"/>
        <v>7150000</v>
      </c>
      <c r="H83" s="198">
        <f t="shared" si="10"/>
        <v>3429573.88</v>
      </c>
      <c r="I83" s="198">
        <f t="shared" si="10"/>
        <v>674211</v>
      </c>
      <c r="J83" s="198">
        <f t="shared" si="10"/>
        <v>556580.41</v>
      </c>
      <c r="K83" s="198">
        <f t="shared" si="10"/>
        <v>1230791.4100000001</v>
      </c>
      <c r="L83" s="198">
        <f t="shared" si="10"/>
        <v>4660365.29</v>
      </c>
      <c r="M83" s="198">
        <f t="shared" si="10"/>
        <v>2489634.71</v>
      </c>
      <c r="N83" s="198">
        <f t="shared" si="10"/>
        <v>800000</v>
      </c>
      <c r="O83" s="198">
        <f t="shared" si="10"/>
        <v>0</v>
      </c>
      <c r="P83" s="198">
        <f t="shared" si="10"/>
        <v>2489634.71</v>
      </c>
      <c r="Q83" s="198">
        <f t="shared" si="10"/>
        <v>0</v>
      </c>
      <c r="R83" s="198">
        <f t="shared" si="10"/>
        <v>0</v>
      </c>
      <c r="S83" s="198">
        <f t="shared" si="10"/>
        <v>0</v>
      </c>
      <c r="T83" s="198">
        <f t="shared" si="10"/>
        <v>0</v>
      </c>
      <c r="U83" s="198">
        <f t="shared" si="10"/>
        <v>800000</v>
      </c>
      <c r="V83" s="198">
        <f t="shared" si="10"/>
        <v>0</v>
      </c>
      <c r="W83" s="198">
        <f t="shared" si="10"/>
        <v>800000</v>
      </c>
      <c r="X83" s="198">
        <f t="shared" si="10"/>
        <v>0</v>
      </c>
      <c r="Y83" s="198">
        <f t="shared" si="10"/>
        <v>0</v>
      </c>
      <c r="Z83" s="198">
        <f t="shared" si="10"/>
        <v>0</v>
      </c>
      <c r="AA83" s="763"/>
      <c r="AB83" s="764"/>
      <c r="AC83" s="765"/>
      <c r="AD83" s="766"/>
      <c r="AE83" s="766"/>
      <c r="AF83" s="767"/>
      <c r="AG83" s="767"/>
      <c r="AH83" s="766"/>
    </row>
    <row r="84" spans="1:35" s="15" customFormat="1">
      <c r="A84" s="13"/>
      <c r="B84" s="69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01"/>
      <c r="AB84" s="196"/>
      <c r="AC84" s="57"/>
      <c r="AD84" s="57"/>
      <c r="AE84" s="57"/>
      <c r="AF84" s="57"/>
      <c r="AG84" s="57"/>
      <c r="AH84" s="55"/>
    </row>
    <row r="85" spans="1:35" s="15" customFormat="1" ht="30">
      <c r="A85" s="13">
        <f>A82+1</f>
        <v>64</v>
      </c>
      <c r="B85" s="13">
        <v>1636</v>
      </c>
      <c r="C85" s="13" t="s">
        <v>431</v>
      </c>
      <c r="D85" s="14">
        <f>'תבל  '!D26</f>
        <v>250000</v>
      </c>
      <c r="E85" s="14">
        <f>'תבל  '!E26</f>
        <v>12450000</v>
      </c>
      <c r="F85" s="14">
        <f>'תבל  '!F26</f>
        <v>-12200000</v>
      </c>
      <c r="G85" s="14">
        <f>'תבל  '!G26</f>
        <v>250000</v>
      </c>
      <c r="H85" s="14">
        <f>'תבל  '!H26</f>
        <v>203882</v>
      </c>
      <c r="I85" s="14">
        <f>'תבל  '!I26</f>
        <v>0</v>
      </c>
      <c r="J85" s="14">
        <f>'תבל  '!J26</f>
        <v>29662</v>
      </c>
      <c r="K85" s="14">
        <f>'תבל  '!K26</f>
        <v>29662</v>
      </c>
      <c r="L85" s="14">
        <f>'תבל  '!L26</f>
        <v>233544</v>
      </c>
      <c r="M85" s="14">
        <f>'תבל  '!M26</f>
        <v>16456</v>
      </c>
      <c r="N85" s="14">
        <f>'תבל  '!N26</f>
        <v>0</v>
      </c>
      <c r="O85" s="14">
        <f>'תבל  '!O26</f>
        <v>0</v>
      </c>
      <c r="P85" s="14">
        <f>'תבל  '!P26</f>
        <v>16456</v>
      </c>
      <c r="Q85" s="14">
        <f>'תבל  '!Q26</f>
        <v>0</v>
      </c>
      <c r="R85" s="14">
        <f>'תבל  '!R26</f>
        <v>0</v>
      </c>
      <c r="S85" s="14">
        <f>'תבל  '!S26</f>
        <v>0</v>
      </c>
      <c r="T85" s="14">
        <f>'תבל  '!T26</f>
        <v>0</v>
      </c>
      <c r="U85" s="14">
        <f>'תבל  '!U26</f>
        <v>0</v>
      </c>
      <c r="V85" s="14">
        <f>'תבל  '!V26</f>
        <v>0</v>
      </c>
      <c r="W85" s="14">
        <f>'תבל  '!W26</f>
        <v>0</v>
      </c>
      <c r="X85" s="14">
        <f>'תבל  '!X26</f>
        <v>0</v>
      </c>
      <c r="Y85" s="14">
        <f>'תבל  '!Y26</f>
        <v>0</v>
      </c>
      <c r="Z85" s="14">
        <f>'תבל  '!Z26</f>
        <v>0</v>
      </c>
      <c r="AA85" s="101">
        <f>'תבל  '!AA26</f>
        <v>870000</v>
      </c>
      <c r="AB85" s="196"/>
      <c r="AC85" s="112"/>
      <c r="AD85" s="55"/>
      <c r="AE85" s="55"/>
      <c r="AF85" s="57"/>
      <c r="AG85" s="57"/>
      <c r="AH85" s="55"/>
    </row>
    <row r="86" spans="1:35" s="15" customFormat="1">
      <c r="A86" s="13">
        <f>A85+1</f>
        <v>65</v>
      </c>
      <c r="B86" s="13">
        <v>1662</v>
      </c>
      <c r="C86" s="13" t="s">
        <v>298</v>
      </c>
      <c r="D86" s="14">
        <f>'תבל  '!D27</f>
        <v>815000</v>
      </c>
      <c r="E86" s="14">
        <f>'תבל  '!E27</f>
        <v>525000</v>
      </c>
      <c r="F86" s="14">
        <f>'תבל  '!F27</f>
        <v>290000</v>
      </c>
      <c r="G86" s="14">
        <f>'תבל  '!G27</f>
        <v>425000</v>
      </c>
      <c r="H86" s="14">
        <f>'תבל  '!H27</f>
        <v>17032.57</v>
      </c>
      <c r="I86" s="14">
        <f>'תבל  '!I27</f>
        <v>0</v>
      </c>
      <c r="J86" s="14">
        <f>'תבל  '!J27</f>
        <v>179315</v>
      </c>
      <c r="K86" s="14">
        <f>'תבל  '!K27</f>
        <v>179315</v>
      </c>
      <c r="L86" s="14">
        <f>'תבל  '!L27</f>
        <v>196347.57</v>
      </c>
      <c r="M86" s="14">
        <f>'תבל  '!M27</f>
        <v>228652.43</v>
      </c>
      <c r="N86" s="14">
        <f>'תבל  '!N27</f>
        <v>390000</v>
      </c>
      <c r="O86" s="14">
        <f>'תבל  '!O27</f>
        <v>0</v>
      </c>
      <c r="P86" s="14">
        <f>'תבל  '!P27</f>
        <v>228652.43</v>
      </c>
      <c r="Q86" s="14">
        <f>'תבל  '!Q27</f>
        <v>0</v>
      </c>
      <c r="R86" s="14">
        <f>'תבל  '!R27</f>
        <v>0</v>
      </c>
      <c r="S86" s="14">
        <f>'תבל  '!S27</f>
        <v>0</v>
      </c>
      <c r="T86" s="14">
        <f>'תבל  '!T27</f>
        <v>0</v>
      </c>
      <c r="U86" s="14">
        <f>'תבל  '!U27</f>
        <v>390000</v>
      </c>
      <c r="V86" s="14">
        <f>'תבל  '!V27</f>
        <v>0</v>
      </c>
      <c r="W86" s="14">
        <f>'תבל  '!W27</f>
        <v>390000</v>
      </c>
      <c r="X86" s="14">
        <f>'תבל  '!X27</f>
        <v>0</v>
      </c>
      <c r="Y86" s="14">
        <f>'תבל  '!Y27</f>
        <v>0</v>
      </c>
      <c r="Z86" s="14">
        <f>'תבל  '!Z27</f>
        <v>0</v>
      </c>
      <c r="AA86" s="101">
        <f>'תבל  '!AA27</f>
        <v>870000</v>
      </c>
      <c r="AB86" s="196"/>
      <c r="AC86" s="112"/>
      <c r="AD86" s="55"/>
      <c r="AE86" s="55"/>
      <c r="AF86" s="57"/>
      <c r="AG86" s="57"/>
      <c r="AH86" s="55"/>
    </row>
    <row r="87" spans="1:35" s="15" customFormat="1">
      <c r="A87" s="13">
        <f>A86+1</f>
        <v>66</v>
      </c>
      <c r="B87" s="13">
        <v>1795</v>
      </c>
      <c r="C87" s="13" t="s">
        <v>243</v>
      </c>
      <c r="D87" s="14">
        <f>'תבל  '!D37</f>
        <v>1268000</v>
      </c>
      <c r="E87" s="14">
        <f>'תבל  '!E37</f>
        <v>1268000</v>
      </c>
      <c r="F87" s="14">
        <f>'תבל  '!F37</f>
        <v>0</v>
      </c>
      <c r="G87" s="14">
        <f>'תבל  '!G37</f>
        <v>1268000</v>
      </c>
      <c r="H87" s="14">
        <f>'תבל  '!H37</f>
        <v>1250148</v>
      </c>
      <c r="I87" s="14">
        <f>'תבל  '!I37</f>
        <v>0</v>
      </c>
      <c r="J87" s="14">
        <f>'תבל  '!J37</f>
        <v>0</v>
      </c>
      <c r="K87" s="14">
        <f>'תבל  '!K37</f>
        <v>0</v>
      </c>
      <c r="L87" s="14">
        <f>'תבל  '!L37</f>
        <v>1250148</v>
      </c>
      <c r="M87" s="14">
        <f>'תבל  '!M37</f>
        <v>17852</v>
      </c>
      <c r="N87" s="14">
        <f>'תבל  '!N37</f>
        <v>0</v>
      </c>
      <c r="O87" s="14">
        <f>'תבל  '!O37</f>
        <v>0</v>
      </c>
      <c r="P87" s="14">
        <f>'תבל  '!P37</f>
        <v>17852</v>
      </c>
      <c r="Q87" s="14">
        <f>'תבל  '!Q37</f>
        <v>0</v>
      </c>
      <c r="R87" s="14">
        <f>'תבל  '!R37</f>
        <v>0</v>
      </c>
      <c r="S87" s="14">
        <f>'תבל  '!S37</f>
        <v>0</v>
      </c>
      <c r="T87" s="14">
        <f>'תבל  '!T37</f>
        <v>0</v>
      </c>
      <c r="U87" s="14">
        <f>'תבל  '!U37</f>
        <v>0</v>
      </c>
      <c r="V87" s="14">
        <f>'תבל  '!V37</f>
        <v>0</v>
      </c>
      <c r="W87" s="14">
        <f>'תבל  '!W37</f>
        <v>0</v>
      </c>
      <c r="X87" s="14">
        <f>'תבל  '!X37</f>
        <v>0</v>
      </c>
      <c r="Y87" s="14">
        <f>'תבל  '!Y37</f>
        <v>0</v>
      </c>
      <c r="Z87" s="14">
        <f>'תבל  '!Z37</f>
        <v>0</v>
      </c>
      <c r="AA87" s="101">
        <f>'תבל  '!AA37</f>
        <v>870000</v>
      </c>
      <c r="AB87" s="196"/>
      <c r="AC87" s="112"/>
      <c r="AD87" s="55"/>
      <c r="AE87" s="55"/>
      <c r="AF87" s="57"/>
      <c r="AG87" s="57"/>
      <c r="AH87" s="55"/>
    </row>
    <row r="88" spans="1:35" s="15" customFormat="1">
      <c r="A88" s="13">
        <f>A87+1</f>
        <v>67</v>
      </c>
      <c r="B88" s="13">
        <v>1918</v>
      </c>
      <c r="C88" s="13" t="s">
        <v>293</v>
      </c>
      <c r="D88" s="14">
        <f>'תבל  '!D57</f>
        <v>2017000</v>
      </c>
      <c r="E88" s="14">
        <f>'תבל  '!E57</f>
        <v>2017000</v>
      </c>
      <c r="F88" s="14">
        <f>'תבל  '!F57</f>
        <v>0</v>
      </c>
      <c r="G88" s="14">
        <f>'תבל  '!G57</f>
        <v>2017000</v>
      </c>
      <c r="H88" s="14">
        <f>'תבל  '!H57</f>
        <v>0</v>
      </c>
      <c r="I88" s="14">
        <f>'תבל  '!I57</f>
        <v>1536167.88</v>
      </c>
      <c r="J88" s="14">
        <f>'תבל  '!J57</f>
        <v>63754</v>
      </c>
      <c r="K88" s="14">
        <f>'תבל  '!K57</f>
        <v>1599921.88</v>
      </c>
      <c r="L88" s="14">
        <f>'תבל  '!L57</f>
        <v>1599921.88</v>
      </c>
      <c r="M88" s="14">
        <f>'תבל  '!M57</f>
        <v>417078.12000000011</v>
      </c>
      <c r="N88" s="14">
        <f>'תבל  '!N57</f>
        <v>0</v>
      </c>
      <c r="O88" s="14">
        <f>'תבל  '!O57</f>
        <v>0</v>
      </c>
      <c r="P88" s="14">
        <f>'תבל  '!P57</f>
        <v>417078.12000000011</v>
      </c>
      <c r="Q88" s="14">
        <f>'תבל  '!Q57</f>
        <v>0</v>
      </c>
      <c r="R88" s="14">
        <f>'תבל  '!R57</f>
        <v>0</v>
      </c>
      <c r="S88" s="14">
        <f>'תבל  '!S57</f>
        <v>0</v>
      </c>
      <c r="T88" s="14">
        <f>'תבל  '!T57</f>
        <v>0</v>
      </c>
      <c r="U88" s="14">
        <f>'תבל  '!U57</f>
        <v>0</v>
      </c>
      <c r="V88" s="14">
        <f>'תבל  '!V57</f>
        <v>0</v>
      </c>
      <c r="W88" s="14">
        <f>'תבל  '!W57</f>
        <v>0</v>
      </c>
      <c r="X88" s="14">
        <f>'תבל  '!X57</f>
        <v>0</v>
      </c>
      <c r="Y88" s="14">
        <f>'תבל  '!Y57</f>
        <v>0</v>
      </c>
      <c r="Z88" s="14">
        <f>'תבל  '!Z57</f>
        <v>0</v>
      </c>
      <c r="AA88" s="101">
        <f>'תבל  '!AA57</f>
        <v>870000</v>
      </c>
      <c r="AB88" s="196"/>
      <c r="AC88" s="112"/>
      <c r="AD88" s="55"/>
      <c r="AE88" s="55"/>
      <c r="AF88" s="57"/>
      <c r="AG88" s="57"/>
      <c r="AH88" s="55"/>
    </row>
    <row r="89" spans="1:35" s="15" customFormat="1">
      <c r="A89" s="13">
        <f>A88+1</f>
        <v>68</v>
      </c>
      <c r="B89" s="13">
        <v>1966</v>
      </c>
      <c r="C89" s="13" t="s">
        <v>351</v>
      </c>
      <c r="D89" s="14">
        <f>'תבל  '!D65</f>
        <v>1700000</v>
      </c>
      <c r="E89" s="14">
        <f>'תבל  '!E65</f>
        <v>1700000</v>
      </c>
      <c r="F89" s="14">
        <f>'תבל  '!F65</f>
        <v>0</v>
      </c>
      <c r="G89" s="14">
        <f>'תבל  '!G65</f>
        <v>0</v>
      </c>
      <c r="H89" s="14">
        <f>'תבל  '!H65</f>
        <v>0</v>
      </c>
      <c r="I89" s="14">
        <f>'תבל  '!I65</f>
        <v>0</v>
      </c>
      <c r="J89" s="14">
        <f>'תבל  '!J65</f>
        <v>0</v>
      </c>
      <c r="K89" s="14">
        <f>'תבל  '!K65</f>
        <v>0</v>
      </c>
      <c r="L89" s="14">
        <f>'תבל  '!L65</f>
        <v>0</v>
      </c>
      <c r="M89" s="14">
        <f>'תבל  '!M65</f>
        <v>0</v>
      </c>
      <c r="N89" s="14">
        <f>'תבל  '!N65</f>
        <v>1700000</v>
      </c>
      <c r="O89" s="14">
        <f>'תבל  '!O65</f>
        <v>0</v>
      </c>
      <c r="P89" s="14">
        <f>'תבל  '!P65</f>
        <v>0</v>
      </c>
      <c r="Q89" s="14">
        <f>'תבל  '!Q65</f>
        <v>0</v>
      </c>
      <c r="R89" s="14">
        <f>'תבל  '!R65</f>
        <v>0</v>
      </c>
      <c r="S89" s="14">
        <f>'תבל  '!S65</f>
        <v>0</v>
      </c>
      <c r="T89" s="14">
        <f>'תבל  '!T65</f>
        <v>0</v>
      </c>
      <c r="U89" s="14">
        <f>'תבל  '!U65</f>
        <v>1700000</v>
      </c>
      <c r="V89" s="14">
        <f>'תבל  '!V65</f>
        <v>500000</v>
      </c>
      <c r="W89" s="14">
        <f>'תבל  '!W65</f>
        <v>1064000</v>
      </c>
      <c r="X89" s="14">
        <f>'תבל  '!X65</f>
        <v>0</v>
      </c>
      <c r="Y89" s="14">
        <f>'תבל  '!Y65</f>
        <v>0</v>
      </c>
      <c r="Z89" s="14">
        <f>'תבל  '!Z65</f>
        <v>136000</v>
      </c>
      <c r="AA89" s="101">
        <f>'תבל  '!AA65</f>
        <v>870000</v>
      </c>
      <c r="AB89" s="154"/>
      <c r="AC89" s="112"/>
      <c r="AD89" s="55"/>
      <c r="AE89" s="55"/>
      <c r="AF89" s="55"/>
      <c r="AG89" s="55"/>
      <c r="AH89" s="55"/>
    </row>
    <row r="90" spans="1:35" s="149" customFormat="1">
      <c r="A90" s="81"/>
      <c r="B90" s="81">
        <v>8</v>
      </c>
      <c r="C90" s="81" t="s">
        <v>1045</v>
      </c>
      <c r="D90" s="198">
        <f>SUM(D85:D89)</f>
        <v>6050000</v>
      </c>
      <c r="E90" s="198">
        <f t="shared" ref="E90:Z90" si="11">SUM(E85:E89)</f>
        <v>17960000</v>
      </c>
      <c r="F90" s="198">
        <f t="shared" si="11"/>
        <v>-11910000</v>
      </c>
      <c r="G90" s="198">
        <f t="shared" si="11"/>
        <v>3960000</v>
      </c>
      <c r="H90" s="198">
        <f t="shared" si="11"/>
        <v>1471062.57</v>
      </c>
      <c r="I90" s="198">
        <f t="shared" si="11"/>
        <v>1536167.88</v>
      </c>
      <c r="J90" s="198">
        <f t="shared" si="11"/>
        <v>272731</v>
      </c>
      <c r="K90" s="198">
        <f t="shared" si="11"/>
        <v>1808898.88</v>
      </c>
      <c r="L90" s="198">
        <f t="shared" si="11"/>
        <v>3279961.45</v>
      </c>
      <c r="M90" s="198">
        <f t="shared" si="11"/>
        <v>680038.55</v>
      </c>
      <c r="N90" s="198">
        <f t="shared" si="11"/>
        <v>2090000</v>
      </c>
      <c r="O90" s="198">
        <f t="shared" si="11"/>
        <v>0</v>
      </c>
      <c r="P90" s="198">
        <f t="shared" si="11"/>
        <v>680038.55</v>
      </c>
      <c r="Q90" s="198">
        <f t="shared" si="11"/>
        <v>0</v>
      </c>
      <c r="R90" s="198">
        <f t="shared" si="11"/>
        <v>0</v>
      </c>
      <c r="S90" s="198">
        <f t="shared" si="11"/>
        <v>0</v>
      </c>
      <c r="T90" s="198">
        <f t="shared" si="11"/>
        <v>0</v>
      </c>
      <c r="U90" s="198">
        <f t="shared" si="11"/>
        <v>2090000</v>
      </c>
      <c r="V90" s="198">
        <f t="shared" si="11"/>
        <v>500000</v>
      </c>
      <c r="W90" s="198">
        <f t="shared" si="11"/>
        <v>1454000</v>
      </c>
      <c r="X90" s="198">
        <f t="shared" si="11"/>
        <v>0</v>
      </c>
      <c r="Y90" s="198">
        <f t="shared" si="11"/>
        <v>0</v>
      </c>
      <c r="Z90" s="198">
        <f t="shared" si="11"/>
        <v>136000</v>
      </c>
      <c r="AA90" s="763"/>
      <c r="AB90" s="764"/>
      <c r="AC90" s="765"/>
      <c r="AD90" s="766"/>
      <c r="AE90" s="766"/>
      <c r="AF90" s="767"/>
      <c r="AG90" s="767"/>
      <c r="AH90" s="766"/>
    </row>
    <row r="91" spans="1:35" s="15" customFormat="1">
      <c r="A91" s="13"/>
      <c r="B91" s="13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01"/>
      <c r="AB91" s="154"/>
      <c r="AC91" s="112"/>
      <c r="AD91" s="55"/>
      <c r="AE91" s="55"/>
      <c r="AF91" s="55"/>
      <c r="AG91" s="55"/>
      <c r="AH91" s="55"/>
    </row>
    <row r="92" spans="1:35" s="15" customFormat="1">
      <c r="A92" s="13">
        <f>A89+1</f>
        <v>69</v>
      </c>
      <c r="B92" s="13">
        <v>1415</v>
      </c>
      <c r="C92" s="13" t="s">
        <v>89</v>
      </c>
      <c r="D92" s="14">
        <f>'תבל  '!D11</f>
        <v>1150000</v>
      </c>
      <c r="E92" s="14">
        <f>'תבל  '!E11</f>
        <v>1150000</v>
      </c>
      <c r="F92" s="14">
        <f>'תבל  '!F11</f>
        <v>0</v>
      </c>
      <c r="G92" s="14">
        <f>'תבל  '!G11</f>
        <v>900000</v>
      </c>
      <c r="H92" s="14">
        <f>'תבל  '!H11</f>
        <v>787794</v>
      </c>
      <c r="I92" s="14">
        <f>'תבל  '!I11</f>
        <v>0</v>
      </c>
      <c r="J92" s="14">
        <f>'תבל  '!J11</f>
        <v>41960</v>
      </c>
      <c r="K92" s="14">
        <f>'תבל  '!K11</f>
        <v>41960</v>
      </c>
      <c r="L92" s="14">
        <f>'תבל  '!L11</f>
        <v>829754</v>
      </c>
      <c r="M92" s="14">
        <f>'תבל  '!M11</f>
        <v>70246</v>
      </c>
      <c r="N92" s="14">
        <f>'תבל  '!N11</f>
        <v>100000</v>
      </c>
      <c r="O92" s="14">
        <f>'תבל  '!O11</f>
        <v>150000</v>
      </c>
      <c r="P92" s="14">
        <f>'תבל  '!P11</f>
        <v>70246</v>
      </c>
      <c r="Q92" s="14">
        <f>'תבל  '!Q11</f>
        <v>0</v>
      </c>
      <c r="R92" s="14">
        <f>'תבל  '!R11</f>
        <v>0</v>
      </c>
      <c r="S92" s="14">
        <f>'תבל  '!S11</f>
        <v>0</v>
      </c>
      <c r="T92" s="14">
        <f>'תבל  '!T11</f>
        <v>0</v>
      </c>
      <c r="U92" s="14">
        <f>'תבל  '!U11</f>
        <v>100000</v>
      </c>
      <c r="V92" s="14">
        <f>'תבל  '!V11</f>
        <v>0</v>
      </c>
      <c r="W92" s="14">
        <f>'תבל  '!W11</f>
        <v>100000</v>
      </c>
      <c r="X92" s="14">
        <f>'תבל  '!X11</f>
        <v>0</v>
      </c>
      <c r="Y92" s="14">
        <f>'תבל  '!Y11</f>
        <v>0</v>
      </c>
      <c r="Z92" s="14">
        <f>'תבל  '!Z11</f>
        <v>0</v>
      </c>
      <c r="AA92" s="101">
        <f>'תבל  '!AA11</f>
        <v>930000</v>
      </c>
      <c r="AB92" s="196"/>
      <c r="AC92" s="112"/>
      <c r="AD92" s="55"/>
      <c r="AE92" s="55"/>
      <c r="AF92" s="57"/>
      <c r="AG92" s="57"/>
      <c r="AH92" s="55"/>
    </row>
    <row r="93" spans="1:35" s="11" customFormat="1">
      <c r="A93" s="13">
        <f>A92+1</f>
        <v>70</v>
      </c>
      <c r="B93" s="13">
        <v>1416</v>
      </c>
      <c r="C93" s="13" t="s">
        <v>228</v>
      </c>
      <c r="D93" s="14">
        <f>'תבל  '!D12</f>
        <v>1700000</v>
      </c>
      <c r="E93" s="14">
        <f>'תבל  '!E12</f>
        <v>1700000</v>
      </c>
      <c r="F93" s="14">
        <f>'תבל  '!F12</f>
        <v>0</v>
      </c>
      <c r="G93" s="14">
        <f>'תבל  '!G12</f>
        <v>1250000</v>
      </c>
      <c r="H93" s="14">
        <f>'תבל  '!H12</f>
        <v>1116948.9099999999</v>
      </c>
      <c r="I93" s="14">
        <f>'תבל  '!I12</f>
        <v>0</v>
      </c>
      <c r="J93" s="14">
        <f>'תבל  '!J12</f>
        <v>20000</v>
      </c>
      <c r="K93" s="14">
        <f>'תבל  '!K12</f>
        <v>20000</v>
      </c>
      <c r="L93" s="14">
        <f>'תבל  '!L12</f>
        <v>1136948.9099999999</v>
      </c>
      <c r="M93" s="14">
        <f>'תבל  '!M12</f>
        <v>113051.09000000008</v>
      </c>
      <c r="N93" s="14">
        <f>'תבל  '!N12</f>
        <v>100000</v>
      </c>
      <c r="O93" s="14">
        <f>'תבל  '!O12</f>
        <v>350000</v>
      </c>
      <c r="P93" s="14">
        <f>'תבל  '!P12</f>
        <v>113051.09000000008</v>
      </c>
      <c r="Q93" s="14">
        <f>'תבל  '!Q12</f>
        <v>0</v>
      </c>
      <c r="R93" s="14">
        <f>'תבל  '!R12</f>
        <v>0</v>
      </c>
      <c r="S93" s="14">
        <f>'תבל  '!S12</f>
        <v>0</v>
      </c>
      <c r="T93" s="14">
        <f>'תבל  '!T12</f>
        <v>0</v>
      </c>
      <c r="U93" s="14">
        <f>'תבל  '!U12</f>
        <v>100000</v>
      </c>
      <c r="V93" s="14">
        <f>'תבל  '!V12</f>
        <v>0</v>
      </c>
      <c r="W93" s="14">
        <f>'תבל  '!W12</f>
        <v>100000</v>
      </c>
      <c r="X93" s="14">
        <f>'תבל  '!X12</f>
        <v>0</v>
      </c>
      <c r="Y93" s="14">
        <f>'תבל  '!Y12</f>
        <v>0</v>
      </c>
      <c r="Z93" s="14">
        <f>'תבל  '!Z12</f>
        <v>0</v>
      </c>
      <c r="AA93" s="101">
        <f>'תבל  '!AA12</f>
        <v>930000</v>
      </c>
      <c r="AB93" s="57"/>
      <c r="AC93" s="112"/>
      <c r="AD93" s="55"/>
      <c r="AE93" s="55"/>
      <c r="AF93" s="57"/>
      <c r="AG93" s="57"/>
      <c r="AH93" s="55"/>
      <c r="AI93" s="15"/>
    </row>
    <row r="94" spans="1:35" s="15" customFormat="1">
      <c r="A94" s="13">
        <f>A93+1</f>
        <v>71</v>
      </c>
      <c r="B94" s="13">
        <v>1478</v>
      </c>
      <c r="C94" s="13" t="s">
        <v>383</v>
      </c>
      <c r="D94" s="14">
        <f>'תבל  '!D17</f>
        <v>1800000</v>
      </c>
      <c r="E94" s="14">
        <f>'תבל  '!E17</f>
        <v>1800000</v>
      </c>
      <c r="F94" s="14">
        <f>'תבל  '!F17</f>
        <v>0</v>
      </c>
      <c r="G94" s="14">
        <f>'תבל  '!G17</f>
        <v>1800000</v>
      </c>
      <c r="H94" s="14">
        <f>'תבל  '!H17</f>
        <v>1758057.55</v>
      </c>
      <c r="I94" s="14">
        <f>'תבל  '!I17</f>
        <v>0</v>
      </c>
      <c r="J94" s="14">
        <f>'תבל  '!J17</f>
        <v>15097.45</v>
      </c>
      <c r="K94" s="14">
        <f>'תבל  '!K17</f>
        <v>15097.45</v>
      </c>
      <c r="L94" s="14">
        <f>'תבל  '!L17</f>
        <v>1773155</v>
      </c>
      <c r="M94" s="14">
        <f>'תבל  '!M17</f>
        <v>26845</v>
      </c>
      <c r="N94" s="14">
        <f>'תבל  '!N17</f>
        <v>0</v>
      </c>
      <c r="O94" s="14">
        <f>'תבל  '!O17</f>
        <v>0</v>
      </c>
      <c r="P94" s="14">
        <f>'תבל  '!P17</f>
        <v>26845</v>
      </c>
      <c r="Q94" s="14">
        <f>'תבל  '!Q17</f>
        <v>0</v>
      </c>
      <c r="R94" s="14">
        <f>'תבל  '!R17</f>
        <v>0</v>
      </c>
      <c r="S94" s="14">
        <f>'תבל  '!S17</f>
        <v>0</v>
      </c>
      <c r="T94" s="14">
        <f>'תבל  '!T17</f>
        <v>0</v>
      </c>
      <c r="U94" s="14">
        <f>'תבל  '!U17</f>
        <v>0</v>
      </c>
      <c r="V94" s="14">
        <f>'תבל  '!V17</f>
        <v>0</v>
      </c>
      <c r="W94" s="14">
        <f>'תבל  '!W17</f>
        <v>0</v>
      </c>
      <c r="X94" s="14">
        <f>'תבל  '!X17</f>
        <v>0</v>
      </c>
      <c r="Y94" s="14">
        <f>'תבל  '!Y17</f>
        <v>0</v>
      </c>
      <c r="Z94" s="14">
        <f>'תבל  '!Z17</f>
        <v>0</v>
      </c>
      <c r="AA94" s="101">
        <f>'תבל  '!AA17</f>
        <v>930000</v>
      </c>
      <c r="AB94" s="196"/>
      <c r="AC94" s="112"/>
      <c r="AD94" s="55"/>
      <c r="AE94" s="55"/>
      <c r="AF94" s="57"/>
      <c r="AG94" s="57"/>
      <c r="AH94" s="55"/>
    </row>
    <row r="95" spans="1:35" s="149" customFormat="1">
      <c r="A95" s="81"/>
      <c r="B95" s="81">
        <v>11</v>
      </c>
      <c r="C95" s="81" t="s">
        <v>1046</v>
      </c>
      <c r="D95" s="198">
        <f>SUM(D92:D94)</f>
        <v>4650000</v>
      </c>
      <c r="E95" s="198">
        <f t="shared" ref="E95:Z95" si="12">SUM(E92:E94)</f>
        <v>4650000</v>
      </c>
      <c r="F95" s="198">
        <f t="shared" si="12"/>
        <v>0</v>
      </c>
      <c r="G95" s="198">
        <f t="shared" si="12"/>
        <v>3950000</v>
      </c>
      <c r="H95" s="198">
        <f t="shared" si="12"/>
        <v>3662800.46</v>
      </c>
      <c r="I95" s="198">
        <f t="shared" si="12"/>
        <v>0</v>
      </c>
      <c r="J95" s="198">
        <f t="shared" si="12"/>
        <v>77057.45</v>
      </c>
      <c r="K95" s="198">
        <f t="shared" si="12"/>
        <v>77057.45</v>
      </c>
      <c r="L95" s="198">
        <f t="shared" si="12"/>
        <v>3739857.91</v>
      </c>
      <c r="M95" s="198">
        <f t="shared" si="12"/>
        <v>210142.09000000008</v>
      </c>
      <c r="N95" s="198">
        <f t="shared" si="12"/>
        <v>200000</v>
      </c>
      <c r="O95" s="198">
        <f t="shared" si="12"/>
        <v>500000</v>
      </c>
      <c r="P95" s="198">
        <f t="shared" si="12"/>
        <v>210142.09000000008</v>
      </c>
      <c r="Q95" s="198">
        <f t="shared" si="12"/>
        <v>0</v>
      </c>
      <c r="R95" s="198">
        <f t="shared" si="12"/>
        <v>0</v>
      </c>
      <c r="S95" s="198">
        <f t="shared" si="12"/>
        <v>0</v>
      </c>
      <c r="T95" s="198">
        <f t="shared" si="12"/>
        <v>0</v>
      </c>
      <c r="U95" s="198">
        <f t="shared" si="12"/>
        <v>200000</v>
      </c>
      <c r="V95" s="198">
        <f t="shared" si="12"/>
        <v>0</v>
      </c>
      <c r="W95" s="198">
        <f t="shared" si="12"/>
        <v>200000</v>
      </c>
      <c r="X95" s="198">
        <f t="shared" si="12"/>
        <v>0</v>
      </c>
      <c r="Y95" s="198">
        <f t="shared" si="12"/>
        <v>0</v>
      </c>
      <c r="Z95" s="198">
        <f t="shared" si="12"/>
        <v>0</v>
      </c>
      <c r="AA95" s="763"/>
      <c r="AB95" s="764"/>
      <c r="AC95" s="765"/>
      <c r="AD95" s="766"/>
      <c r="AE95" s="766"/>
      <c r="AF95" s="767"/>
      <c r="AG95" s="767"/>
      <c r="AH95" s="766"/>
    </row>
    <row r="96" spans="1:35" s="15" customFormat="1">
      <c r="A96" s="13"/>
      <c r="B96" s="13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01"/>
      <c r="AB96" s="196"/>
      <c r="AC96" s="112"/>
      <c r="AD96" s="55"/>
      <c r="AE96" s="55"/>
      <c r="AF96" s="57"/>
      <c r="AG96" s="57"/>
      <c r="AH96" s="55"/>
    </row>
    <row r="97" spans="1:35" s="99" customFormat="1" ht="15.75">
      <c r="A97" s="85">
        <f>A94</f>
        <v>71</v>
      </c>
      <c r="B97" s="85"/>
      <c r="C97" s="85" t="s">
        <v>106</v>
      </c>
      <c r="D97" s="27">
        <f>D95+D90+D83+D75+D69+D63+D22+D10+D7+D72</f>
        <v>633904945</v>
      </c>
      <c r="E97" s="27">
        <f t="shared" ref="E97:Z97" si="13">E95+E90+E83+E75+E69+E63+E22+E10+E7+E72</f>
        <v>603734945</v>
      </c>
      <c r="F97" s="27">
        <f t="shared" si="13"/>
        <v>30170000</v>
      </c>
      <c r="G97" s="27">
        <f t="shared" si="13"/>
        <v>462598645</v>
      </c>
      <c r="H97" s="27">
        <f t="shared" si="13"/>
        <v>388788159.41000003</v>
      </c>
      <c r="I97" s="27">
        <f t="shared" si="13"/>
        <v>26316156.420000006</v>
      </c>
      <c r="J97" s="27">
        <f t="shared" si="13"/>
        <v>24144939.900000002</v>
      </c>
      <c r="K97" s="27">
        <f t="shared" si="13"/>
        <v>50461096.32</v>
      </c>
      <c r="L97" s="27">
        <f t="shared" si="13"/>
        <v>439249255.72999996</v>
      </c>
      <c r="M97" s="27">
        <f t="shared" si="13"/>
        <v>17030689.269999973</v>
      </c>
      <c r="N97" s="27">
        <f t="shared" si="13"/>
        <v>56791300</v>
      </c>
      <c r="O97" s="27">
        <f t="shared" si="13"/>
        <v>120833700</v>
      </c>
      <c r="P97" s="27">
        <f t="shared" si="13"/>
        <v>23349389.269999973</v>
      </c>
      <c r="Q97" s="27">
        <f t="shared" si="13"/>
        <v>930000</v>
      </c>
      <c r="R97" s="27">
        <f t="shared" si="13"/>
        <v>0</v>
      </c>
      <c r="S97" s="27">
        <f t="shared" si="13"/>
        <v>930000</v>
      </c>
      <c r="T97" s="27">
        <f t="shared" si="13"/>
        <v>7248700</v>
      </c>
      <c r="U97" s="27">
        <f t="shared" si="13"/>
        <v>49542600</v>
      </c>
      <c r="V97" s="27">
        <f t="shared" si="13"/>
        <v>25611300</v>
      </c>
      <c r="W97" s="27">
        <f t="shared" si="13"/>
        <v>12054000</v>
      </c>
      <c r="X97" s="27">
        <f t="shared" si="13"/>
        <v>0</v>
      </c>
      <c r="Y97" s="27">
        <f t="shared" si="13"/>
        <v>0</v>
      </c>
      <c r="Z97" s="27">
        <f t="shared" si="13"/>
        <v>11877300</v>
      </c>
      <c r="AA97" s="98"/>
      <c r="AB97" s="685">
        <f>SUM(AB6:AB87)</f>
        <v>0</v>
      </c>
      <c r="AC97" s="686"/>
      <c r="AD97" s="63"/>
      <c r="AE97" s="63"/>
      <c r="AF97" s="62"/>
      <c r="AG97" s="62"/>
      <c r="AH97" s="62"/>
      <c r="AI97" s="687"/>
    </row>
    <row r="98" spans="1:35" s="16" customFormat="1">
      <c r="A98" s="19"/>
      <c r="B98" s="19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4"/>
      <c r="AB98" s="199"/>
      <c r="AE98" s="58"/>
      <c r="AF98" s="58"/>
      <c r="AG98" s="58"/>
      <c r="AH98" s="58"/>
      <c r="AI98" s="54"/>
    </row>
    <row r="99" spans="1:35" s="57" customFormat="1" ht="15.75">
      <c r="B99" s="37"/>
      <c r="C99" s="106"/>
      <c r="D99" s="52"/>
      <c r="E99" s="52"/>
      <c r="F99" s="52"/>
      <c r="G99" s="52"/>
      <c r="H99" s="52"/>
      <c r="I99" s="52"/>
      <c r="J99" s="52"/>
      <c r="K99" s="52"/>
      <c r="L99" s="201"/>
      <c r="Q99" s="52"/>
      <c r="R99" s="52"/>
      <c r="S99" s="52"/>
      <c r="T99" s="52"/>
      <c r="U99" s="62"/>
      <c r="V99" s="89"/>
      <c r="W99" s="89"/>
      <c r="X99" s="89"/>
      <c r="Y99" s="89"/>
      <c r="Z99" s="89"/>
      <c r="AA99" s="37"/>
      <c r="AB99" s="89"/>
    </row>
    <row r="100" spans="1:35" s="57" customFormat="1">
      <c r="B100" s="37"/>
      <c r="C100" s="37"/>
      <c r="D100" s="52"/>
      <c r="E100" s="52"/>
      <c r="F100" s="52"/>
      <c r="G100" s="52"/>
      <c r="H100" s="52"/>
      <c r="I100" s="52"/>
      <c r="J100" s="52"/>
      <c r="K100" s="52"/>
      <c r="L100" s="52"/>
      <c r="P100" s="52"/>
      <c r="Q100" s="52"/>
      <c r="R100" s="52"/>
      <c r="S100" s="52"/>
      <c r="T100" s="52"/>
      <c r="V100" s="37"/>
      <c r="W100" s="37"/>
      <c r="X100" s="37"/>
      <c r="Y100" s="37"/>
      <c r="Z100" s="37"/>
      <c r="AA100" s="37"/>
      <c r="AB100" s="37"/>
    </row>
    <row r="101" spans="1:35">
      <c r="N101" s="52"/>
      <c r="O101" s="52"/>
      <c r="P101" s="52"/>
      <c r="Q101" s="52"/>
      <c r="R101" s="52"/>
      <c r="S101" s="52"/>
      <c r="T101" s="52"/>
      <c r="U101" s="37"/>
    </row>
    <row r="102" spans="1:35">
      <c r="O102" s="29"/>
      <c r="P102" s="29"/>
      <c r="Q102" s="29"/>
      <c r="R102" s="29"/>
      <c r="S102" s="29"/>
      <c r="T102" s="29"/>
    </row>
    <row r="103" spans="1:35">
      <c r="O103" s="29"/>
      <c r="P103" s="29"/>
      <c r="Q103" s="29"/>
      <c r="R103" s="29"/>
      <c r="S103" s="29"/>
      <c r="T103" s="29"/>
    </row>
    <row r="104" spans="1:35">
      <c r="N104" s="52"/>
      <c r="O104" s="29"/>
      <c r="P104" s="29"/>
      <c r="Q104" s="29"/>
      <c r="R104" s="29"/>
      <c r="S104" s="29"/>
      <c r="T104" s="29"/>
    </row>
    <row r="105" spans="1:35">
      <c r="O105" s="29"/>
      <c r="P105" s="29"/>
      <c r="Q105" s="29"/>
      <c r="R105" s="29"/>
      <c r="S105" s="29"/>
      <c r="T105" s="29"/>
    </row>
    <row r="106" spans="1:35" s="31" customFormat="1">
      <c r="A106" s="66"/>
      <c r="B106" s="29"/>
      <c r="C106" s="29"/>
      <c r="N106" s="52"/>
      <c r="O106" s="52"/>
      <c r="P106" s="52"/>
      <c r="Q106" s="52"/>
      <c r="R106" s="52"/>
      <c r="S106" s="52"/>
      <c r="T106" s="52"/>
      <c r="U106" s="37"/>
      <c r="V106" s="29"/>
      <c r="W106" s="29"/>
      <c r="X106" s="29"/>
      <c r="Y106" s="29"/>
      <c r="Z106" s="29"/>
      <c r="AA106" s="29"/>
      <c r="AB106" s="29"/>
      <c r="AC106" s="37"/>
      <c r="AD106" s="37"/>
      <c r="AE106" s="37"/>
      <c r="AF106" s="52"/>
      <c r="AG106" s="52"/>
      <c r="AH106" s="52"/>
    </row>
    <row r="107" spans="1:35">
      <c r="N107" s="52"/>
      <c r="P107" s="52"/>
      <c r="Q107" s="52"/>
      <c r="R107" s="52"/>
      <c r="S107" s="52"/>
      <c r="T107" s="52"/>
      <c r="U107" s="37"/>
    </row>
    <row r="108" spans="1:35">
      <c r="N108" s="52"/>
      <c r="O108" s="52"/>
      <c r="P108" s="52"/>
      <c r="Q108" s="52"/>
      <c r="R108" s="52"/>
      <c r="S108" s="52"/>
      <c r="T108" s="52"/>
      <c r="U108" s="37"/>
    </row>
    <row r="109" spans="1:35">
      <c r="N109" s="52"/>
      <c r="O109" s="52"/>
      <c r="P109" s="52"/>
      <c r="Q109" s="52"/>
      <c r="R109" s="52"/>
      <c r="S109" s="52"/>
      <c r="T109" s="52"/>
      <c r="U109" s="37"/>
    </row>
    <row r="110" spans="1:35">
      <c r="N110" s="52"/>
      <c r="O110" s="52"/>
      <c r="P110" s="52"/>
      <c r="Q110" s="52"/>
      <c r="R110" s="52"/>
      <c r="S110" s="52"/>
      <c r="T110" s="52"/>
      <c r="U110" s="37"/>
    </row>
    <row r="111" spans="1:35">
      <c r="N111" s="52"/>
      <c r="O111" s="52"/>
      <c r="P111" s="52"/>
      <c r="Q111" s="52"/>
      <c r="R111" s="52"/>
      <c r="S111" s="52"/>
      <c r="T111" s="52"/>
      <c r="U111" s="37"/>
    </row>
    <row r="112" spans="1:35">
      <c r="N112" s="52"/>
      <c r="O112" s="52"/>
      <c r="P112" s="52"/>
      <c r="Q112" s="52"/>
      <c r="R112" s="52"/>
      <c r="S112" s="52"/>
      <c r="T112" s="52"/>
      <c r="U112" s="37"/>
    </row>
    <row r="113" spans="14:35">
      <c r="N113" s="52"/>
      <c r="O113" s="52"/>
      <c r="P113" s="52"/>
      <c r="Q113" s="52"/>
      <c r="R113" s="52"/>
      <c r="S113" s="52"/>
      <c r="T113" s="52"/>
      <c r="U113" s="37"/>
    </row>
    <row r="115" spans="14:35">
      <c r="S115" s="82"/>
    </row>
    <row r="116" spans="14:35">
      <c r="S116" s="82"/>
    </row>
    <row r="117" spans="14:35">
      <c r="S117" s="82"/>
    </row>
    <row r="118" spans="14:35">
      <c r="S118" s="82"/>
      <c r="AH118" s="52"/>
      <c r="AI118" s="29" t="s">
        <v>411</v>
      </c>
    </row>
    <row r="119" spans="14:35">
      <c r="S119" s="82"/>
    </row>
    <row r="121" spans="14:35">
      <c r="S121" s="82"/>
    </row>
    <row r="122" spans="14:35">
      <c r="AH122" s="52"/>
      <c r="AI122" s="29" t="s">
        <v>411</v>
      </c>
    </row>
    <row r="123" spans="14:35">
      <c r="T123" s="29"/>
      <c r="U123" s="31"/>
    </row>
    <row r="124" spans="14:35">
      <c r="U124" s="31"/>
    </row>
  </sheetData>
  <sheetProtection formatCells="0" formatColumns="0" formatRows="0" insertColumns="0" insertRows="0" insertHyperlinks="0" deleteColumns="0" deleteRows="0" sort="0" autoFilter="0" pivotTables="0"/>
  <sortState ref="A75:AI80">
    <sortCondition ref="B75:B80"/>
  </sortState>
  <conditionalFormatting sqref="A2">
    <cfRule type="cellIs" dxfId="35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0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E3" s="710"/>
    </row>
    <row r="4" spans="1:17" ht="20.25">
      <c r="A4" s="708"/>
      <c r="C4" s="710" t="s">
        <v>998</v>
      </c>
      <c r="D4" s="708"/>
      <c r="E4" s="708"/>
      <c r="F4" s="708"/>
      <c r="G4" s="708"/>
      <c r="H4" s="708"/>
      <c r="I4" s="708"/>
      <c r="J4" s="708"/>
      <c r="K4" s="708"/>
      <c r="L4" s="708"/>
    </row>
    <row r="5" spans="1:17" ht="21" thickBot="1">
      <c r="A5" s="708"/>
      <c r="C5" s="710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B6" s="711" t="s">
        <v>455</v>
      </c>
      <c r="C6" s="708" t="s">
        <v>997</v>
      </c>
      <c r="D6" s="708"/>
      <c r="E6" s="708"/>
      <c r="F6" s="712">
        <f>'ביטחון פיקוח וסדר ציבורי'!U11</f>
        <v>900000</v>
      </c>
      <c r="I6" s="708"/>
      <c r="J6" s="708"/>
      <c r="K6" s="708"/>
      <c r="L6" s="708"/>
    </row>
    <row r="7" spans="1:17" ht="21" thickBot="1">
      <c r="A7" s="708"/>
      <c r="C7" s="710"/>
      <c r="D7" s="708"/>
      <c r="E7" s="708"/>
      <c r="F7" s="708"/>
      <c r="H7" s="708"/>
      <c r="I7" s="708"/>
      <c r="J7" s="708"/>
      <c r="K7" s="708"/>
      <c r="L7" s="708"/>
    </row>
    <row r="8" spans="1:17" ht="16.5" thickBot="1">
      <c r="B8" s="711" t="s">
        <v>455</v>
      </c>
      <c r="C8" s="708" t="s">
        <v>999</v>
      </c>
      <c r="D8" s="708"/>
      <c r="F8" s="736">
        <f>'ביטחון פיקוח וסדר ציבורי'!A11</f>
        <v>5</v>
      </c>
      <c r="I8" s="708"/>
      <c r="J8" s="708"/>
      <c r="K8" s="708"/>
      <c r="L8" s="708"/>
      <c r="M8" s="708"/>
      <c r="N8" s="708"/>
      <c r="O8" s="708"/>
      <c r="P8" s="708"/>
      <c r="Q8" s="708"/>
    </row>
    <row r="9" spans="1:17" ht="15.75">
      <c r="B9" s="711"/>
      <c r="C9" s="708"/>
      <c r="D9" s="708"/>
      <c r="E9" s="708"/>
      <c r="F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 t="s">
        <v>455</v>
      </c>
      <c r="C10" s="708" t="s">
        <v>972</v>
      </c>
      <c r="D10" s="708"/>
      <c r="E10" s="708"/>
      <c r="F10" s="708"/>
      <c r="G10" s="708"/>
      <c r="H10" s="708"/>
      <c r="I10" s="708"/>
      <c r="J10" s="708"/>
      <c r="K10" s="708"/>
      <c r="L10" s="708"/>
    </row>
    <row r="11" spans="1:17" ht="16.5" thickBot="1">
      <c r="B11" s="708"/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D12" s="737" t="s">
        <v>973</v>
      </c>
      <c r="E12" s="738" t="s">
        <v>974</v>
      </c>
      <c r="F12" s="739" t="s">
        <v>987</v>
      </c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C13" s="711"/>
      <c r="D13" s="715" t="s">
        <v>14</v>
      </c>
      <c r="E13" s="753">
        <f>'ביטחון פיקוח וסדר ציבורי'!W11</f>
        <v>900000</v>
      </c>
      <c r="F13" s="741">
        <f>E13/E14</f>
        <v>1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6.5" thickBot="1">
      <c r="C14" s="711"/>
      <c r="D14" s="718" t="s">
        <v>208</v>
      </c>
      <c r="E14" s="754">
        <f>SUM(E13)</f>
        <v>900000</v>
      </c>
      <c r="F14" s="326">
        <f>SUM(F13)</f>
        <v>1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B15" s="711"/>
      <c r="C15" s="708"/>
      <c r="D15" s="708"/>
      <c r="E15" s="708"/>
      <c r="F15" s="708"/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/>
      <c r="C16" s="708"/>
      <c r="D16" s="708"/>
      <c r="F16" s="708"/>
      <c r="H16" s="717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B17" s="711"/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B18" s="711" t="s">
        <v>455</v>
      </c>
      <c r="C18" s="708" t="s">
        <v>1080</v>
      </c>
      <c r="D18" s="708"/>
      <c r="F18" s="708"/>
      <c r="H18" s="717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B19" s="711"/>
      <c r="C19" s="708"/>
      <c r="D19" s="708"/>
      <c r="F19" s="708"/>
      <c r="H19" s="717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B20" s="711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24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3.85546875" style="29" customWidth="1"/>
    <col min="4" max="4" width="11.28515625" style="31" customWidth="1"/>
    <col min="5" max="5" width="11" style="31" customWidth="1"/>
    <col min="6" max="6" width="9" style="31" customWidth="1"/>
    <col min="7" max="10" width="12.7109375" style="31" hidden="1" customWidth="1"/>
    <col min="11" max="11" width="11.28515625" style="31" hidden="1" customWidth="1"/>
    <col min="12" max="12" width="8.5703125" style="31" customWidth="1"/>
    <col min="13" max="13" width="11.140625" style="31" bestFit="1" customWidth="1"/>
    <col min="14" max="14" width="9.85546875" style="31" customWidth="1"/>
    <col min="15" max="15" width="9.42578125" style="31" customWidth="1"/>
    <col min="16" max="17" width="11.140625" style="31" hidden="1" customWidth="1"/>
    <col min="18" max="19" width="12" style="31" hidden="1" customWidth="1"/>
    <col min="20" max="20" width="9.85546875" style="31" hidden="1" customWidth="1"/>
    <col min="21" max="21" width="11.42578125" style="29" customWidth="1"/>
    <col min="22" max="22" width="6.85546875" style="29" hidden="1" customWidth="1"/>
    <col min="23" max="23" width="11.85546875" style="29" customWidth="1"/>
    <col min="24" max="25" width="7.140625" style="29" hidden="1" customWidth="1"/>
    <col min="26" max="26" width="6" style="29" hidden="1" customWidth="1"/>
    <col min="27" max="27" width="10.28515625" style="29" hidden="1" customWidth="1"/>
    <col min="28" max="28" width="63" style="29" customWidth="1"/>
    <col min="29" max="29" width="10.28515625" style="29" customWidth="1"/>
    <col min="30" max="16384" width="9.140625" style="29"/>
  </cols>
  <sheetData>
    <row r="2" spans="1:34" ht="18.75">
      <c r="A2" s="194" t="s">
        <v>308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4" spans="1:34" s="60" customFormat="1" ht="75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37"/>
      <c r="AC4" s="37"/>
      <c r="AD4" s="37"/>
      <c r="AE4" s="37"/>
      <c r="AF4" s="37"/>
      <c r="AG4" s="37"/>
      <c r="AH4" s="37"/>
    </row>
    <row r="5" spans="1:34" s="15" customFormat="1" ht="18" customHeigh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101"/>
      <c r="AB5" s="37"/>
      <c r="AC5" s="37"/>
      <c r="AD5" s="37"/>
      <c r="AE5" s="37"/>
      <c r="AF5" s="37"/>
      <c r="AG5" s="37"/>
      <c r="AH5" s="37"/>
    </row>
    <row r="6" spans="1:34" s="15" customFormat="1">
      <c r="A6" s="13">
        <v>1</v>
      </c>
      <c r="B6" s="13">
        <v>1621</v>
      </c>
      <c r="C6" s="13" t="s">
        <v>101</v>
      </c>
      <c r="D6" s="14">
        <v>1950000</v>
      </c>
      <c r="E6" s="14">
        <v>1950000</v>
      </c>
      <c r="F6" s="14">
        <f>D6-E6</f>
        <v>0</v>
      </c>
      <c r="G6" s="14">
        <v>1300000</v>
      </c>
      <c r="H6" s="14">
        <v>297909.8</v>
      </c>
      <c r="I6" s="14"/>
      <c r="J6" s="14">
        <v>15795</v>
      </c>
      <c r="K6" s="14">
        <f>SUM(I6:J6)</f>
        <v>15795</v>
      </c>
      <c r="L6" s="14">
        <f>H6+K6</f>
        <v>313704.8</v>
      </c>
      <c r="M6" s="14">
        <f>P6+S6</f>
        <v>986295.2</v>
      </c>
      <c r="N6" s="14">
        <v>500000</v>
      </c>
      <c r="O6" s="14">
        <f>D6-L6-M6-N6</f>
        <v>150000</v>
      </c>
      <c r="P6" s="14">
        <f>G6-L6</f>
        <v>986295.2</v>
      </c>
      <c r="Q6" s="14"/>
      <c r="R6" s="14"/>
      <c r="S6" s="14">
        <f>SUM(Q6:R6)</f>
        <v>0</v>
      </c>
      <c r="T6" s="14">
        <f>P6-M6+S6</f>
        <v>0</v>
      </c>
      <c r="U6" s="14">
        <f>N6</f>
        <v>500000</v>
      </c>
      <c r="V6" s="14"/>
      <c r="W6" s="14">
        <f>U6-V6-Y6-Z6</f>
        <v>500000</v>
      </c>
      <c r="X6" s="14"/>
      <c r="Y6" s="14"/>
      <c r="Z6" s="13"/>
      <c r="AA6" s="101">
        <v>723000</v>
      </c>
      <c r="AB6" s="37"/>
      <c r="AC6" s="37"/>
      <c r="AD6" s="37"/>
      <c r="AE6" s="37"/>
      <c r="AF6" s="37"/>
      <c r="AG6" s="37"/>
      <c r="AH6" s="37"/>
    </row>
    <row r="7" spans="1:34" s="15" customFormat="1">
      <c r="A7" s="13">
        <f>A6+1</f>
        <v>2</v>
      </c>
      <c r="B7" s="13">
        <v>1858</v>
      </c>
      <c r="C7" s="13" t="s">
        <v>307</v>
      </c>
      <c r="D7" s="14">
        <v>75000</v>
      </c>
      <c r="E7" s="14">
        <v>75000</v>
      </c>
      <c r="F7" s="14">
        <f>D7-E7</f>
        <v>0</v>
      </c>
      <c r="G7" s="14">
        <v>75000</v>
      </c>
      <c r="H7" s="14">
        <v>0</v>
      </c>
      <c r="I7" s="14"/>
      <c r="J7" s="14">
        <v>29835</v>
      </c>
      <c r="K7" s="14">
        <f>SUM(I7:J7)</f>
        <v>29835</v>
      </c>
      <c r="L7" s="14">
        <f>H7+K7</f>
        <v>29835</v>
      </c>
      <c r="M7" s="14">
        <f>P7+S7</f>
        <v>45165</v>
      </c>
      <c r="N7" s="14"/>
      <c r="O7" s="14">
        <f>D7-L7-M7-N7</f>
        <v>0</v>
      </c>
      <c r="P7" s="14">
        <f>G7-L7</f>
        <v>45165</v>
      </c>
      <c r="Q7" s="14"/>
      <c r="R7" s="14"/>
      <c r="S7" s="14">
        <f>SUM(Q7:R7)</f>
        <v>0</v>
      </c>
      <c r="T7" s="14">
        <f>P7-M7+S7</f>
        <v>0</v>
      </c>
      <c r="U7" s="14">
        <f>N7</f>
        <v>0</v>
      </c>
      <c r="V7" s="14"/>
      <c r="W7" s="14">
        <f>U7-V7-Y7-Z7</f>
        <v>0</v>
      </c>
      <c r="X7" s="14"/>
      <c r="Y7" s="14"/>
      <c r="Z7" s="13"/>
      <c r="AA7" s="101">
        <v>720000</v>
      </c>
      <c r="AB7" s="37"/>
      <c r="AC7" s="37"/>
      <c r="AD7" s="37"/>
      <c r="AE7" s="37"/>
      <c r="AF7" s="37"/>
      <c r="AG7" s="37"/>
      <c r="AH7" s="37"/>
    </row>
    <row r="8" spans="1:34" s="15" customFormat="1" ht="15.75">
      <c r="A8" s="13">
        <f>A7+1</f>
        <v>3</v>
      </c>
      <c r="B8" s="13">
        <v>1948</v>
      </c>
      <c r="C8" s="202" t="s">
        <v>436</v>
      </c>
      <c r="D8" s="14">
        <v>150000</v>
      </c>
      <c r="E8" s="14">
        <v>150000</v>
      </c>
      <c r="F8" s="14">
        <f>D8-E8</f>
        <v>0</v>
      </c>
      <c r="G8" s="14">
        <v>150000</v>
      </c>
      <c r="H8" s="14">
        <v>127413</v>
      </c>
      <c r="I8" s="14"/>
      <c r="J8" s="14">
        <v>22581</v>
      </c>
      <c r="K8" s="14">
        <f>SUM(I8:J8)</f>
        <v>22581</v>
      </c>
      <c r="L8" s="14">
        <f>H8+K8</f>
        <v>149994</v>
      </c>
      <c r="M8" s="14">
        <f>P8+S8</f>
        <v>6</v>
      </c>
      <c r="N8" s="14"/>
      <c r="O8" s="14">
        <f>D8-L8-M8-N8</f>
        <v>0</v>
      </c>
      <c r="P8" s="14">
        <f>G8-L8</f>
        <v>6</v>
      </c>
      <c r="Q8" s="14"/>
      <c r="R8" s="14"/>
      <c r="S8" s="14">
        <f>SUM(Q8:R8)</f>
        <v>0</v>
      </c>
      <c r="T8" s="14">
        <f>P8-M8+S8</f>
        <v>0</v>
      </c>
      <c r="U8" s="14">
        <f>N8</f>
        <v>0</v>
      </c>
      <c r="V8" s="14"/>
      <c r="W8" s="14">
        <f>U8-V8-Y8-Z8</f>
        <v>0</v>
      </c>
      <c r="X8" s="14"/>
      <c r="Y8" s="14"/>
      <c r="Z8" s="13"/>
      <c r="AA8" s="101">
        <v>720000</v>
      </c>
      <c r="AB8" s="37"/>
      <c r="AC8" s="37"/>
      <c r="AD8" s="37"/>
      <c r="AE8" s="37"/>
      <c r="AF8" s="37"/>
      <c r="AG8" s="37"/>
      <c r="AH8" s="37"/>
    </row>
    <row r="9" spans="1:34" s="15" customFormat="1" ht="15.75">
      <c r="A9" s="13">
        <f>A8+1</f>
        <v>4</v>
      </c>
      <c r="B9" s="13">
        <v>2005</v>
      </c>
      <c r="C9" s="202" t="s">
        <v>437</v>
      </c>
      <c r="D9" s="14">
        <v>200000</v>
      </c>
      <c r="E9" s="14">
        <v>100000</v>
      </c>
      <c r="F9" s="14">
        <f>D9-E9</f>
        <v>100000</v>
      </c>
      <c r="G9" s="14">
        <v>100000</v>
      </c>
      <c r="H9" s="14">
        <v>0</v>
      </c>
      <c r="I9" s="14"/>
      <c r="J9" s="14"/>
      <c r="K9" s="14">
        <f>SUM(I9:J9)</f>
        <v>0</v>
      </c>
      <c r="L9" s="14">
        <f>H9+K9</f>
        <v>0</v>
      </c>
      <c r="M9" s="14">
        <f>P9+S9</f>
        <v>100000</v>
      </c>
      <c r="N9" s="14">
        <v>100000</v>
      </c>
      <c r="O9" s="14">
        <f>D9-L9-M9-N9</f>
        <v>0</v>
      </c>
      <c r="P9" s="14">
        <f>G9-L9</f>
        <v>100000</v>
      </c>
      <c r="Q9" s="14"/>
      <c r="R9" s="14"/>
      <c r="S9" s="14">
        <f>SUM(Q9:R9)</f>
        <v>0</v>
      </c>
      <c r="T9" s="14">
        <f>P9-M9+S9</f>
        <v>0</v>
      </c>
      <c r="U9" s="14">
        <f>N9</f>
        <v>100000</v>
      </c>
      <c r="V9" s="14"/>
      <c r="W9" s="14">
        <f>U9-V9-Y9-Z9</f>
        <v>100000</v>
      </c>
      <c r="X9" s="14"/>
      <c r="Y9" s="14"/>
      <c r="Z9" s="13"/>
      <c r="AA9" s="101">
        <v>720000</v>
      </c>
      <c r="AB9" s="37"/>
      <c r="AC9" s="37"/>
      <c r="AD9" s="37"/>
      <c r="AE9" s="37"/>
      <c r="AF9" s="37"/>
      <c r="AG9" s="37"/>
      <c r="AH9" s="37"/>
    </row>
    <row r="10" spans="1:34" s="15" customFormat="1" ht="15.75">
      <c r="A10" s="13">
        <f>A9+1</f>
        <v>5</v>
      </c>
      <c r="B10" s="13">
        <v>2032</v>
      </c>
      <c r="C10" s="202" t="s">
        <v>474</v>
      </c>
      <c r="D10" s="14">
        <v>600000</v>
      </c>
      <c r="E10" s="200"/>
      <c r="F10" s="14">
        <f>D10-E10</f>
        <v>600000</v>
      </c>
      <c r="G10" s="200"/>
      <c r="H10" s="200"/>
      <c r="I10" s="200"/>
      <c r="J10" s="200"/>
      <c r="K10" s="200"/>
      <c r="L10" s="200"/>
      <c r="M10" s="200"/>
      <c r="N10" s="14">
        <f>600000-300000</f>
        <v>300000</v>
      </c>
      <c r="O10" s="14">
        <f>D10-L10-M10-N10</f>
        <v>300000</v>
      </c>
      <c r="P10" s="14"/>
      <c r="Q10" s="14"/>
      <c r="R10" s="14"/>
      <c r="S10" s="14"/>
      <c r="T10" s="14"/>
      <c r="U10" s="14">
        <f>N10</f>
        <v>300000</v>
      </c>
      <c r="V10" s="14"/>
      <c r="W10" s="14">
        <f>U10-V10-Y10-Z10</f>
        <v>300000</v>
      </c>
      <c r="X10" s="14"/>
      <c r="Y10" s="14"/>
      <c r="Z10" s="13"/>
      <c r="AA10" s="101">
        <v>720000</v>
      </c>
      <c r="AB10" s="37"/>
      <c r="AC10" s="37"/>
      <c r="AD10" s="37"/>
      <c r="AE10" s="37"/>
      <c r="AF10" s="37"/>
      <c r="AG10" s="37"/>
      <c r="AH10" s="37"/>
    </row>
    <row r="11" spans="1:34" s="99" customFormat="1" ht="15.75">
      <c r="A11" s="85">
        <f>A10</f>
        <v>5</v>
      </c>
      <c r="B11" s="85"/>
      <c r="C11" s="85" t="s">
        <v>968</v>
      </c>
      <c r="D11" s="27">
        <f t="shared" ref="D11:Z11" si="0">SUM(D6:D10)</f>
        <v>2975000</v>
      </c>
      <c r="E11" s="27">
        <f t="shared" si="0"/>
        <v>2275000</v>
      </c>
      <c r="F11" s="27">
        <f t="shared" si="0"/>
        <v>700000</v>
      </c>
      <c r="G11" s="27">
        <f t="shared" si="0"/>
        <v>1625000</v>
      </c>
      <c r="H11" s="27">
        <f t="shared" si="0"/>
        <v>425322.8</v>
      </c>
      <c r="I11" s="27">
        <f t="shared" si="0"/>
        <v>0</v>
      </c>
      <c r="J11" s="27">
        <f t="shared" si="0"/>
        <v>68211</v>
      </c>
      <c r="K11" s="27">
        <f t="shared" si="0"/>
        <v>68211</v>
      </c>
      <c r="L11" s="27">
        <f t="shared" si="0"/>
        <v>493533.8</v>
      </c>
      <c r="M11" s="27">
        <f t="shared" si="0"/>
        <v>1131466.2</v>
      </c>
      <c r="N11" s="27">
        <f t="shared" si="0"/>
        <v>900000</v>
      </c>
      <c r="O11" s="27">
        <f t="shared" si="0"/>
        <v>450000</v>
      </c>
      <c r="P11" s="27">
        <f t="shared" si="0"/>
        <v>1131466.2</v>
      </c>
      <c r="Q11" s="27">
        <f t="shared" si="0"/>
        <v>0</v>
      </c>
      <c r="R11" s="27">
        <f t="shared" si="0"/>
        <v>0</v>
      </c>
      <c r="S11" s="27">
        <f t="shared" si="0"/>
        <v>0</v>
      </c>
      <c r="T11" s="27">
        <f t="shared" si="0"/>
        <v>0</v>
      </c>
      <c r="U11" s="27">
        <f t="shared" si="0"/>
        <v>900000</v>
      </c>
      <c r="V11" s="27">
        <f t="shared" si="0"/>
        <v>0</v>
      </c>
      <c r="W11" s="27">
        <f t="shared" si="0"/>
        <v>900000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126"/>
      <c r="AB11" s="37"/>
      <c r="AC11" s="37"/>
      <c r="AD11" s="37"/>
      <c r="AE11" s="37"/>
      <c r="AF11" s="37"/>
      <c r="AG11" s="37"/>
      <c r="AH11" s="37"/>
    </row>
    <row r="12" spans="1:34" s="16" customFormat="1">
      <c r="A12" s="19"/>
      <c r="B12" s="19"/>
      <c r="C12" s="19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3"/>
      <c r="AB12" s="37"/>
      <c r="AC12" s="37"/>
      <c r="AD12" s="37"/>
      <c r="AE12" s="37"/>
      <c r="AF12" s="37"/>
      <c r="AG12" s="37"/>
      <c r="AH12" s="37"/>
    </row>
    <row r="13" spans="1:34" s="57" customFormat="1">
      <c r="B13" s="37"/>
      <c r="C13" s="37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</row>
    <row r="14" spans="1:34" s="57" customFormat="1">
      <c r="B14" s="37"/>
      <c r="C14" s="37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</row>
    <row r="15" spans="1:34" s="57" customFormat="1">
      <c r="B15" s="37"/>
      <c r="C15" s="37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P15" s="52"/>
      <c r="Q15" s="52"/>
      <c r="R15" s="52"/>
      <c r="S15" s="52"/>
      <c r="T15" s="52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</row>
    <row r="16" spans="1:34" s="57" customFormat="1">
      <c r="B16" s="37"/>
      <c r="C16" s="37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</row>
    <row r="17" spans="1:28" s="57" customFormat="1">
      <c r="B17" s="37"/>
      <c r="C17" s="37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37"/>
      <c r="V17" s="37"/>
      <c r="W17" s="37"/>
      <c r="X17" s="37"/>
      <c r="Y17" s="37"/>
      <c r="Z17" s="37"/>
      <c r="AA17" s="37"/>
      <c r="AB17" s="37"/>
    </row>
    <row r="18" spans="1:28" s="57" customFormat="1">
      <c r="B18" s="37"/>
      <c r="C18" s="37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5"/>
      <c r="S18" s="52"/>
      <c r="T18" s="52"/>
      <c r="U18" s="37"/>
      <c r="V18" s="37"/>
      <c r="W18" s="37"/>
      <c r="X18" s="37"/>
      <c r="Y18" s="37"/>
      <c r="Z18" s="37"/>
      <c r="AA18" s="37"/>
      <c r="AB18" s="37"/>
    </row>
    <row r="19" spans="1:28" s="57" customFormat="1">
      <c r="B19" s="37"/>
      <c r="C19" s="37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37"/>
      <c r="V19" s="37"/>
      <c r="W19" s="37"/>
      <c r="X19" s="37"/>
      <c r="Y19" s="37"/>
      <c r="Z19" s="37"/>
      <c r="AA19" s="37"/>
      <c r="AB19" s="37"/>
    </row>
    <row r="20" spans="1:28" s="57" customFormat="1">
      <c r="B20" s="37"/>
      <c r="C20" s="37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37"/>
      <c r="V20" s="37"/>
      <c r="W20" s="37"/>
      <c r="X20" s="37"/>
      <c r="Y20" s="37"/>
      <c r="Z20" s="37"/>
      <c r="AA20" s="37"/>
      <c r="AB20" s="37"/>
    </row>
    <row r="21" spans="1:28" s="57" customFormat="1">
      <c r="B21" s="37"/>
      <c r="C21" s="37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37"/>
      <c r="V21" s="37"/>
      <c r="W21" s="37"/>
      <c r="X21" s="37"/>
      <c r="Y21" s="37"/>
      <c r="Z21" s="37"/>
      <c r="AA21" s="37"/>
      <c r="AB21" s="37"/>
    </row>
    <row r="22" spans="1:28" s="106" customFormat="1" ht="15.75">
      <c r="B22" s="37"/>
      <c r="C22" s="37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37"/>
      <c r="V22" s="37"/>
      <c r="W22" s="37"/>
      <c r="X22" s="37"/>
      <c r="Y22" s="37"/>
      <c r="Z22" s="37"/>
      <c r="AA22" s="37"/>
      <c r="AB22" s="37"/>
    </row>
    <row r="23" spans="1:28" s="106" customFormat="1" ht="15.75">
      <c r="B23" s="37"/>
      <c r="C23" s="37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37"/>
      <c r="V23" s="37"/>
      <c r="W23" s="37"/>
      <c r="X23" s="37"/>
      <c r="Y23" s="37"/>
      <c r="Z23" s="37"/>
      <c r="AA23" s="37"/>
      <c r="AB23" s="37"/>
    </row>
    <row r="24" spans="1:28" s="37" customFormat="1">
      <c r="A24" s="87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4"/>
  <sheetViews>
    <sheetView showZeros="0" rightToLeft="1" zoomScaleNormal="100" workbookViewId="0">
      <pane xSplit="3" ySplit="4" topLeftCell="D5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3.85546875" style="29" customWidth="1"/>
    <col min="4" max="4" width="11.28515625" style="31" customWidth="1"/>
    <col min="5" max="5" width="11" style="31" hidden="1" customWidth="1"/>
    <col min="6" max="6" width="9" style="31" hidden="1" customWidth="1"/>
    <col min="7" max="10" width="12.7109375" style="31" hidden="1" customWidth="1"/>
    <col min="11" max="11" width="11.28515625" style="31" hidden="1" customWidth="1"/>
    <col min="12" max="12" width="8.5703125" style="31" customWidth="1"/>
    <col min="13" max="13" width="11.140625" style="31" bestFit="1" customWidth="1"/>
    <col min="14" max="14" width="9.85546875" style="31" customWidth="1"/>
    <col min="15" max="15" width="9.42578125" style="31" customWidth="1"/>
    <col min="16" max="17" width="11.140625" style="31" hidden="1" customWidth="1"/>
    <col min="18" max="19" width="12" style="31" hidden="1" customWidth="1"/>
    <col min="20" max="20" width="9.85546875" style="31" hidden="1" customWidth="1"/>
    <col min="21" max="21" width="9.42578125" style="29" customWidth="1"/>
    <col min="22" max="22" width="6.85546875" style="29" customWidth="1"/>
    <col min="23" max="23" width="11.28515625" style="29" customWidth="1"/>
    <col min="24" max="25" width="7.140625" style="29" customWidth="1"/>
    <col min="26" max="26" width="6" style="29" customWidth="1"/>
    <col min="27" max="27" width="10.28515625" style="29" customWidth="1"/>
    <col min="28" max="28" width="63" style="29" customWidth="1"/>
    <col min="29" max="29" width="10.28515625" style="29" customWidth="1"/>
    <col min="30" max="16384" width="9.140625" style="29"/>
  </cols>
  <sheetData>
    <row r="2" spans="1:28" ht="18.75">
      <c r="A2" s="194" t="s">
        <v>308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4" spans="1:28" s="60" customFormat="1" ht="75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83"/>
    </row>
    <row r="5" spans="1:28" s="15" customFormat="1" ht="18" customHeigh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101"/>
      <c r="AB5" s="13"/>
    </row>
    <row r="6" spans="1:28" s="15" customFormat="1">
      <c r="A6" s="13">
        <v>1</v>
      </c>
      <c r="B6" s="13">
        <v>1621</v>
      </c>
      <c r="C6" s="13" t="s">
        <v>101</v>
      </c>
      <c r="D6" s="14">
        <f>'ביטחון פיקוח וסדר ציבורי'!D6</f>
        <v>1950000</v>
      </c>
      <c r="E6" s="14">
        <f>'ביטחון פיקוח וסדר ציבורי'!E6</f>
        <v>1950000</v>
      </c>
      <c r="F6" s="14">
        <f>'ביטחון פיקוח וסדר ציבורי'!F6</f>
        <v>0</v>
      </c>
      <c r="G6" s="14">
        <f>'ביטחון פיקוח וסדר ציבורי'!G6</f>
        <v>1300000</v>
      </c>
      <c r="H6" s="14">
        <f>'ביטחון פיקוח וסדר ציבורי'!H6</f>
        <v>297909.8</v>
      </c>
      <c r="I6" s="14">
        <f>'ביטחון פיקוח וסדר ציבורי'!I6</f>
        <v>0</v>
      </c>
      <c r="J6" s="14">
        <f>'ביטחון פיקוח וסדר ציבורי'!J6</f>
        <v>15795</v>
      </c>
      <c r="K6" s="14">
        <f>'ביטחון פיקוח וסדר ציבורי'!K6</f>
        <v>15795</v>
      </c>
      <c r="L6" s="14">
        <f>'ביטחון פיקוח וסדר ציבורי'!L6</f>
        <v>313704.8</v>
      </c>
      <c r="M6" s="14">
        <f>'ביטחון פיקוח וסדר ציבורי'!M6</f>
        <v>986295.2</v>
      </c>
      <c r="N6" s="14">
        <f>'ביטחון פיקוח וסדר ציבורי'!N6</f>
        <v>500000</v>
      </c>
      <c r="O6" s="14">
        <f>'ביטחון פיקוח וסדר ציבורי'!O6</f>
        <v>150000</v>
      </c>
      <c r="P6" s="14">
        <f>'ביטחון פיקוח וסדר ציבורי'!P6</f>
        <v>986295.2</v>
      </c>
      <c r="Q6" s="14">
        <f>'ביטחון פיקוח וסדר ציבורי'!Q6</f>
        <v>0</v>
      </c>
      <c r="R6" s="14">
        <f>'ביטחון פיקוח וסדר ציבורי'!R6</f>
        <v>0</v>
      </c>
      <c r="S6" s="14">
        <f>'ביטחון פיקוח וסדר ציבורי'!S6</f>
        <v>0</v>
      </c>
      <c r="T6" s="14">
        <f>'ביטחון פיקוח וסדר ציבורי'!T6</f>
        <v>0</v>
      </c>
      <c r="U6" s="14">
        <f>'ביטחון פיקוח וסדר ציבורי'!U6</f>
        <v>500000</v>
      </c>
      <c r="V6" s="14">
        <f>'ביטחון פיקוח וסדר ציבורי'!V6</f>
        <v>0</v>
      </c>
      <c r="W6" s="14">
        <f>'ביטחון פיקוח וסדר ציבורי'!W6</f>
        <v>500000</v>
      </c>
      <c r="X6" s="14">
        <f>'ביטחון פיקוח וסדר ציבורי'!X6</f>
        <v>0</v>
      </c>
      <c r="Y6" s="14">
        <f>'ביטחון פיקוח וסדר ציבורי'!Y6</f>
        <v>0</v>
      </c>
      <c r="Z6" s="14">
        <f>'ביטחון פיקוח וסדר ציבורי'!Z6</f>
        <v>0</v>
      </c>
      <c r="AA6" s="101">
        <f>'ביטחון פיקוח וסדר ציבורי'!AA6</f>
        <v>723000</v>
      </c>
      <c r="AB6" s="25"/>
    </row>
    <row r="7" spans="1:28" s="15" customFormat="1">
      <c r="A7" s="13">
        <f>A6+1</f>
        <v>2</v>
      </c>
      <c r="B7" s="13">
        <v>1858</v>
      </c>
      <c r="C7" s="13" t="s">
        <v>307</v>
      </c>
      <c r="D7" s="14">
        <f>'ביטחון פיקוח וסדר ציבורי'!D7</f>
        <v>75000</v>
      </c>
      <c r="E7" s="14">
        <f>'ביטחון פיקוח וסדר ציבורי'!E7</f>
        <v>75000</v>
      </c>
      <c r="F7" s="14">
        <f>'ביטחון פיקוח וסדר ציבורי'!F7</f>
        <v>0</v>
      </c>
      <c r="G7" s="14">
        <f>'ביטחון פיקוח וסדר ציבורי'!G7</f>
        <v>75000</v>
      </c>
      <c r="H7" s="14">
        <f>'ביטחון פיקוח וסדר ציבורי'!H7</f>
        <v>0</v>
      </c>
      <c r="I7" s="14">
        <f>'ביטחון פיקוח וסדר ציבורי'!I7</f>
        <v>0</v>
      </c>
      <c r="J7" s="14">
        <f>'ביטחון פיקוח וסדר ציבורי'!J7</f>
        <v>29835</v>
      </c>
      <c r="K7" s="14">
        <f>'ביטחון פיקוח וסדר ציבורי'!K7</f>
        <v>29835</v>
      </c>
      <c r="L7" s="14">
        <f>'ביטחון פיקוח וסדר ציבורי'!L7</f>
        <v>29835</v>
      </c>
      <c r="M7" s="14">
        <f>'ביטחון פיקוח וסדר ציבורי'!M7</f>
        <v>45165</v>
      </c>
      <c r="N7" s="14">
        <f>'ביטחון פיקוח וסדר ציבורי'!N7</f>
        <v>0</v>
      </c>
      <c r="O7" s="14">
        <f>'ביטחון פיקוח וסדר ציבורי'!O7</f>
        <v>0</v>
      </c>
      <c r="P7" s="14">
        <f>'ביטחון פיקוח וסדר ציבורי'!P7</f>
        <v>45165</v>
      </c>
      <c r="Q7" s="14">
        <f>'ביטחון פיקוח וסדר ציבורי'!Q7</f>
        <v>0</v>
      </c>
      <c r="R7" s="14">
        <f>'ביטחון פיקוח וסדר ציבורי'!R7</f>
        <v>0</v>
      </c>
      <c r="S7" s="14">
        <f>'ביטחון פיקוח וסדר ציבורי'!S7</f>
        <v>0</v>
      </c>
      <c r="T7" s="14">
        <f>'ביטחון פיקוח וסדר ציבורי'!T7</f>
        <v>0</v>
      </c>
      <c r="U7" s="14">
        <f>'ביטחון פיקוח וסדר ציבורי'!U7</f>
        <v>0</v>
      </c>
      <c r="V7" s="14">
        <f>'ביטחון פיקוח וסדר ציבורי'!V7</f>
        <v>0</v>
      </c>
      <c r="W7" s="14">
        <f>'ביטחון פיקוח וסדר ציבורי'!W7</f>
        <v>0</v>
      </c>
      <c r="X7" s="14">
        <f>'ביטחון פיקוח וסדר ציבורי'!X7</f>
        <v>0</v>
      </c>
      <c r="Y7" s="14">
        <f>'ביטחון פיקוח וסדר ציבורי'!Y7</f>
        <v>0</v>
      </c>
      <c r="Z7" s="14">
        <f>'ביטחון פיקוח וסדר ציבורי'!Z7</f>
        <v>0</v>
      </c>
      <c r="AA7" s="101">
        <f>'ביטחון פיקוח וסדר ציבורי'!AA7</f>
        <v>720000</v>
      </c>
      <c r="AB7" s="13"/>
    </row>
    <row r="8" spans="1:28" s="15" customFormat="1" ht="15.75">
      <c r="A8" s="13">
        <f>A7+1</f>
        <v>3</v>
      </c>
      <c r="B8" s="13">
        <v>1948</v>
      </c>
      <c r="C8" s="202" t="s">
        <v>436</v>
      </c>
      <c r="D8" s="14">
        <f>'ביטחון פיקוח וסדר ציבורי'!D8</f>
        <v>150000</v>
      </c>
      <c r="E8" s="14">
        <f>'ביטחון פיקוח וסדר ציבורי'!E8</f>
        <v>150000</v>
      </c>
      <c r="F8" s="14">
        <f>'ביטחון פיקוח וסדר ציבורי'!F8</f>
        <v>0</v>
      </c>
      <c r="G8" s="14">
        <f>'ביטחון פיקוח וסדר ציבורי'!G8</f>
        <v>150000</v>
      </c>
      <c r="H8" s="14">
        <f>'ביטחון פיקוח וסדר ציבורי'!H8</f>
        <v>127413</v>
      </c>
      <c r="I8" s="14">
        <f>'ביטחון פיקוח וסדר ציבורי'!I8</f>
        <v>0</v>
      </c>
      <c r="J8" s="14">
        <f>'ביטחון פיקוח וסדר ציבורי'!J8</f>
        <v>22581</v>
      </c>
      <c r="K8" s="14">
        <f>'ביטחון פיקוח וסדר ציבורי'!K8</f>
        <v>22581</v>
      </c>
      <c r="L8" s="14">
        <f>'ביטחון פיקוח וסדר ציבורי'!L8</f>
        <v>149994</v>
      </c>
      <c r="M8" s="14">
        <f>'ביטחון פיקוח וסדר ציבורי'!M8</f>
        <v>6</v>
      </c>
      <c r="N8" s="14">
        <f>'ביטחון פיקוח וסדר ציבורי'!N8</f>
        <v>0</v>
      </c>
      <c r="O8" s="14">
        <f>'ביטחון פיקוח וסדר ציבורי'!O8</f>
        <v>0</v>
      </c>
      <c r="P8" s="14">
        <f>'ביטחון פיקוח וסדר ציבורי'!P8</f>
        <v>6</v>
      </c>
      <c r="Q8" s="14">
        <f>'ביטחון פיקוח וסדר ציבורי'!Q8</f>
        <v>0</v>
      </c>
      <c r="R8" s="14">
        <f>'ביטחון פיקוח וסדר ציבורי'!R8</f>
        <v>0</v>
      </c>
      <c r="S8" s="14">
        <f>'ביטחון פיקוח וסדר ציבורי'!S8</f>
        <v>0</v>
      </c>
      <c r="T8" s="14">
        <f>'ביטחון פיקוח וסדר ציבורי'!T8</f>
        <v>0</v>
      </c>
      <c r="U8" s="14">
        <f>'ביטחון פיקוח וסדר ציבורי'!U8</f>
        <v>0</v>
      </c>
      <c r="V8" s="14">
        <f>'ביטחון פיקוח וסדר ציבורי'!V8</f>
        <v>0</v>
      </c>
      <c r="W8" s="14">
        <f>'ביטחון פיקוח וסדר ציבורי'!W8</f>
        <v>0</v>
      </c>
      <c r="X8" s="14">
        <f>'ביטחון פיקוח וסדר ציבורי'!X8</f>
        <v>0</v>
      </c>
      <c r="Y8" s="14">
        <f>'ביטחון פיקוח וסדר ציבורי'!Y8</f>
        <v>0</v>
      </c>
      <c r="Z8" s="14">
        <f>'ביטחון פיקוח וסדר ציבורי'!Z8</f>
        <v>0</v>
      </c>
      <c r="AA8" s="101">
        <f>'ביטחון פיקוח וסדר ציבורי'!AA8</f>
        <v>720000</v>
      </c>
      <c r="AB8" s="13"/>
    </row>
    <row r="9" spans="1:28" s="15" customFormat="1" ht="15.75">
      <c r="A9" s="13">
        <f>A8+1</f>
        <v>4</v>
      </c>
      <c r="B9" s="13">
        <v>2005</v>
      </c>
      <c r="C9" s="202" t="s">
        <v>437</v>
      </c>
      <c r="D9" s="14">
        <f>'ביטחון פיקוח וסדר ציבורי'!D9</f>
        <v>200000</v>
      </c>
      <c r="E9" s="14">
        <f>'ביטחון פיקוח וסדר ציבורי'!E9</f>
        <v>100000</v>
      </c>
      <c r="F9" s="14">
        <f>'ביטחון פיקוח וסדר ציבורי'!F9</f>
        <v>100000</v>
      </c>
      <c r="G9" s="14">
        <f>'ביטחון פיקוח וסדר ציבורי'!G9</f>
        <v>100000</v>
      </c>
      <c r="H9" s="14">
        <f>'ביטחון פיקוח וסדר ציבורי'!H9</f>
        <v>0</v>
      </c>
      <c r="I9" s="14">
        <f>'ביטחון פיקוח וסדר ציבורי'!I9</f>
        <v>0</v>
      </c>
      <c r="J9" s="14">
        <f>'ביטחון פיקוח וסדר ציבורי'!J9</f>
        <v>0</v>
      </c>
      <c r="K9" s="14">
        <f>'ביטחון פיקוח וסדר ציבורי'!K9</f>
        <v>0</v>
      </c>
      <c r="L9" s="14">
        <f>'ביטחון פיקוח וסדר ציבורי'!L9</f>
        <v>0</v>
      </c>
      <c r="M9" s="14">
        <f>'ביטחון פיקוח וסדר ציבורי'!M9</f>
        <v>100000</v>
      </c>
      <c r="N9" s="14">
        <f>'ביטחון פיקוח וסדר ציבורי'!N9</f>
        <v>100000</v>
      </c>
      <c r="O9" s="14">
        <f>'ביטחון פיקוח וסדר ציבורי'!O9</f>
        <v>0</v>
      </c>
      <c r="P9" s="14">
        <f>'ביטחון פיקוח וסדר ציבורי'!P9</f>
        <v>100000</v>
      </c>
      <c r="Q9" s="14">
        <f>'ביטחון פיקוח וסדר ציבורי'!Q9</f>
        <v>0</v>
      </c>
      <c r="R9" s="14">
        <f>'ביטחון פיקוח וסדר ציבורי'!R9</f>
        <v>0</v>
      </c>
      <c r="S9" s="14">
        <f>'ביטחון פיקוח וסדר ציבורי'!S9</f>
        <v>0</v>
      </c>
      <c r="T9" s="14">
        <f>'ביטחון פיקוח וסדר ציבורי'!T9</f>
        <v>0</v>
      </c>
      <c r="U9" s="14">
        <f>'ביטחון פיקוח וסדר ציבורי'!U9</f>
        <v>100000</v>
      </c>
      <c r="V9" s="14">
        <f>'ביטחון פיקוח וסדר ציבורי'!V9</f>
        <v>0</v>
      </c>
      <c r="W9" s="14">
        <f>'ביטחון פיקוח וסדר ציבורי'!W9</f>
        <v>100000</v>
      </c>
      <c r="X9" s="14">
        <f>'ביטחון פיקוח וסדר ציבורי'!X9</f>
        <v>0</v>
      </c>
      <c r="Y9" s="14">
        <f>'ביטחון פיקוח וסדר ציבורי'!Y9</f>
        <v>0</v>
      </c>
      <c r="Z9" s="14">
        <f>'ביטחון פיקוח וסדר ציבורי'!Z9</f>
        <v>0</v>
      </c>
      <c r="AA9" s="101">
        <f>'ביטחון פיקוח וסדר ציבורי'!AA9</f>
        <v>720000</v>
      </c>
      <c r="AB9" s="197"/>
    </row>
    <row r="10" spans="1:28" s="15" customFormat="1" ht="15.75">
      <c r="A10" s="13">
        <f>A9+1</f>
        <v>5</v>
      </c>
      <c r="B10" s="13">
        <v>2032</v>
      </c>
      <c r="C10" s="202" t="s">
        <v>474</v>
      </c>
      <c r="D10" s="14">
        <f>'ביטחון פיקוח וסדר ציבורי'!D10</f>
        <v>600000</v>
      </c>
      <c r="E10" s="14">
        <f>'ביטחון פיקוח וסדר ציבורי'!E10</f>
        <v>0</v>
      </c>
      <c r="F10" s="14">
        <f>'ביטחון פיקוח וסדר ציבורי'!F10</f>
        <v>600000</v>
      </c>
      <c r="G10" s="14">
        <f>'ביטחון פיקוח וסדר ציבורי'!G10</f>
        <v>0</v>
      </c>
      <c r="H10" s="14">
        <f>'ביטחון פיקוח וסדר ציבורי'!H10</f>
        <v>0</v>
      </c>
      <c r="I10" s="14">
        <f>'ביטחון פיקוח וסדר ציבורי'!I10</f>
        <v>0</v>
      </c>
      <c r="J10" s="14">
        <f>'ביטחון פיקוח וסדר ציבורי'!J10</f>
        <v>0</v>
      </c>
      <c r="K10" s="14">
        <f>'ביטחון פיקוח וסדר ציבורי'!K10</f>
        <v>0</v>
      </c>
      <c r="L10" s="14">
        <f>'ביטחון פיקוח וסדר ציבורי'!L10</f>
        <v>0</v>
      </c>
      <c r="M10" s="14">
        <f>'ביטחון פיקוח וסדר ציבורי'!M10</f>
        <v>0</v>
      </c>
      <c r="N10" s="14">
        <f>'ביטחון פיקוח וסדר ציבורי'!N10</f>
        <v>300000</v>
      </c>
      <c r="O10" s="14">
        <f>'ביטחון פיקוח וסדר ציבורי'!O10</f>
        <v>300000</v>
      </c>
      <c r="P10" s="14">
        <f>'ביטחון פיקוח וסדר ציבורי'!P10</f>
        <v>0</v>
      </c>
      <c r="Q10" s="14">
        <f>'ביטחון פיקוח וסדר ציבורי'!Q10</f>
        <v>0</v>
      </c>
      <c r="R10" s="14">
        <f>'ביטחון פיקוח וסדר ציבורי'!R10</f>
        <v>0</v>
      </c>
      <c r="S10" s="14">
        <f>'ביטחון פיקוח וסדר ציבורי'!S10</f>
        <v>0</v>
      </c>
      <c r="T10" s="14">
        <f>'ביטחון פיקוח וסדר ציבורי'!T10</f>
        <v>0</v>
      </c>
      <c r="U10" s="14">
        <f>'ביטחון פיקוח וסדר ציבורי'!U10</f>
        <v>300000</v>
      </c>
      <c r="V10" s="14">
        <f>'ביטחון פיקוח וסדר ציבורי'!V10</f>
        <v>0</v>
      </c>
      <c r="W10" s="14">
        <f>'ביטחון פיקוח וסדר ציבורי'!W10</f>
        <v>300000</v>
      </c>
      <c r="X10" s="14">
        <f>'ביטחון פיקוח וסדר ציבורי'!X10</f>
        <v>0</v>
      </c>
      <c r="Y10" s="14">
        <f>'ביטחון פיקוח וסדר ציבורי'!Y10</f>
        <v>0</v>
      </c>
      <c r="Z10" s="14">
        <f>'ביטחון פיקוח וסדר ציבורי'!Z10</f>
        <v>0</v>
      </c>
      <c r="AA10" s="101">
        <f>'ביטחון פיקוח וסדר ציבורי'!AA10</f>
        <v>720000</v>
      </c>
      <c r="AB10" s="13"/>
    </row>
    <row r="11" spans="1:28" s="99" customFormat="1" ht="15.75">
      <c r="A11" s="85">
        <f>A10</f>
        <v>5</v>
      </c>
      <c r="B11" s="85">
        <v>5</v>
      </c>
      <c r="C11" s="85" t="s">
        <v>1042</v>
      </c>
      <c r="D11" s="27">
        <f t="shared" ref="D11:Z11" si="0">SUM(D6:D10)</f>
        <v>2975000</v>
      </c>
      <c r="E11" s="27">
        <f t="shared" si="0"/>
        <v>2275000</v>
      </c>
      <c r="F11" s="27">
        <f t="shared" si="0"/>
        <v>700000</v>
      </c>
      <c r="G11" s="27">
        <f t="shared" si="0"/>
        <v>1625000</v>
      </c>
      <c r="H11" s="27">
        <f t="shared" si="0"/>
        <v>425322.8</v>
      </c>
      <c r="I11" s="27">
        <f t="shared" si="0"/>
        <v>0</v>
      </c>
      <c r="J11" s="27">
        <f t="shared" si="0"/>
        <v>68211</v>
      </c>
      <c r="K11" s="27">
        <f t="shared" si="0"/>
        <v>68211</v>
      </c>
      <c r="L11" s="27">
        <f t="shared" si="0"/>
        <v>493533.8</v>
      </c>
      <c r="M11" s="27">
        <f t="shared" si="0"/>
        <v>1131466.2</v>
      </c>
      <c r="N11" s="27">
        <f t="shared" si="0"/>
        <v>900000</v>
      </c>
      <c r="O11" s="27">
        <f t="shared" si="0"/>
        <v>450000</v>
      </c>
      <c r="P11" s="27">
        <f t="shared" si="0"/>
        <v>1131466.2</v>
      </c>
      <c r="Q11" s="27">
        <f t="shared" si="0"/>
        <v>0</v>
      </c>
      <c r="R11" s="27">
        <f t="shared" si="0"/>
        <v>0</v>
      </c>
      <c r="S11" s="27">
        <f t="shared" si="0"/>
        <v>0</v>
      </c>
      <c r="T11" s="27">
        <f t="shared" si="0"/>
        <v>0</v>
      </c>
      <c r="U11" s="27">
        <f t="shared" si="0"/>
        <v>900000</v>
      </c>
      <c r="V11" s="27">
        <f t="shared" si="0"/>
        <v>0</v>
      </c>
      <c r="W11" s="27">
        <f t="shared" si="0"/>
        <v>900000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126"/>
      <c r="AB11" s="688"/>
    </row>
    <row r="12" spans="1:28" s="16" customFormat="1">
      <c r="A12" s="19"/>
      <c r="B12" s="19"/>
      <c r="C12" s="19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3"/>
      <c r="AB12" s="84"/>
    </row>
    <row r="13" spans="1:28" s="57" customFormat="1">
      <c r="B13" s="37"/>
      <c r="C13" s="37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37"/>
      <c r="V13" s="37"/>
      <c r="W13" s="37"/>
      <c r="X13" s="37"/>
      <c r="Y13" s="37"/>
      <c r="Z13" s="37"/>
      <c r="AA13" s="37"/>
      <c r="AB13" s="37"/>
    </row>
    <row r="14" spans="1:28" s="57" customFormat="1">
      <c r="B14" s="37"/>
      <c r="C14" s="37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37"/>
      <c r="V14" s="37"/>
      <c r="W14" s="37"/>
      <c r="X14" s="37"/>
      <c r="Y14" s="37"/>
      <c r="Z14" s="37"/>
      <c r="AA14" s="37"/>
      <c r="AB14" s="37"/>
    </row>
    <row r="15" spans="1:28" s="57" customFormat="1">
      <c r="B15" s="37"/>
      <c r="C15" s="37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P15" s="52"/>
      <c r="Q15" s="52"/>
      <c r="R15" s="52"/>
      <c r="S15" s="52"/>
      <c r="T15" s="52"/>
      <c r="U15" s="37"/>
      <c r="V15" s="37"/>
      <c r="W15" s="37"/>
      <c r="X15" s="37"/>
      <c r="Y15" s="37"/>
      <c r="Z15" s="37"/>
      <c r="AA15" s="37"/>
      <c r="AB15" s="37"/>
    </row>
    <row r="16" spans="1:28" s="57" customFormat="1">
      <c r="B16" s="37"/>
      <c r="C16" s="37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37"/>
      <c r="V16" s="37"/>
      <c r="W16" s="37"/>
      <c r="X16" s="37"/>
      <c r="Y16" s="37"/>
      <c r="Z16" s="37"/>
      <c r="AA16" s="37"/>
      <c r="AB16" s="37"/>
    </row>
    <row r="17" spans="1:28" s="57" customFormat="1">
      <c r="B17" s="37"/>
      <c r="C17" s="37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37"/>
      <c r="V17" s="37"/>
      <c r="W17" s="37"/>
      <c r="X17" s="37"/>
      <c r="Y17" s="37"/>
      <c r="Z17" s="37"/>
      <c r="AA17" s="37"/>
      <c r="AB17" s="37"/>
    </row>
    <row r="18" spans="1:28" s="57" customFormat="1">
      <c r="B18" s="37"/>
      <c r="C18" s="37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5"/>
      <c r="S18" s="52"/>
      <c r="T18" s="52"/>
      <c r="U18" s="37"/>
      <c r="V18" s="37"/>
      <c r="W18" s="37"/>
      <c r="X18" s="37"/>
      <c r="Y18" s="37"/>
      <c r="Z18" s="37"/>
      <c r="AA18" s="37"/>
      <c r="AB18" s="37"/>
    </row>
    <row r="19" spans="1:28" s="57" customFormat="1">
      <c r="B19" s="37"/>
      <c r="C19" s="37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37"/>
      <c r="V19" s="37"/>
      <c r="W19" s="37"/>
      <c r="X19" s="37"/>
      <c r="Y19" s="37"/>
      <c r="Z19" s="37"/>
      <c r="AA19" s="37"/>
      <c r="AB19" s="37"/>
    </row>
    <row r="20" spans="1:28" s="57" customFormat="1">
      <c r="B20" s="37"/>
      <c r="C20" s="37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37"/>
      <c r="V20" s="37"/>
      <c r="W20" s="37"/>
      <c r="X20" s="37"/>
      <c r="Y20" s="37"/>
      <c r="Z20" s="37"/>
      <c r="AA20" s="37"/>
      <c r="AB20" s="37"/>
    </row>
    <row r="21" spans="1:28" s="57" customFormat="1">
      <c r="B21" s="37"/>
      <c r="C21" s="37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37"/>
      <c r="V21" s="37"/>
      <c r="W21" s="37"/>
      <c r="X21" s="37"/>
      <c r="Y21" s="37"/>
      <c r="Z21" s="37"/>
      <c r="AA21" s="37"/>
      <c r="AB21" s="37"/>
    </row>
    <row r="22" spans="1:28" s="106" customFormat="1" ht="15.75">
      <c r="B22" s="37"/>
      <c r="C22" s="37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37"/>
      <c r="V22" s="37"/>
      <c r="W22" s="37"/>
      <c r="X22" s="37"/>
      <c r="Y22" s="37"/>
      <c r="Z22" s="37"/>
      <c r="AA22" s="37"/>
      <c r="AB22" s="37"/>
    </row>
    <row r="23" spans="1:28" s="106" customFormat="1" ht="15.75">
      <c r="B23" s="37"/>
      <c r="C23" s="37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37"/>
      <c r="V23" s="37"/>
      <c r="W23" s="37"/>
      <c r="X23" s="37"/>
      <c r="Y23" s="37"/>
      <c r="Z23" s="37"/>
      <c r="AA23" s="37"/>
      <c r="AB23" s="37"/>
    </row>
    <row r="24" spans="1:28" s="37" customFormat="1">
      <c r="A24" s="87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5"/>
  <sheetViews>
    <sheetView rightToLeft="1" topLeftCell="A16" zoomScaleNormal="100" workbookViewId="0">
      <selection activeCell="T10" sqref="T10"/>
    </sheetView>
  </sheetViews>
  <sheetFormatPr defaultRowHeight="14.25"/>
  <cols>
    <col min="1" max="2" width="4.140625" style="274" customWidth="1"/>
    <col min="3" max="3" width="56.85546875" style="274" customWidth="1"/>
    <col min="4" max="4" width="9.140625" style="274"/>
    <col min="5" max="5" width="15.7109375" style="274" customWidth="1"/>
    <col min="6" max="8" width="9.140625" style="274"/>
    <col min="9" max="9" width="7.85546875" style="274" customWidth="1"/>
    <col min="10" max="16384" width="9.140625" style="274"/>
  </cols>
  <sheetData>
    <row r="3" spans="1:16" ht="20.25">
      <c r="C3" s="275"/>
    </row>
    <row r="4" spans="1:16" ht="15.75">
      <c r="A4" s="276" t="s">
        <v>530</v>
      </c>
      <c r="B4" s="276" t="s">
        <v>530</v>
      </c>
      <c r="C4" s="277" t="s">
        <v>531</v>
      </c>
    </row>
    <row r="5" spans="1:16" ht="15.75">
      <c r="A5" s="276"/>
      <c r="B5" s="276"/>
      <c r="C5" s="277"/>
    </row>
    <row r="6" spans="1:16" ht="15.75">
      <c r="A6" s="276">
        <v>1.1000000000000001</v>
      </c>
      <c r="B6" s="276"/>
      <c r="C6" s="278" t="s">
        <v>532</v>
      </c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</row>
    <row r="7" spans="1:16" ht="15.75">
      <c r="A7" s="276"/>
      <c r="B7" s="276"/>
      <c r="C7" s="276" t="s">
        <v>533</v>
      </c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</row>
    <row r="8" spans="1:16" ht="15.75">
      <c r="A8" s="276"/>
      <c r="B8" s="276"/>
      <c r="C8" s="276" t="s">
        <v>534</v>
      </c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</row>
    <row r="9" spans="1:16" ht="15.75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</row>
    <row r="10" spans="1:16" ht="15.75">
      <c r="A10" s="276"/>
      <c r="B10" s="276"/>
      <c r="C10" s="276" t="s">
        <v>535</v>
      </c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</row>
    <row r="11" spans="1:16" ht="15.75">
      <c r="A11" s="279"/>
      <c r="B11" s="279" t="s">
        <v>455</v>
      </c>
      <c r="C11" s="276" t="s">
        <v>536</v>
      </c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</row>
    <row r="12" spans="1:16" ht="15.75">
      <c r="A12" s="276"/>
      <c r="B12" s="279" t="s">
        <v>455</v>
      </c>
      <c r="C12" s="276" t="s">
        <v>537</v>
      </c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</row>
    <row r="13" spans="1:16" ht="15.75">
      <c r="A13" s="276"/>
      <c r="B13" s="279" t="s">
        <v>455</v>
      </c>
      <c r="C13" s="276" t="s">
        <v>538</v>
      </c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</row>
    <row r="14" spans="1:16" ht="15.75">
      <c r="A14" s="276"/>
      <c r="B14" s="276"/>
      <c r="C14" s="276" t="s">
        <v>539</v>
      </c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</row>
    <row r="15" spans="1:16" ht="15.75">
      <c r="A15" s="276"/>
      <c r="B15" s="279" t="s">
        <v>455</v>
      </c>
      <c r="C15" s="276" t="s">
        <v>540</v>
      </c>
      <c r="D15" s="276"/>
      <c r="E15" s="276"/>
      <c r="F15" s="276"/>
      <c r="G15" s="276"/>
      <c r="H15" s="276"/>
      <c r="I15" s="276"/>
      <c r="J15" s="278"/>
      <c r="K15" s="276"/>
      <c r="L15" s="276"/>
      <c r="M15" s="276"/>
      <c r="N15" s="276"/>
      <c r="O15" s="276"/>
      <c r="P15" s="276"/>
    </row>
    <row r="16" spans="1:16" ht="15.75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</row>
    <row r="17" spans="1:16" ht="15.75">
      <c r="A17" s="276">
        <v>1.2</v>
      </c>
      <c r="B17" s="276"/>
      <c r="C17" s="278" t="s">
        <v>541</v>
      </c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</row>
    <row r="18" spans="1:16" ht="15.75">
      <c r="A18" s="276"/>
      <c r="B18" s="276"/>
      <c r="C18" s="276" t="s">
        <v>542</v>
      </c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6" ht="15.75">
      <c r="A19" s="276"/>
      <c r="B19" s="276"/>
      <c r="C19" s="276" t="s">
        <v>543</v>
      </c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</row>
    <row r="20" spans="1:16" ht="15.75">
      <c r="A20" s="276"/>
      <c r="B20" s="276"/>
      <c r="C20" s="276" t="s">
        <v>544</v>
      </c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</row>
    <row r="21" spans="1:16" ht="15.75">
      <c r="A21" s="276"/>
      <c r="B21" s="276"/>
      <c r="C21" s="276" t="s">
        <v>545</v>
      </c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</row>
    <row r="22" spans="1:16" ht="15.75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</row>
    <row r="23" spans="1:16" ht="15.75">
      <c r="A23" s="276">
        <v>1.3</v>
      </c>
      <c r="B23" s="276"/>
      <c r="C23" s="278" t="s">
        <v>546</v>
      </c>
      <c r="D23" s="276"/>
      <c r="E23" s="277" t="s">
        <v>547</v>
      </c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</row>
    <row r="24" spans="1:16" ht="15.75">
      <c r="A24" s="276"/>
      <c r="B24" s="276"/>
      <c r="C24" s="278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</row>
    <row r="25" spans="1:16" ht="16.5" thickBot="1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</row>
    <row r="26" spans="1:16" ht="16.5" thickBot="1">
      <c r="A26" s="276"/>
      <c r="B26" s="279" t="s">
        <v>455</v>
      </c>
      <c r="C26" s="276" t="s">
        <v>631</v>
      </c>
      <c r="E26" s="280">
        <f>'ריכוז אגפים'!S19/1000</f>
        <v>537095.94900000002</v>
      </c>
      <c r="K26" s="276"/>
      <c r="L26" s="276"/>
      <c r="M26" s="276"/>
      <c r="N26" s="276"/>
      <c r="O26" s="276"/>
      <c r="P26" s="276"/>
    </row>
    <row r="27" spans="1:16" ht="16.5" thickBot="1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</row>
    <row r="28" spans="1:16" ht="16.5" thickBot="1">
      <c r="A28" s="276"/>
      <c r="B28" s="279" t="s">
        <v>455</v>
      </c>
      <c r="C28" s="276" t="s">
        <v>632</v>
      </c>
      <c r="E28" s="280">
        <f>'ריכוז אגפים'!L19/1000</f>
        <v>564915.06299999997</v>
      </c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</row>
    <row r="29" spans="1:16" ht="16.5" thickBot="1">
      <c r="A29" s="276"/>
      <c r="B29" s="276"/>
      <c r="C29" s="276"/>
      <c r="D29" s="281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</row>
    <row r="30" spans="1:16" ht="16.5" thickBot="1">
      <c r="A30" s="276"/>
      <c r="B30" s="279" t="s">
        <v>455</v>
      </c>
      <c r="C30" s="276" t="s">
        <v>548</v>
      </c>
      <c r="E30" s="280">
        <f>'ריכוז אגפים'!B19/1000</f>
        <v>4141219.83</v>
      </c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</row>
    <row r="31" spans="1:16" ht="15.75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</row>
    <row r="32" spans="1:16" ht="15.75">
      <c r="A32" s="276"/>
      <c r="B32" s="282"/>
      <c r="C32" s="282"/>
      <c r="D32" s="282"/>
      <c r="E32" s="282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</row>
    <row r="33" spans="1:16" ht="15.75">
      <c r="A33" s="276"/>
      <c r="B33" s="279" t="s">
        <v>455</v>
      </c>
      <c r="C33" s="276" t="s">
        <v>549</v>
      </c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</row>
    <row r="34" spans="1:16" ht="15.75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</row>
    <row r="35" spans="1:16" ht="15.75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</row>
    <row r="36" spans="1:16" ht="15.75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</row>
    <row r="37" spans="1:16" ht="15.75">
      <c r="A37" s="283"/>
      <c r="B37" s="283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</row>
    <row r="38" spans="1:16" ht="15.75">
      <c r="A38" s="283"/>
      <c r="B38" s="283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</row>
    <row r="39" spans="1:16" ht="15.75">
      <c r="A39" s="283"/>
      <c r="B39" s="283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</row>
    <row r="40" spans="1:16" ht="15.75">
      <c r="A40" s="283"/>
      <c r="B40" s="283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</row>
    <row r="41" spans="1:16" ht="15.75">
      <c r="A41" s="283"/>
      <c r="B41" s="283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</row>
    <row r="42" spans="1:16" ht="15.75">
      <c r="A42" s="283"/>
      <c r="B42" s="283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</row>
    <row r="43" spans="1:16" ht="15.75">
      <c r="A43" s="283"/>
      <c r="B43" s="283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</row>
    <row r="44" spans="1:16" ht="15.75"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</row>
    <row r="45" spans="1:16" ht="15.75"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2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E3" s="710"/>
    </row>
    <row r="5" spans="1:17" ht="20.25">
      <c r="A5" s="708"/>
      <c r="C5" s="710" t="s">
        <v>1000</v>
      </c>
      <c r="D5" s="708"/>
      <c r="E5" s="708"/>
      <c r="F5" s="708"/>
      <c r="G5" s="708"/>
      <c r="H5" s="708"/>
      <c r="I5" s="708"/>
      <c r="J5" s="708"/>
      <c r="K5" s="708"/>
      <c r="L5" s="708"/>
    </row>
    <row r="6" spans="1:17" ht="21" thickBot="1">
      <c r="A6" s="708"/>
      <c r="C6" s="710"/>
      <c r="D6" s="708"/>
      <c r="E6" s="708"/>
      <c r="F6" s="708"/>
      <c r="G6" s="708"/>
      <c r="H6" s="708"/>
      <c r="I6" s="708"/>
      <c r="J6" s="708"/>
      <c r="K6" s="708"/>
      <c r="L6" s="708"/>
    </row>
    <row r="7" spans="1:17" ht="16.5" thickBot="1">
      <c r="A7" s="708"/>
      <c r="B7" s="711" t="s">
        <v>455</v>
      </c>
      <c r="C7" s="708" t="s">
        <v>997</v>
      </c>
      <c r="D7" s="708"/>
      <c r="E7" s="708"/>
      <c r="F7" s="712">
        <f>חינוך!U25</f>
        <v>2580137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999</v>
      </c>
      <c r="D9" s="708"/>
      <c r="F9" s="712">
        <f>חינוך!A25</f>
        <v>19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E10" s="708"/>
      <c r="F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 t="s">
        <v>455</v>
      </c>
      <c r="C11" s="708" t="s">
        <v>972</v>
      </c>
      <c r="D11" s="708"/>
      <c r="E11" s="708"/>
      <c r="F11" s="708"/>
      <c r="G11" s="708"/>
      <c r="H11" s="708"/>
      <c r="I11" s="708"/>
      <c r="J11" s="708"/>
      <c r="K11" s="708"/>
      <c r="L11" s="708"/>
    </row>
    <row r="12" spans="1:17" ht="16.5" thickBot="1">
      <c r="B12" s="708"/>
      <c r="C12" s="708"/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D13" s="737" t="s">
        <v>973</v>
      </c>
      <c r="E13" s="738" t="s">
        <v>974</v>
      </c>
      <c r="F13" s="739" t="s">
        <v>987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5" t="s">
        <v>14</v>
      </c>
      <c r="E14" s="740">
        <f>חינוך!W25</f>
        <v>2515000</v>
      </c>
      <c r="F14" s="749">
        <f>E14/$E$16</f>
        <v>0.97475444133392919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184</v>
      </c>
      <c r="E15" s="740">
        <f>חינוך!Z25</f>
        <v>65137</v>
      </c>
      <c r="F15" s="749">
        <f>E15/$E$16</f>
        <v>2.5245558666070832E-2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6.5" thickBot="1">
      <c r="C16" s="711"/>
      <c r="D16" s="718" t="s">
        <v>208</v>
      </c>
      <c r="E16" s="755">
        <f>SUM(E14:E15)</f>
        <v>2580137</v>
      </c>
      <c r="F16" s="743">
        <f>SUM(F14:F15)</f>
        <v>1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C17" s="711"/>
      <c r="D17" s="714"/>
      <c r="E17" s="770"/>
      <c r="F17" s="771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B18" s="711"/>
      <c r="C18" s="708"/>
      <c r="D18" s="708"/>
      <c r="E18" s="708"/>
      <c r="F18" s="708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B19" s="711"/>
      <c r="C19" s="708"/>
      <c r="D19" s="708"/>
      <c r="F19" s="708"/>
      <c r="H19" s="717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B20" s="711" t="s">
        <v>455</v>
      </c>
      <c r="C20" s="708" t="s">
        <v>1081</v>
      </c>
      <c r="D20" s="708"/>
      <c r="F20" s="708"/>
      <c r="H20" s="717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B21" s="711"/>
      <c r="C21" s="708"/>
      <c r="D21" s="708"/>
      <c r="F21" s="708"/>
      <c r="H21" s="717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B22" s="711"/>
      <c r="C22" s="708"/>
      <c r="D22" s="708"/>
      <c r="E22" s="708"/>
      <c r="F22" s="708"/>
      <c r="G22" s="708"/>
      <c r="H22" s="708"/>
      <c r="I22" s="708"/>
      <c r="J22" s="708"/>
      <c r="K22" s="708"/>
      <c r="L22" s="708"/>
      <c r="M22" s="708"/>
      <c r="N22" s="708"/>
      <c r="O22" s="708"/>
      <c r="P22" s="708"/>
      <c r="Q22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7"/>
  <sheetViews>
    <sheetView showZeros="0" rightToLeft="1" zoomScaleNormal="100" workbookViewId="0">
      <pane xSplit="3" ySplit="4" topLeftCell="D9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42578125" defaultRowHeight="15"/>
  <cols>
    <col min="1" max="1" width="5.42578125" style="66" customWidth="1"/>
    <col min="2" max="2" width="5.85546875" style="29" customWidth="1"/>
    <col min="3" max="3" width="39.140625" style="29" customWidth="1"/>
    <col min="4" max="4" width="10.7109375" style="31" customWidth="1"/>
    <col min="5" max="5" width="10.28515625" style="31" customWidth="1"/>
    <col min="6" max="6" width="10" style="31" customWidth="1"/>
    <col min="7" max="9" width="13" style="31" hidden="1" customWidth="1"/>
    <col min="10" max="10" width="9.7109375" style="31" hidden="1" customWidth="1"/>
    <col min="11" max="11" width="11.7109375" style="31" hidden="1" customWidth="1"/>
    <col min="12" max="12" width="9.7109375" style="31" customWidth="1"/>
    <col min="13" max="13" width="10.140625" style="31" customWidth="1"/>
    <col min="14" max="14" width="10.7109375" style="31" customWidth="1"/>
    <col min="15" max="15" width="9" style="31" customWidth="1"/>
    <col min="16" max="17" width="11.42578125" style="31" hidden="1" customWidth="1"/>
    <col min="18" max="19" width="12.28515625" style="31" hidden="1" customWidth="1"/>
    <col min="20" max="20" width="10.28515625" style="31" hidden="1" customWidth="1"/>
    <col min="21" max="21" width="12.140625" style="29" customWidth="1"/>
    <col min="22" max="22" width="8.7109375" style="29" hidden="1" customWidth="1"/>
    <col min="23" max="23" width="12.42578125" style="29" customWidth="1"/>
    <col min="24" max="25" width="7.7109375" style="29" hidden="1" customWidth="1"/>
    <col min="26" max="26" width="10.28515625" style="29" customWidth="1"/>
    <col min="27" max="27" width="8.140625" style="29" hidden="1" customWidth="1"/>
    <col min="28" max="29" width="9.42578125" style="29" customWidth="1"/>
    <col min="30" max="16384" width="9.42578125" style="29"/>
  </cols>
  <sheetData>
    <row r="1" spans="1:29" s="37" customFormat="1">
      <c r="A1" s="87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pans="1:29" s="667" customFormat="1" ht="18.75">
      <c r="A2" s="665" t="s">
        <v>475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6"/>
      <c r="Y2" s="666"/>
      <c r="Z2" s="666"/>
      <c r="AA2" s="666"/>
      <c r="AB2" s="666"/>
      <c r="AC2" s="666"/>
    </row>
    <row r="3" spans="1:29" s="37" customFormat="1">
      <c r="A3" s="87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9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36" t="s">
        <v>16</v>
      </c>
    </row>
    <row r="5" spans="1:29" s="99" customFormat="1" ht="15.75">
      <c r="A5" s="85"/>
      <c r="B5" s="85"/>
      <c r="C5" s="8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85"/>
    </row>
    <row r="6" spans="1:29" s="15" customFormat="1">
      <c r="A6" s="13">
        <f>A5+1</f>
        <v>1</v>
      </c>
      <c r="B6" s="13">
        <v>1679</v>
      </c>
      <c r="C6" s="13" t="s">
        <v>108</v>
      </c>
      <c r="D6" s="14">
        <v>130000</v>
      </c>
      <c r="E6" s="14">
        <v>130000</v>
      </c>
      <c r="F6" s="14">
        <f t="shared" ref="F6:F24" si="0">D6-E6</f>
        <v>0</v>
      </c>
      <c r="G6" s="14">
        <v>130000</v>
      </c>
      <c r="H6" s="14">
        <v>117039.72</v>
      </c>
      <c r="I6" s="14"/>
      <c r="J6" s="14">
        <v>12913</v>
      </c>
      <c r="K6" s="14">
        <f t="shared" ref="K6:K22" si="1">I6+J6</f>
        <v>12913</v>
      </c>
      <c r="L6" s="14">
        <f t="shared" ref="L6:L22" si="2">H6+K6</f>
        <v>129952.72</v>
      </c>
      <c r="M6" s="14">
        <f t="shared" ref="M6:M22" si="3">P6+S6</f>
        <v>47.279999999998836</v>
      </c>
      <c r="N6" s="14">
        <v>0</v>
      </c>
      <c r="O6" s="14">
        <f t="shared" ref="O6:O22" si="4">D6-L6-M6-N6</f>
        <v>0</v>
      </c>
      <c r="P6" s="14">
        <f t="shared" ref="P6:P22" si="5">G6-L6</f>
        <v>47.279999999998836</v>
      </c>
      <c r="Q6" s="14"/>
      <c r="R6" s="14"/>
      <c r="S6" s="14">
        <f t="shared" ref="S6:S22" si="6">SUM(Q6:R6)</f>
        <v>0</v>
      </c>
      <c r="T6" s="14">
        <f t="shared" ref="T6:T24" si="7">P6-M6+S6</f>
        <v>0</v>
      </c>
      <c r="U6" s="14">
        <f t="shared" ref="U6:U24" si="8">N6-T6</f>
        <v>0</v>
      </c>
      <c r="V6" s="14"/>
      <c r="W6" s="14">
        <f t="shared" ref="W6:W24" si="9">U6-V6-Y6-Z6</f>
        <v>0</v>
      </c>
      <c r="X6" s="14"/>
      <c r="Y6" s="14"/>
      <c r="Z6" s="13"/>
      <c r="AA6" s="13">
        <v>810000</v>
      </c>
    </row>
    <row r="7" spans="1:29" s="15" customFormat="1">
      <c r="A7" s="13">
        <f t="shared" ref="A7:A24" si="10">A6+1</f>
        <v>2</v>
      </c>
      <c r="B7" s="13">
        <v>1710</v>
      </c>
      <c r="C7" s="13" t="s">
        <v>110</v>
      </c>
      <c r="D7" s="14">
        <v>1700000</v>
      </c>
      <c r="E7" s="14">
        <v>1700000</v>
      </c>
      <c r="F7" s="14">
        <f t="shared" si="0"/>
        <v>0</v>
      </c>
      <c r="G7" s="14">
        <v>1634863</v>
      </c>
      <c r="H7" s="14">
        <v>914150</v>
      </c>
      <c r="I7" s="14"/>
      <c r="J7" s="14">
        <v>17332</v>
      </c>
      <c r="K7" s="14">
        <f t="shared" si="1"/>
        <v>17332</v>
      </c>
      <c r="L7" s="14">
        <f t="shared" si="2"/>
        <v>931482</v>
      </c>
      <c r="M7" s="14">
        <f t="shared" si="3"/>
        <v>703381</v>
      </c>
      <c r="N7" s="14">
        <v>65137</v>
      </c>
      <c r="O7" s="14">
        <f t="shared" si="4"/>
        <v>0</v>
      </c>
      <c r="P7" s="14">
        <f t="shared" si="5"/>
        <v>703381</v>
      </c>
      <c r="Q7" s="14"/>
      <c r="R7" s="14"/>
      <c r="S7" s="14">
        <f t="shared" si="6"/>
        <v>0</v>
      </c>
      <c r="T7" s="14">
        <f t="shared" si="7"/>
        <v>0</v>
      </c>
      <c r="U7" s="14">
        <f t="shared" si="8"/>
        <v>65137</v>
      </c>
      <c r="V7" s="14"/>
      <c r="W7" s="14">
        <f t="shared" si="9"/>
        <v>0</v>
      </c>
      <c r="X7" s="14"/>
      <c r="Y7" s="14"/>
      <c r="Z7" s="664">
        <v>65137</v>
      </c>
      <c r="AA7" s="13">
        <v>810000</v>
      </c>
    </row>
    <row r="8" spans="1:29" s="15" customFormat="1">
      <c r="A8" s="13">
        <f t="shared" si="10"/>
        <v>3</v>
      </c>
      <c r="B8" s="13">
        <v>1740</v>
      </c>
      <c r="C8" s="13" t="s">
        <v>111</v>
      </c>
      <c r="D8" s="14">
        <v>280000</v>
      </c>
      <c r="E8" s="14">
        <v>280000</v>
      </c>
      <c r="F8" s="14">
        <f t="shared" si="0"/>
        <v>0</v>
      </c>
      <c r="G8" s="14">
        <v>280000</v>
      </c>
      <c r="H8" s="14">
        <v>150312</v>
      </c>
      <c r="I8" s="14"/>
      <c r="J8" s="14"/>
      <c r="K8" s="14">
        <f t="shared" si="1"/>
        <v>0</v>
      </c>
      <c r="L8" s="14">
        <f t="shared" si="2"/>
        <v>150312</v>
      </c>
      <c r="M8" s="14">
        <f t="shared" si="3"/>
        <v>129688</v>
      </c>
      <c r="N8" s="14"/>
      <c r="O8" s="14">
        <f t="shared" si="4"/>
        <v>0</v>
      </c>
      <c r="P8" s="14">
        <f t="shared" si="5"/>
        <v>129688</v>
      </c>
      <c r="Q8" s="14"/>
      <c r="R8" s="14"/>
      <c r="S8" s="14">
        <f t="shared" si="6"/>
        <v>0</v>
      </c>
      <c r="T8" s="14">
        <f t="shared" si="7"/>
        <v>0</v>
      </c>
      <c r="U8" s="14">
        <f t="shared" si="8"/>
        <v>0</v>
      </c>
      <c r="V8" s="14"/>
      <c r="W8" s="14">
        <f t="shared" si="9"/>
        <v>0</v>
      </c>
      <c r="X8" s="14"/>
      <c r="Y8" s="14"/>
      <c r="Z8" s="13"/>
      <c r="AA8" s="13">
        <v>810000</v>
      </c>
    </row>
    <row r="9" spans="1:29" s="15" customFormat="1">
      <c r="A9" s="13">
        <f t="shared" si="10"/>
        <v>4</v>
      </c>
      <c r="B9" s="13">
        <v>1741</v>
      </c>
      <c r="C9" s="13" t="s">
        <v>393</v>
      </c>
      <c r="D9" s="14">
        <v>300000</v>
      </c>
      <c r="E9" s="14">
        <v>300000</v>
      </c>
      <c r="F9" s="14">
        <f t="shared" si="0"/>
        <v>0</v>
      </c>
      <c r="G9" s="14">
        <v>300000</v>
      </c>
      <c r="H9" s="14">
        <v>278391.61</v>
      </c>
      <c r="I9" s="14"/>
      <c r="J9" s="14"/>
      <c r="K9" s="14">
        <f t="shared" si="1"/>
        <v>0</v>
      </c>
      <c r="L9" s="14">
        <f t="shared" si="2"/>
        <v>278391.61</v>
      </c>
      <c r="M9" s="14">
        <f t="shared" si="3"/>
        <v>21608.390000000014</v>
      </c>
      <c r="N9" s="14"/>
      <c r="O9" s="14">
        <f t="shared" si="4"/>
        <v>0</v>
      </c>
      <c r="P9" s="14">
        <f t="shared" si="5"/>
        <v>21608.390000000014</v>
      </c>
      <c r="Q9" s="14"/>
      <c r="R9" s="14"/>
      <c r="S9" s="14">
        <f t="shared" si="6"/>
        <v>0</v>
      </c>
      <c r="T9" s="14">
        <f t="shared" si="7"/>
        <v>0</v>
      </c>
      <c r="U9" s="14">
        <f t="shared" si="8"/>
        <v>0</v>
      </c>
      <c r="V9" s="14"/>
      <c r="W9" s="14">
        <f t="shared" si="9"/>
        <v>0</v>
      </c>
      <c r="X9" s="14"/>
      <c r="Y9" s="14"/>
      <c r="Z9" s="13"/>
      <c r="AA9" s="13">
        <v>810000</v>
      </c>
    </row>
    <row r="10" spans="1:29" s="15" customFormat="1">
      <c r="A10" s="13">
        <f t="shared" si="10"/>
        <v>5</v>
      </c>
      <c r="B10" s="13">
        <v>1775</v>
      </c>
      <c r="C10" s="13" t="s">
        <v>112</v>
      </c>
      <c r="D10" s="14">
        <v>465000</v>
      </c>
      <c r="E10" s="14">
        <v>465000</v>
      </c>
      <c r="F10" s="14">
        <f t="shared" si="0"/>
        <v>0</v>
      </c>
      <c r="G10" s="14">
        <v>465000</v>
      </c>
      <c r="H10" s="14">
        <v>460379.55</v>
      </c>
      <c r="I10" s="14"/>
      <c r="J10" s="14"/>
      <c r="K10" s="14">
        <f t="shared" si="1"/>
        <v>0</v>
      </c>
      <c r="L10" s="14">
        <f t="shared" si="2"/>
        <v>460379.55</v>
      </c>
      <c r="M10" s="14">
        <f t="shared" si="3"/>
        <v>4620.4500000000116</v>
      </c>
      <c r="N10" s="14"/>
      <c r="O10" s="14">
        <f t="shared" si="4"/>
        <v>0</v>
      </c>
      <c r="P10" s="14">
        <f t="shared" si="5"/>
        <v>4620.4500000000116</v>
      </c>
      <c r="Q10" s="14"/>
      <c r="R10" s="14"/>
      <c r="S10" s="14">
        <f t="shared" si="6"/>
        <v>0</v>
      </c>
      <c r="T10" s="14">
        <f t="shared" si="7"/>
        <v>0</v>
      </c>
      <c r="U10" s="14">
        <f t="shared" si="8"/>
        <v>0</v>
      </c>
      <c r="V10" s="14"/>
      <c r="W10" s="14">
        <f t="shared" si="9"/>
        <v>0</v>
      </c>
      <c r="X10" s="14"/>
      <c r="Y10" s="14"/>
      <c r="Z10" s="13"/>
      <c r="AA10" s="13">
        <v>760000</v>
      </c>
    </row>
    <row r="11" spans="1:29" s="15" customFormat="1">
      <c r="A11" s="13">
        <f t="shared" si="10"/>
        <v>6</v>
      </c>
      <c r="B11" s="13">
        <v>1776</v>
      </c>
      <c r="C11" s="13" t="s">
        <v>113</v>
      </c>
      <c r="D11" s="14">
        <f>350000+315000</f>
        <v>665000</v>
      </c>
      <c r="E11" s="14">
        <v>350000</v>
      </c>
      <c r="F11" s="14">
        <f t="shared" si="0"/>
        <v>315000</v>
      </c>
      <c r="G11" s="14">
        <f>240000+110000</f>
        <v>350000</v>
      </c>
      <c r="H11" s="14">
        <v>85702.5</v>
      </c>
      <c r="I11" s="14"/>
      <c r="J11" s="14">
        <v>185572</v>
      </c>
      <c r="K11" s="14">
        <f t="shared" si="1"/>
        <v>185572</v>
      </c>
      <c r="L11" s="14">
        <f t="shared" si="2"/>
        <v>271274.5</v>
      </c>
      <c r="M11" s="14">
        <f>P11+S11</f>
        <v>78725.5</v>
      </c>
      <c r="N11" s="14">
        <v>315000</v>
      </c>
      <c r="O11" s="14">
        <f>D11-L11-M11-N11</f>
        <v>0</v>
      </c>
      <c r="P11" s="14">
        <f t="shared" si="5"/>
        <v>78725.5</v>
      </c>
      <c r="Q11" s="14"/>
      <c r="R11" s="14"/>
      <c r="S11" s="14">
        <f t="shared" si="6"/>
        <v>0</v>
      </c>
      <c r="T11" s="14">
        <f t="shared" si="7"/>
        <v>0</v>
      </c>
      <c r="U11" s="14">
        <f t="shared" si="8"/>
        <v>315000</v>
      </c>
      <c r="V11" s="14"/>
      <c r="W11" s="14">
        <f t="shared" si="9"/>
        <v>315000</v>
      </c>
      <c r="X11" s="14"/>
      <c r="Y11" s="14"/>
      <c r="Z11" s="13"/>
      <c r="AA11" s="13">
        <v>810000</v>
      </c>
    </row>
    <row r="12" spans="1:29" s="15" customFormat="1">
      <c r="A12" s="13">
        <f t="shared" si="10"/>
        <v>7</v>
      </c>
      <c r="B12" s="100">
        <v>1810</v>
      </c>
      <c r="C12" s="13" t="s">
        <v>356</v>
      </c>
      <c r="D12" s="14">
        <v>950000</v>
      </c>
      <c r="E12" s="14">
        <v>950000</v>
      </c>
      <c r="F12" s="14">
        <f t="shared" si="0"/>
        <v>0</v>
      </c>
      <c r="G12" s="14">
        <v>950000</v>
      </c>
      <c r="H12" s="14">
        <v>935477</v>
      </c>
      <c r="I12" s="14"/>
      <c r="J12" s="14">
        <v>13839</v>
      </c>
      <c r="K12" s="14">
        <f t="shared" si="1"/>
        <v>13839</v>
      </c>
      <c r="L12" s="14">
        <f t="shared" si="2"/>
        <v>949316</v>
      </c>
      <c r="M12" s="14">
        <f t="shared" si="3"/>
        <v>684</v>
      </c>
      <c r="N12" s="14">
        <v>0</v>
      </c>
      <c r="O12" s="14">
        <f t="shared" si="4"/>
        <v>0</v>
      </c>
      <c r="P12" s="14">
        <f t="shared" si="5"/>
        <v>684</v>
      </c>
      <c r="Q12" s="14"/>
      <c r="R12" s="14"/>
      <c r="S12" s="14">
        <f t="shared" si="6"/>
        <v>0</v>
      </c>
      <c r="T12" s="14">
        <f t="shared" si="7"/>
        <v>0</v>
      </c>
      <c r="U12" s="14">
        <f t="shared" si="8"/>
        <v>0</v>
      </c>
      <c r="V12" s="14"/>
      <c r="W12" s="14">
        <f t="shared" si="9"/>
        <v>0</v>
      </c>
      <c r="X12" s="14"/>
      <c r="Y12" s="14"/>
      <c r="Z12" s="13"/>
      <c r="AA12" s="13">
        <v>810000</v>
      </c>
    </row>
    <row r="13" spans="1:29" s="15" customFormat="1">
      <c r="A13" s="13">
        <f t="shared" si="10"/>
        <v>8</v>
      </c>
      <c r="B13" s="100">
        <v>1817</v>
      </c>
      <c r="C13" s="13" t="s">
        <v>244</v>
      </c>
      <c r="D13" s="14">
        <v>640000</v>
      </c>
      <c r="E13" s="14">
        <v>640000</v>
      </c>
      <c r="F13" s="14">
        <f t="shared" si="0"/>
        <v>0</v>
      </c>
      <c r="G13" s="14">
        <v>640000</v>
      </c>
      <c r="H13" s="14">
        <v>555691.87</v>
      </c>
      <c r="I13" s="14"/>
      <c r="J13" s="14">
        <v>34728</v>
      </c>
      <c r="K13" s="14">
        <f t="shared" si="1"/>
        <v>34728</v>
      </c>
      <c r="L13" s="14">
        <f t="shared" si="2"/>
        <v>590419.87</v>
      </c>
      <c r="M13" s="14">
        <f t="shared" si="3"/>
        <v>49580.130000000005</v>
      </c>
      <c r="N13" s="14"/>
      <c r="O13" s="14">
        <f t="shared" si="4"/>
        <v>0</v>
      </c>
      <c r="P13" s="14">
        <f t="shared" si="5"/>
        <v>49580.130000000005</v>
      </c>
      <c r="Q13" s="14"/>
      <c r="R13" s="14"/>
      <c r="S13" s="14">
        <f t="shared" si="6"/>
        <v>0</v>
      </c>
      <c r="T13" s="14">
        <f t="shared" si="7"/>
        <v>0</v>
      </c>
      <c r="U13" s="14">
        <f t="shared" si="8"/>
        <v>0</v>
      </c>
      <c r="V13" s="14"/>
      <c r="W13" s="14">
        <f t="shared" si="9"/>
        <v>0</v>
      </c>
      <c r="X13" s="14"/>
      <c r="Y13" s="14"/>
      <c r="Z13" s="13"/>
      <c r="AA13" s="13">
        <v>810000</v>
      </c>
    </row>
    <row r="14" spans="1:29" s="15" customFormat="1">
      <c r="A14" s="13">
        <f t="shared" si="10"/>
        <v>9</v>
      </c>
      <c r="B14" s="100">
        <v>1828</v>
      </c>
      <c r="C14" s="13" t="s">
        <v>394</v>
      </c>
      <c r="D14" s="14">
        <v>330000</v>
      </c>
      <c r="E14" s="14">
        <v>330000</v>
      </c>
      <c r="F14" s="14">
        <f t="shared" si="0"/>
        <v>0</v>
      </c>
      <c r="G14" s="14">
        <v>330000</v>
      </c>
      <c r="H14" s="14">
        <v>188718.3</v>
      </c>
      <c r="I14" s="14"/>
      <c r="J14" s="14"/>
      <c r="K14" s="14">
        <f t="shared" si="1"/>
        <v>0</v>
      </c>
      <c r="L14" s="14">
        <f t="shared" si="2"/>
        <v>188718.3</v>
      </c>
      <c r="M14" s="14">
        <f t="shared" si="3"/>
        <v>141281.70000000001</v>
      </c>
      <c r="N14" s="14"/>
      <c r="O14" s="14">
        <f t="shared" si="4"/>
        <v>0</v>
      </c>
      <c r="P14" s="14">
        <f t="shared" si="5"/>
        <v>141281.70000000001</v>
      </c>
      <c r="Q14" s="14"/>
      <c r="R14" s="14"/>
      <c r="S14" s="14">
        <f t="shared" si="6"/>
        <v>0</v>
      </c>
      <c r="T14" s="14">
        <f t="shared" si="7"/>
        <v>0</v>
      </c>
      <c r="U14" s="14">
        <f t="shared" si="8"/>
        <v>0</v>
      </c>
      <c r="V14" s="14"/>
      <c r="W14" s="14">
        <f t="shared" si="9"/>
        <v>0</v>
      </c>
      <c r="X14" s="14"/>
      <c r="Y14" s="14"/>
      <c r="Z14" s="13"/>
      <c r="AA14" s="13">
        <v>810000</v>
      </c>
    </row>
    <row r="15" spans="1:29" s="15" customFormat="1">
      <c r="A15" s="13">
        <f t="shared" si="10"/>
        <v>10</v>
      </c>
      <c r="B15" s="100">
        <v>1930</v>
      </c>
      <c r="C15" s="13" t="s">
        <v>301</v>
      </c>
      <c r="D15" s="14">
        <f>400000+'[1]אומדן - סיכום'!E61+'[1]אומדן - סיכום'!E57</f>
        <v>950000</v>
      </c>
      <c r="E15" s="14">
        <v>400000</v>
      </c>
      <c r="F15" s="14">
        <f t="shared" si="0"/>
        <v>550000</v>
      </c>
      <c r="G15" s="14">
        <f>320000+80000</f>
        <v>400000</v>
      </c>
      <c r="H15" s="14">
        <v>230431</v>
      </c>
      <c r="I15" s="14"/>
      <c r="J15" s="14">
        <v>122783</v>
      </c>
      <c r="K15" s="14">
        <f t="shared" si="1"/>
        <v>122783</v>
      </c>
      <c r="L15" s="14">
        <f t="shared" si="2"/>
        <v>353214</v>
      </c>
      <c r="M15" s="14">
        <f t="shared" si="3"/>
        <v>46786</v>
      </c>
      <c r="N15" s="14">
        <v>550000</v>
      </c>
      <c r="O15" s="14">
        <f>D15-L15-M15-N15</f>
        <v>0</v>
      </c>
      <c r="P15" s="14">
        <f t="shared" si="5"/>
        <v>46786</v>
      </c>
      <c r="Q15" s="14"/>
      <c r="R15" s="14"/>
      <c r="S15" s="14">
        <f t="shared" si="6"/>
        <v>0</v>
      </c>
      <c r="T15" s="14">
        <f t="shared" si="7"/>
        <v>0</v>
      </c>
      <c r="U15" s="14">
        <f t="shared" si="8"/>
        <v>550000</v>
      </c>
      <c r="V15" s="14"/>
      <c r="W15" s="14">
        <f t="shared" si="9"/>
        <v>550000</v>
      </c>
      <c r="X15" s="14"/>
      <c r="Y15" s="14"/>
      <c r="Z15" s="13"/>
      <c r="AA15" s="13">
        <v>810000</v>
      </c>
    </row>
    <row r="16" spans="1:29" s="15" customFormat="1">
      <c r="A16" s="13">
        <f t="shared" si="10"/>
        <v>11</v>
      </c>
      <c r="B16" s="13">
        <v>1975</v>
      </c>
      <c r="C16" s="13" t="s">
        <v>357</v>
      </c>
      <c r="D16" s="14">
        <v>975000</v>
      </c>
      <c r="E16" s="14">
        <v>975000</v>
      </c>
      <c r="F16" s="14">
        <f t="shared" si="0"/>
        <v>0</v>
      </c>
      <c r="G16" s="14">
        <v>0</v>
      </c>
      <c r="H16" s="14">
        <v>0</v>
      </c>
      <c r="I16" s="14"/>
      <c r="J16" s="14"/>
      <c r="K16" s="14">
        <f t="shared" si="1"/>
        <v>0</v>
      </c>
      <c r="L16" s="14">
        <f t="shared" si="2"/>
        <v>0</v>
      </c>
      <c r="M16" s="14">
        <f t="shared" si="3"/>
        <v>0</v>
      </c>
      <c r="N16" s="14">
        <f>975000-975000</f>
        <v>0</v>
      </c>
      <c r="O16" s="14">
        <f t="shared" si="4"/>
        <v>975000</v>
      </c>
      <c r="P16" s="14">
        <f t="shared" si="5"/>
        <v>0</v>
      </c>
      <c r="Q16" s="14"/>
      <c r="R16" s="14"/>
      <c r="S16" s="14">
        <f t="shared" si="6"/>
        <v>0</v>
      </c>
      <c r="T16" s="14">
        <f t="shared" si="7"/>
        <v>0</v>
      </c>
      <c r="U16" s="14">
        <f t="shared" si="8"/>
        <v>0</v>
      </c>
      <c r="V16" s="14"/>
      <c r="W16" s="14">
        <f t="shared" si="9"/>
        <v>0</v>
      </c>
      <c r="X16" s="14"/>
      <c r="Y16" s="14"/>
      <c r="Z16" s="13"/>
      <c r="AA16" s="13">
        <v>810000</v>
      </c>
    </row>
    <row r="17" spans="1:27" s="15" customFormat="1">
      <c r="A17" s="13">
        <f t="shared" si="10"/>
        <v>12</v>
      </c>
      <c r="B17" s="13">
        <v>1976</v>
      </c>
      <c r="C17" s="13" t="s">
        <v>358</v>
      </c>
      <c r="D17" s="14">
        <f>1004100-360000</f>
        <v>644100</v>
      </c>
      <c r="E17" s="14">
        <v>644100</v>
      </c>
      <c r="F17" s="14">
        <f t="shared" si="0"/>
        <v>0</v>
      </c>
      <c r="G17" s="14">
        <v>644100</v>
      </c>
      <c r="H17" s="14">
        <v>3510</v>
      </c>
      <c r="I17" s="14"/>
      <c r="J17" s="14">
        <v>338913</v>
      </c>
      <c r="K17" s="14">
        <f t="shared" si="1"/>
        <v>338913</v>
      </c>
      <c r="L17" s="14">
        <f t="shared" si="2"/>
        <v>342423</v>
      </c>
      <c r="M17" s="14">
        <f t="shared" si="3"/>
        <v>301677</v>
      </c>
      <c r="N17" s="14">
        <f>360000-360000</f>
        <v>0</v>
      </c>
      <c r="O17" s="14">
        <f t="shared" si="4"/>
        <v>0</v>
      </c>
      <c r="P17" s="14">
        <f t="shared" si="5"/>
        <v>301677</v>
      </c>
      <c r="Q17" s="14"/>
      <c r="R17" s="14"/>
      <c r="S17" s="14">
        <f t="shared" si="6"/>
        <v>0</v>
      </c>
      <c r="T17" s="14">
        <f t="shared" si="7"/>
        <v>0</v>
      </c>
      <c r="U17" s="14">
        <f t="shared" si="8"/>
        <v>0</v>
      </c>
      <c r="V17" s="14"/>
      <c r="W17" s="14">
        <f t="shared" si="9"/>
        <v>0</v>
      </c>
      <c r="X17" s="14"/>
      <c r="Y17" s="14"/>
      <c r="Z17" s="13"/>
      <c r="AA17" s="13">
        <v>810000</v>
      </c>
    </row>
    <row r="18" spans="1:27" s="15" customFormat="1">
      <c r="A18" s="13">
        <f t="shared" si="10"/>
        <v>13</v>
      </c>
      <c r="B18" s="13">
        <v>1977</v>
      </c>
      <c r="C18" s="13" t="s">
        <v>359</v>
      </c>
      <c r="D18" s="14">
        <v>44100</v>
      </c>
      <c r="E18" s="14">
        <v>44100</v>
      </c>
      <c r="F18" s="14">
        <f t="shared" si="0"/>
        <v>0</v>
      </c>
      <c r="G18" s="14">
        <v>44100</v>
      </c>
      <c r="H18" s="14">
        <v>0</v>
      </c>
      <c r="I18" s="14"/>
      <c r="J18" s="14"/>
      <c r="K18" s="14">
        <f t="shared" si="1"/>
        <v>0</v>
      </c>
      <c r="L18" s="14">
        <f t="shared" si="2"/>
        <v>0</v>
      </c>
      <c r="M18" s="14">
        <f t="shared" si="3"/>
        <v>44100</v>
      </c>
      <c r="N18" s="14"/>
      <c r="O18" s="14">
        <f t="shared" si="4"/>
        <v>0</v>
      </c>
      <c r="P18" s="14">
        <f t="shared" si="5"/>
        <v>44100</v>
      </c>
      <c r="Q18" s="14"/>
      <c r="R18" s="14"/>
      <c r="S18" s="14">
        <f t="shared" si="6"/>
        <v>0</v>
      </c>
      <c r="T18" s="14">
        <f t="shared" si="7"/>
        <v>0</v>
      </c>
      <c r="U18" s="14">
        <f t="shared" si="8"/>
        <v>0</v>
      </c>
      <c r="V18" s="14"/>
      <c r="W18" s="14">
        <f t="shared" si="9"/>
        <v>0</v>
      </c>
      <c r="X18" s="14"/>
      <c r="Y18" s="14"/>
      <c r="Z18" s="13"/>
      <c r="AA18" s="13">
        <v>810000</v>
      </c>
    </row>
    <row r="19" spans="1:27" s="15" customFormat="1">
      <c r="A19" s="13">
        <f t="shared" si="10"/>
        <v>14</v>
      </c>
      <c r="B19" s="100">
        <v>1978</v>
      </c>
      <c r="C19" s="13" t="s">
        <v>360</v>
      </c>
      <c r="D19" s="14">
        <v>73500</v>
      </c>
      <c r="E19" s="14">
        <v>73500</v>
      </c>
      <c r="F19" s="14">
        <f t="shared" si="0"/>
        <v>0</v>
      </c>
      <c r="G19" s="14">
        <v>73500</v>
      </c>
      <c r="H19" s="14">
        <v>0</v>
      </c>
      <c r="I19" s="14"/>
      <c r="J19" s="14"/>
      <c r="K19" s="14">
        <f t="shared" si="1"/>
        <v>0</v>
      </c>
      <c r="L19" s="14">
        <f t="shared" si="2"/>
        <v>0</v>
      </c>
      <c r="M19" s="14">
        <f t="shared" si="3"/>
        <v>73500</v>
      </c>
      <c r="N19" s="14"/>
      <c r="O19" s="14">
        <f t="shared" si="4"/>
        <v>0</v>
      </c>
      <c r="P19" s="14">
        <f t="shared" si="5"/>
        <v>73500</v>
      </c>
      <c r="Q19" s="14"/>
      <c r="R19" s="14"/>
      <c r="S19" s="14">
        <f t="shared" si="6"/>
        <v>0</v>
      </c>
      <c r="T19" s="14">
        <f t="shared" si="7"/>
        <v>0</v>
      </c>
      <c r="U19" s="14">
        <f t="shared" si="8"/>
        <v>0</v>
      </c>
      <c r="V19" s="14"/>
      <c r="W19" s="14">
        <f t="shared" si="9"/>
        <v>0</v>
      </c>
      <c r="X19" s="14"/>
      <c r="Y19" s="14"/>
      <c r="Z19" s="13"/>
      <c r="AA19" s="13">
        <v>810000</v>
      </c>
    </row>
    <row r="20" spans="1:27" s="15" customFormat="1">
      <c r="A20" s="13">
        <f t="shared" si="10"/>
        <v>15</v>
      </c>
      <c r="B20" s="100">
        <v>1987</v>
      </c>
      <c r="C20" s="13" t="s">
        <v>438</v>
      </c>
      <c r="D20" s="14">
        <v>120000</v>
      </c>
      <c r="E20" s="14">
        <v>120000</v>
      </c>
      <c r="F20" s="14">
        <f t="shared" si="0"/>
        <v>0</v>
      </c>
      <c r="G20" s="14">
        <v>120000</v>
      </c>
      <c r="H20" s="14">
        <v>0</v>
      </c>
      <c r="I20" s="14"/>
      <c r="J20" s="14"/>
      <c r="K20" s="14">
        <f t="shared" si="1"/>
        <v>0</v>
      </c>
      <c r="L20" s="14">
        <f t="shared" si="2"/>
        <v>0</v>
      </c>
      <c r="M20" s="14">
        <f>P20+S20</f>
        <v>120000</v>
      </c>
      <c r="N20" s="14"/>
      <c r="O20" s="14">
        <f t="shared" si="4"/>
        <v>0</v>
      </c>
      <c r="P20" s="14">
        <f t="shared" si="5"/>
        <v>120000</v>
      </c>
      <c r="Q20" s="14"/>
      <c r="R20" s="14"/>
      <c r="S20" s="14">
        <f t="shared" si="6"/>
        <v>0</v>
      </c>
      <c r="T20" s="14">
        <f t="shared" si="7"/>
        <v>0</v>
      </c>
      <c r="U20" s="14">
        <f t="shared" si="8"/>
        <v>0</v>
      </c>
      <c r="V20" s="14"/>
      <c r="W20" s="14">
        <f t="shared" si="9"/>
        <v>0</v>
      </c>
      <c r="X20" s="14"/>
      <c r="Y20" s="14"/>
      <c r="Z20" s="13"/>
      <c r="AA20" s="13">
        <v>810000</v>
      </c>
    </row>
    <row r="21" spans="1:27" s="15" customFormat="1">
      <c r="A21" s="13">
        <f t="shared" si="10"/>
        <v>16</v>
      </c>
      <c r="B21" s="100">
        <v>1990</v>
      </c>
      <c r="C21" s="13" t="s">
        <v>439</v>
      </c>
      <c r="D21" s="14">
        <v>58800</v>
      </c>
      <c r="E21" s="14">
        <v>58800</v>
      </c>
      <c r="F21" s="14">
        <f t="shared" si="0"/>
        <v>0</v>
      </c>
      <c r="G21" s="14">
        <v>58800</v>
      </c>
      <c r="H21" s="14">
        <v>0</v>
      </c>
      <c r="I21" s="14"/>
      <c r="J21" s="14"/>
      <c r="K21" s="14">
        <f t="shared" si="1"/>
        <v>0</v>
      </c>
      <c r="L21" s="14">
        <f t="shared" si="2"/>
        <v>0</v>
      </c>
      <c r="M21" s="14">
        <f t="shared" si="3"/>
        <v>58800</v>
      </c>
      <c r="N21" s="14"/>
      <c r="O21" s="14">
        <f t="shared" si="4"/>
        <v>0</v>
      </c>
      <c r="P21" s="14">
        <f t="shared" si="5"/>
        <v>58800</v>
      </c>
      <c r="Q21" s="14"/>
      <c r="R21" s="14"/>
      <c r="S21" s="14">
        <f t="shared" si="6"/>
        <v>0</v>
      </c>
      <c r="T21" s="14">
        <f t="shared" si="7"/>
        <v>0</v>
      </c>
      <c r="U21" s="14">
        <f t="shared" si="8"/>
        <v>0</v>
      </c>
      <c r="V21" s="14"/>
      <c r="W21" s="14">
        <f t="shared" si="9"/>
        <v>0</v>
      </c>
      <c r="X21" s="14"/>
      <c r="Y21" s="14"/>
      <c r="Z21" s="13"/>
      <c r="AA21" s="13">
        <v>810000</v>
      </c>
    </row>
    <row r="22" spans="1:27" s="15" customFormat="1">
      <c r="A22" s="13">
        <f t="shared" si="10"/>
        <v>17</v>
      </c>
      <c r="B22" s="100">
        <v>2003</v>
      </c>
      <c r="C22" s="13" t="s">
        <v>440</v>
      </c>
      <c r="D22" s="14">
        <f>150000+65000-65000</f>
        <v>150000</v>
      </c>
      <c r="E22" s="14">
        <v>150000</v>
      </c>
      <c r="F22" s="14">
        <f t="shared" si="0"/>
        <v>0</v>
      </c>
      <c r="G22" s="14">
        <v>150000</v>
      </c>
      <c r="H22" s="14">
        <v>0</v>
      </c>
      <c r="I22" s="14"/>
      <c r="J22" s="14"/>
      <c r="K22" s="14">
        <f t="shared" si="1"/>
        <v>0</v>
      </c>
      <c r="L22" s="14">
        <f t="shared" si="2"/>
        <v>0</v>
      </c>
      <c r="M22" s="14">
        <f t="shared" si="3"/>
        <v>150000</v>
      </c>
      <c r="N22" s="14"/>
      <c r="O22" s="14">
        <f t="shared" si="4"/>
        <v>0</v>
      </c>
      <c r="P22" s="14">
        <f t="shared" si="5"/>
        <v>150000</v>
      </c>
      <c r="Q22" s="14"/>
      <c r="R22" s="14"/>
      <c r="S22" s="14">
        <f t="shared" si="6"/>
        <v>0</v>
      </c>
      <c r="T22" s="14">
        <f t="shared" si="7"/>
        <v>0</v>
      </c>
      <c r="U22" s="14">
        <f t="shared" si="8"/>
        <v>0</v>
      </c>
      <c r="V22" s="14"/>
      <c r="W22" s="14">
        <f t="shared" si="9"/>
        <v>0</v>
      </c>
      <c r="X22" s="14"/>
      <c r="Y22" s="14"/>
      <c r="Z22" s="13"/>
      <c r="AA22" s="13">
        <v>810000</v>
      </c>
    </row>
    <row r="23" spans="1:27" s="15" customFormat="1">
      <c r="A23" s="13">
        <f t="shared" si="10"/>
        <v>18</v>
      </c>
      <c r="B23" s="100">
        <v>2033</v>
      </c>
      <c r="C23" s="13" t="s">
        <v>476</v>
      </c>
      <c r="D23" s="14">
        <v>950000</v>
      </c>
      <c r="E23" s="14"/>
      <c r="F23" s="14">
        <f t="shared" si="0"/>
        <v>950000</v>
      </c>
      <c r="G23" s="14"/>
      <c r="H23" s="14"/>
      <c r="I23" s="14"/>
      <c r="J23" s="14"/>
      <c r="K23" s="14"/>
      <c r="L23" s="14"/>
      <c r="M23" s="14">
        <f>P23+S23</f>
        <v>0</v>
      </c>
      <c r="N23" s="14">
        <v>950000</v>
      </c>
      <c r="O23" s="14">
        <f>D23-L23-M23-N23</f>
        <v>0</v>
      </c>
      <c r="P23" s="14">
        <f>G23-L23</f>
        <v>0</v>
      </c>
      <c r="Q23" s="14"/>
      <c r="R23" s="14"/>
      <c r="S23" s="14">
        <f>SUM(Q23:R23)</f>
        <v>0</v>
      </c>
      <c r="T23" s="14">
        <f t="shared" si="7"/>
        <v>0</v>
      </c>
      <c r="U23" s="14">
        <f t="shared" si="8"/>
        <v>950000</v>
      </c>
      <c r="V23" s="14"/>
      <c r="W23" s="14">
        <f t="shared" si="9"/>
        <v>950000</v>
      </c>
      <c r="X23" s="14"/>
      <c r="Y23" s="14"/>
      <c r="Z23" s="13"/>
      <c r="AA23" s="13">
        <v>810000</v>
      </c>
    </row>
    <row r="24" spans="1:27" s="15" customFormat="1">
      <c r="A24" s="13">
        <f t="shared" si="10"/>
        <v>19</v>
      </c>
      <c r="B24" s="100">
        <v>2034</v>
      </c>
      <c r="C24" s="13" t="s">
        <v>1001</v>
      </c>
      <c r="D24" s="14">
        <v>1700000</v>
      </c>
      <c r="E24" s="14"/>
      <c r="F24" s="14">
        <f t="shared" si="0"/>
        <v>1700000</v>
      </c>
      <c r="G24" s="14"/>
      <c r="H24" s="14"/>
      <c r="I24" s="14"/>
      <c r="J24" s="14"/>
      <c r="K24" s="14"/>
      <c r="L24" s="14"/>
      <c r="M24" s="14">
        <f>P24+S24</f>
        <v>0</v>
      </c>
      <c r="N24" s="14">
        <f>1200000-500000</f>
        <v>700000</v>
      </c>
      <c r="O24" s="14">
        <f>D24-L24-M24-N24</f>
        <v>1000000</v>
      </c>
      <c r="P24" s="14">
        <f>G24-L24</f>
        <v>0</v>
      </c>
      <c r="Q24" s="14"/>
      <c r="R24" s="14"/>
      <c r="S24" s="14">
        <f>SUM(Q24:R24)</f>
        <v>0</v>
      </c>
      <c r="T24" s="14">
        <f t="shared" si="7"/>
        <v>0</v>
      </c>
      <c r="U24" s="14">
        <f t="shared" si="8"/>
        <v>700000</v>
      </c>
      <c r="V24" s="14"/>
      <c r="W24" s="14">
        <f t="shared" si="9"/>
        <v>700000</v>
      </c>
      <c r="X24" s="14"/>
      <c r="Y24" s="14"/>
      <c r="Z24" s="13"/>
      <c r="AA24" s="13">
        <v>810000</v>
      </c>
    </row>
    <row r="25" spans="1:27" s="689" customFormat="1" ht="15.75">
      <c r="A25" s="147">
        <f>A24</f>
        <v>19</v>
      </c>
      <c r="B25" s="220"/>
      <c r="C25" s="147" t="s">
        <v>967</v>
      </c>
      <c r="D25" s="148">
        <f t="shared" ref="D25:Z25" si="11">SUM(D6:D24)</f>
        <v>11125500</v>
      </c>
      <c r="E25" s="148">
        <f t="shared" si="11"/>
        <v>7610500</v>
      </c>
      <c r="F25" s="148">
        <f t="shared" si="11"/>
        <v>3515000</v>
      </c>
      <c r="G25" s="148">
        <f t="shared" si="11"/>
        <v>6570363</v>
      </c>
      <c r="H25" s="148">
        <f t="shared" si="11"/>
        <v>3919803.55</v>
      </c>
      <c r="I25" s="148">
        <f t="shared" si="11"/>
        <v>0</v>
      </c>
      <c r="J25" s="148">
        <f t="shared" si="11"/>
        <v>726080</v>
      </c>
      <c r="K25" s="148">
        <f t="shared" si="11"/>
        <v>726080</v>
      </c>
      <c r="L25" s="148">
        <f t="shared" si="11"/>
        <v>4645883.55</v>
      </c>
      <c r="M25" s="148">
        <f t="shared" si="11"/>
        <v>1924479.4500000002</v>
      </c>
      <c r="N25" s="148">
        <f t="shared" si="11"/>
        <v>2580137</v>
      </c>
      <c r="O25" s="148">
        <f t="shared" si="11"/>
        <v>1975000</v>
      </c>
      <c r="P25" s="148">
        <f t="shared" si="11"/>
        <v>1924479.4500000002</v>
      </c>
      <c r="Q25" s="148">
        <f t="shared" si="11"/>
        <v>0</v>
      </c>
      <c r="R25" s="148">
        <f t="shared" si="11"/>
        <v>0</v>
      </c>
      <c r="S25" s="148">
        <f t="shared" si="11"/>
        <v>0</v>
      </c>
      <c r="T25" s="148">
        <f t="shared" si="11"/>
        <v>0</v>
      </c>
      <c r="U25" s="148">
        <f t="shared" si="11"/>
        <v>2580137</v>
      </c>
      <c r="V25" s="148">
        <f t="shared" si="11"/>
        <v>0</v>
      </c>
      <c r="W25" s="148">
        <f t="shared" si="11"/>
        <v>2515000</v>
      </c>
      <c r="X25" s="148">
        <f t="shared" si="11"/>
        <v>0</v>
      </c>
      <c r="Y25" s="148">
        <f t="shared" si="11"/>
        <v>0</v>
      </c>
      <c r="Z25" s="148">
        <f t="shared" si="11"/>
        <v>65137</v>
      </c>
      <c r="AA25" s="147"/>
    </row>
    <row r="26" spans="1:27" s="149" customFormat="1">
      <c r="A26" s="81"/>
      <c r="B26" s="207"/>
      <c r="C26" s="81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81"/>
      <c r="AA26" s="81"/>
    </row>
    <row r="27" spans="1:27" s="15" customFormat="1" ht="15.75" thickBot="1">
      <c r="A27" s="57"/>
      <c r="B27" s="29"/>
      <c r="C27" s="29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29"/>
      <c r="V27" s="29"/>
      <c r="W27" s="29"/>
      <c r="X27" s="29"/>
      <c r="Y27" s="29"/>
      <c r="Z27" s="29"/>
      <c r="AA27" s="29"/>
    </row>
    <row r="28" spans="1:27" s="15" customFormat="1" ht="16.5" thickBot="1">
      <c r="A28" s="57"/>
      <c r="B28" s="29"/>
      <c r="C28" s="31"/>
      <c r="E28" s="208"/>
      <c r="F28" s="31"/>
      <c r="G28" s="209"/>
      <c r="H28" s="31"/>
      <c r="I28" s="31"/>
      <c r="J28" s="31"/>
      <c r="K28" s="31"/>
      <c r="L28" s="31"/>
      <c r="M28" s="52"/>
      <c r="N28" s="52"/>
      <c r="O28" s="52"/>
      <c r="P28" s="55"/>
      <c r="Q28" s="52"/>
      <c r="R28" s="52"/>
      <c r="S28" s="52"/>
      <c r="T28" s="31"/>
      <c r="U28" s="29"/>
      <c r="V28" s="29"/>
      <c r="W28" s="29"/>
      <c r="X28" s="29"/>
      <c r="Y28" s="29"/>
      <c r="Z28" s="29"/>
      <c r="AA28" s="29"/>
    </row>
    <row r="29" spans="1:27" s="15" customFormat="1">
      <c r="A29" s="57"/>
      <c r="B29" s="29"/>
      <c r="C29" s="29"/>
      <c r="D29" s="52"/>
      <c r="E29" s="208"/>
      <c r="F29" s="31"/>
      <c r="G29" s="31"/>
      <c r="H29" s="31"/>
      <c r="I29" s="31"/>
      <c r="J29" s="31"/>
      <c r="K29" s="31"/>
      <c r="L29" s="31"/>
      <c r="M29" s="52"/>
      <c r="O29" s="52"/>
      <c r="P29" s="52"/>
      <c r="Q29" s="52"/>
      <c r="R29" s="52"/>
      <c r="S29" s="52"/>
      <c r="T29" s="52"/>
      <c r="U29" s="52"/>
      <c r="V29" s="52"/>
      <c r="W29" s="29"/>
      <c r="X29" s="29"/>
      <c r="Y29" s="29"/>
      <c r="Z29" s="29"/>
      <c r="AA29" s="29"/>
    </row>
    <row r="30" spans="1:27" s="15" customFormat="1">
      <c r="A30" s="57"/>
      <c r="B30" s="29"/>
      <c r="C30" s="29"/>
      <c r="D30" s="52"/>
      <c r="E30" s="208"/>
      <c r="F30" s="31"/>
      <c r="G30" s="31"/>
      <c r="H30" s="31"/>
      <c r="I30" s="31"/>
      <c r="J30" s="31"/>
      <c r="K30" s="31"/>
      <c r="L30" s="31"/>
      <c r="M30" s="52"/>
      <c r="O30" s="52"/>
      <c r="P30" s="52"/>
      <c r="Q30" s="52"/>
      <c r="R30" s="52"/>
      <c r="S30" s="52"/>
      <c r="T30" s="52"/>
      <c r="U30" s="52"/>
      <c r="V30" s="52"/>
      <c r="W30" s="29"/>
      <c r="X30" s="29"/>
      <c r="Y30" s="29"/>
      <c r="Z30" s="29"/>
      <c r="AA30" s="29"/>
    </row>
    <row r="31" spans="1:27" s="15" customFormat="1">
      <c r="A31" s="57"/>
      <c r="B31" s="29"/>
      <c r="C31" s="29"/>
      <c r="D31" s="31"/>
      <c r="E31" s="208"/>
      <c r="F31" s="31"/>
      <c r="G31" s="31"/>
      <c r="H31" s="31"/>
      <c r="I31" s="31"/>
      <c r="J31" s="31"/>
      <c r="K31" s="31"/>
      <c r="L31" s="31"/>
      <c r="M31" s="52"/>
      <c r="O31" s="52"/>
      <c r="P31" s="52"/>
      <c r="Q31" s="52"/>
      <c r="R31" s="52"/>
      <c r="S31" s="52"/>
      <c r="T31" s="52"/>
      <c r="U31" s="52"/>
      <c r="V31" s="52"/>
      <c r="W31" s="29"/>
      <c r="X31" s="29"/>
      <c r="Y31" s="29"/>
      <c r="Z31" s="29"/>
      <c r="AA31" s="29"/>
    </row>
    <row r="32" spans="1:27" s="15" customFormat="1">
      <c r="A32" s="57"/>
      <c r="B32" s="29"/>
      <c r="C32" s="29"/>
      <c r="D32" s="31"/>
      <c r="E32" s="57"/>
      <c r="F32" s="31"/>
      <c r="G32" s="31"/>
      <c r="H32" s="31"/>
      <c r="I32" s="31"/>
      <c r="J32" s="31"/>
      <c r="K32" s="31"/>
      <c r="L32" s="3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29"/>
      <c r="X32" s="29"/>
      <c r="Y32" s="29"/>
      <c r="Z32" s="29"/>
      <c r="AA32" s="29"/>
    </row>
    <row r="33" spans="1:27" s="15" customFormat="1">
      <c r="A33" s="57"/>
      <c r="B33" s="29"/>
      <c r="C33" s="29"/>
      <c r="D33" s="31"/>
      <c r="E33" s="57"/>
      <c r="F33" s="31"/>
      <c r="G33" s="31"/>
      <c r="H33" s="31"/>
      <c r="I33" s="31"/>
      <c r="J33" s="31"/>
      <c r="K33" s="31"/>
      <c r="L33" s="31"/>
      <c r="M33" s="52"/>
      <c r="N33" s="52"/>
      <c r="O33" s="52"/>
      <c r="P33" s="57"/>
      <c r="Q33" s="52"/>
      <c r="R33" s="52"/>
      <c r="S33" s="52"/>
      <c r="T33" s="31"/>
      <c r="U33" s="29"/>
      <c r="V33" s="29"/>
      <c r="W33" s="29"/>
      <c r="X33" s="29"/>
      <c r="Y33" s="29"/>
      <c r="Z33" s="29"/>
      <c r="AA33" s="29"/>
    </row>
    <row r="34" spans="1:27">
      <c r="E34" s="37"/>
      <c r="M34" s="52"/>
      <c r="N34" s="52"/>
      <c r="O34" s="52"/>
      <c r="P34" s="57"/>
      <c r="Q34" s="52"/>
      <c r="R34" s="52"/>
      <c r="S34" s="52"/>
    </row>
    <row r="35" spans="1:27">
      <c r="E35" s="37"/>
      <c r="M35" s="52"/>
      <c r="N35" s="52"/>
      <c r="O35" s="52"/>
      <c r="P35" s="57"/>
      <c r="Q35" s="52"/>
      <c r="R35" s="52"/>
      <c r="S35" s="52"/>
    </row>
    <row r="36" spans="1:27">
      <c r="E36" s="208"/>
      <c r="M36" s="52"/>
      <c r="N36" s="52"/>
      <c r="O36" s="52"/>
      <c r="P36" s="52"/>
      <c r="Q36" s="52"/>
      <c r="R36" s="52"/>
      <c r="S36" s="52"/>
    </row>
    <row r="37" spans="1:27">
      <c r="E37" s="208"/>
      <c r="M37" s="52"/>
      <c r="N37" s="52"/>
      <c r="O37" s="52"/>
      <c r="P37" s="52"/>
      <c r="Q37" s="52"/>
      <c r="R37" s="52"/>
      <c r="S37" s="52"/>
    </row>
    <row r="38" spans="1:27">
      <c r="E38" s="208"/>
      <c r="M38" s="52"/>
      <c r="N38" s="52"/>
      <c r="O38" s="52"/>
      <c r="P38" s="52"/>
      <c r="Q38" s="52"/>
      <c r="R38" s="52"/>
      <c r="S38" s="52"/>
    </row>
    <row r="39" spans="1:27">
      <c r="E39" s="208"/>
      <c r="M39" s="52"/>
      <c r="N39" s="52"/>
      <c r="O39" s="52"/>
      <c r="P39" s="52"/>
      <c r="Q39" s="52"/>
      <c r="R39" s="52"/>
      <c r="S39" s="52"/>
    </row>
    <row r="40" spans="1:27">
      <c r="E40" s="208"/>
      <c r="M40" s="52"/>
      <c r="N40" s="52"/>
      <c r="O40" s="52"/>
      <c r="P40" s="52"/>
      <c r="Q40" s="52"/>
      <c r="R40" s="52"/>
      <c r="S40" s="52"/>
    </row>
    <row r="41" spans="1:27">
      <c r="E41" s="208"/>
      <c r="M41" s="52"/>
      <c r="N41" s="52"/>
      <c r="O41" s="52"/>
      <c r="P41" s="52"/>
      <c r="Q41" s="52"/>
      <c r="R41" s="52"/>
      <c r="S41" s="52"/>
    </row>
    <row r="42" spans="1:27">
      <c r="E42" s="208"/>
      <c r="M42" s="52"/>
      <c r="N42" s="52"/>
      <c r="O42" s="52"/>
      <c r="P42" s="52"/>
      <c r="Q42" s="52"/>
      <c r="R42" s="52"/>
      <c r="S42" s="52"/>
    </row>
    <row r="43" spans="1:27">
      <c r="E43" s="208"/>
      <c r="M43" s="52"/>
      <c r="N43" s="52"/>
      <c r="O43" s="52"/>
      <c r="P43" s="52"/>
      <c r="Q43" s="52"/>
      <c r="R43" s="52"/>
      <c r="S43" s="52"/>
    </row>
    <row r="44" spans="1:27">
      <c r="E44" s="29"/>
      <c r="M44" s="52"/>
      <c r="N44" s="52"/>
      <c r="O44" s="52"/>
      <c r="P44" s="52"/>
      <c r="Q44" s="52"/>
      <c r="R44" s="52"/>
      <c r="S44" s="52"/>
    </row>
    <row r="45" spans="1:27">
      <c r="E45" s="29"/>
      <c r="M45" s="52"/>
      <c r="N45" s="52"/>
      <c r="O45" s="52"/>
      <c r="P45" s="52"/>
      <c r="Q45" s="52"/>
      <c r="R45" s="52"/>
      <c r="S45" s="52"/>
    </row>
    <row r="46" spans="1:27">
      <c r="E46" s="29"/>
      <c r="M46" s="52"/>
      <c r="N46" s="52"/>
      <c r="O46" s="52"/>
      <c r="P46" s="52"/>
      <c r="Q46" s="52"/>
      <c r="R46" s="52"/>
      <c r="S46" s="52"/>
    </row>
    <row r="47" spans="1:27">
      <c r="E47" s="29"/>
      <c r="M47" s="52"/>
      <c r="N47" s="52"/>
      <c r="O47" s="52"/>
      <c r="P47" s="52"/>
      <c r="Q47" s="52"/>
      <c r="R47" s="52"/>
      <c r="S47" s="52"/>
    </row>
  </sheetData>
  <sheetProtection formatCells="0" formatColumns="0" formatRows="0" insertColumns="0" insertRows="0" insertHyperlinks="0" deleteColumns="0" deleteRows="0" sort="0" autoFilter="0" pivotTables="0"/>
  <conditionalFormatting sqref="A2:Z2 AB2:XFD2">
    <cfRule type="cellIs" dxfId="34" priority="4" operator="equal">
      <formula>0</formula>
    </cfRule>
  </conditionalFormatting>
  <conditionalFormatting sqref="AA2">
    <cfRule type="cellIs" dxfId="3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7"/>
  <sheetViews>
    <sheetView showZeros="0" rightToLeft="1" zoomScaleNormal="100" workbookViewId="0">
      <pane xSplit="3" ySplit="4" topLeftCell="D20" activePane="bottomRight" state="frozen"/>
      <selection activeCell="E28" sqref="E28"/>
      <selection pane="topRight" activeCell="E28" sqref="E28"/>
      <selection pane="bottomLeft" activeCell="E28" sqref="E28"/>
      <selection pane="bottomRight" activeCell="U32" sqref="U32"/>
    </sheetView>
  </sheetViews>
  <sheetFormatPr defaultColWidth="9.42578125" defaultRowHeight="15"/>
  <cols>
    <col min="1" max="1" width="5.42578125" style="66" customWidth="1"/>
    <col min="2" max="2" width="5.85546875" style="29" customWidth="1"/>
    <col min="3" max="3" width="39.140625" style="29" customWidth="1"/>
    <col min="4" max="4" width="10.7109375" style="31" customWidth="1"/>
    <col min="5" max="5" width="10.28515625" style="31" hidden="1" customWidth="1"/>
    <col min="6" max="6" width="10" style="31" hidden="1" customWidth="1"/>
    <col min="7" max="9" width="13" style="31" hidden="1" customWidth="1"/>
    <col min="10" max="10" width="9.7109375" style="31" hidden="1" customWidth="1"/>
    <col min="11" max="11" width="11.7109375" style="31" hidden="1" customWidth="1"/>
    <col min="12" max="12" width="9.7109375" style="31" customWidth="1"/>
    <col min="13" max="13" width="10.140625" style="31" customWidth="1"/>
    <col min="14" max="14" width="10.7109375" style="31" customWidth="1"/>
    <col min="15" max="15" width="9" style="31" customWidth="1"/>
    <col min="16" max="17" width="11.42578125" style="31" hidden="1" customWidth="1"/>
    <col min="18" max="19" width="12.28515625" style="31" hidden="1" customWidth="1"/>
    <col min="20" max="20" width="10.28515625" style="31" hidden="1" customWidth="1"/>
    <col min="21" max="21" width="10.28515625" style="29" customWidth="1"/>
    <col min="22" max="22" width="8.7109375" style="29" customWidth="1"/>
    <col min="23" max="23" width="10.5703125" style="29" customWidth="1"/>
    <col min="24" max="25" width="7.7109375" style="29" customWidth="1"/>
    <col min="26" max="26" width="8.7109375" style="29" bestFit="1" customWidth="1"/>
    <col min="27" max="27" width="8.140625" style="29" customWidth="1"/>
    <col min="28" max="29" width="9.42578125" style="29" customWidth="1"/>
    <col min="30" max="16384" width="9.42578125" style="29"/>
  </cols>
  <sheetData>
    <row r="1" spans="1:29" s="37" customFormat="1">
      <c r="A1" s="87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pans="1:29" s="667" customFormat="1" ht="18.75">
      <c r="A2" s="665" t="s">
        <v>475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6"/>
      <c r="Y2" s="666"/>
      <c r="Z2" s="666"/>
      <c r="AA2" s="666"/>
      <c r="AB2" s="666"/>
      <c r="AC2" s="666"/>
    </row>
    <row r="3" spans="1:29" s="37" customFormat="1">
      <c r="A3" s="87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9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36" t="s">
        <v>16</v>
      </c>
    </row>
    <row r="5" spans="1:29" s="99" customFormat="1" ht="15.75">
      <c r="A5" s="85"/>
      <c r="B5" s="85"/>
      <c r="C5" s="8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85"/>
    </row>
    <row r="6" spans="1:29" s="15" customFormat="1">
      <c r="A6" s="13">
        <f>A5+1</f>
        <v>1</v>
      </c>
      <c r="B6" s="13">
        <v>1679</v>
      </c>
      <c r="C6" s="13" t="s">
        <v>108</v>
      </c>
      <c r="D6" s="14">
        <f>חינוך!D6</f>
        <v>130000</v>
      </c>
      <c r="E6" s="14">
        <f>חינוך!E6</f>
        <v>130000</v>
      </c>
      <c r="F6" s="14">
        <f>חינוך!F6</f>
        <v>0</v>
      </c>
      <c r="G6" s="14">
        <f>חינוך!G6</f>
        <v>130000</v>
      </c>
      <c r="H6" s="14">
        <f>חינוך!H6</f>
        <v>117039.72</v>
      </c>
      <c r="I6" s="14">
        <f>חינוך!I6</f>
        <v>0</v>
      </c>
      <c r="J6" s="14">
        <f>חינוך!J6</f>
        <v>12913</v>
      </c>
      <c r="K6" s="14">
        <f>חינוך!K6</f>
        <v>12913</v>
      </c>
      <c r="L6" s="14">
        <f>חינוך!L6</f>
        <v>129952.72</v>
      </c>
      <c r="M6" s="14">
        <f>חינוך!M6</f>
        <v>47.279999999998836</v>
      </c>
      <c r="N6" s="14">
        <f>חינוך!N6</f>
        <v>0</v>
      </c>
      <c r="O6" s="14">
        <f>חינוך!O6</f>
        <v>0</v>
      </c>
      <c r="P6" s="14">
        <f>חינוך!P6</f>
        <v>47.279999999998836</v>
      </c>
      <c r="Q6" s="14">
        <f>חינוך!Q6</f>
        <v>0</v>
      </c>
      <c r="R6" s="14">
        <f>חינוך!R6</f>
        <v>0</v>
      </c>
      <c r="S6" s="14">
        <f>חינוך!S6</f>
        <v>0</v>
      </c>
      <c r="T6" s="14">
        <f>חינוך!T6</f>
        <v>0</v>
      </c>
      <c r="U6" s="14">
        <f>חינוך!U6</f>
        <v>0</v>
      </c>
      <c r="V6" s="14">
        <f>חינוך!V6</f>
        <v>0</v>
      </c>
      <c r="W6" s="14">
        <f>חינוך!W6</f>
        <v>0</v>
      </c>
      <c r="X6" s="14">
        <f>חינוך!X6</f>
        <v>0</v>
      </c>
      <c r="Y6" s="14">
        <f>חינוך!Y6</f>
        <v>0</v>
      </c>
      <c r="Z6" s="14">
        <f>חינוך!Z6</f>
        <v>0</v>
      </c>
      <c r="AA6" s="13">
        <f>חינוך!AA6</f>
        <v>810000</v>
      </c>
    </row>
    <row r="7" spans="1:29" s="15" customFormat="1">
      <c r="A7" s="13">
        <f t="shared" ref="A7:A24" si="0">A6+1</f>
        <v>2</v>
      </c>
      <c r="B7" s="13">
        <v>1710</v>
      </c>
      <c r="C7" s="13" t="s">
        <v>110</v>
      </c>
      <c r="D7" s="14">
        <f>חינוך!D7</f>
        <v>1700000</v>
      </c>
      <c r="E7" s="14">
        <f>חינוך!E7</f>
        <v>1700000</v>
      </c>
      <c r="F7" s="14">
        <f>חינוך!F7</f>
        <v>0</v>
      </c>
      <c r="G7" s="14">
        <f>חינוך!G7</f>
        <v>1634863</v>
      </c>
      <c r="H7" s="14">
        <f>חינוך!H7</f>
        <v>914150</v>
      </c>
      <c r="I7" s="14">
        <f>חינוך!I7</f>
        <v>0</v>
      </c>
      <c r="J7" s="14">
        <f>חינוך!J7</f>
        <v>17332</v>
      </c>
      <c r="K7" s="14">
        <f>חינוך!K7</f>
        <v>17332</v>
      </c>
      <c r="L7" s="14">
        <f>חינוך!L7</f>
        <v>931482</v>
      </c>
      <c r="M7" s="14">
        <f>חינוך!M7</f>
        <v>703381</v>
      </c>
      <c r="N7" s="14">
        <f>חינוך!N7</f>
        <v>65137</v>
      </c>
      <c r="O7" s="14">
        <f>חינוך!O7</f>
        <v>0</v>
      </c>
      <c r="P7" s="14">
        <f>חינוך!P7</f>
        <v>703381</v>
      </c>
      <c r="Q7" s="14">
        <f>חינוך!Q7</f>
        <v>0</v>
      </c>
      <c r="R7" s="14">
        <f>חינוך!R7</f>
        <v>0</v>
      </c>
      <c r="S7" s="14">
        <f>חינוך!S7</f>
        <v>0</v>
      </c>
      <c r="T7" s="14">
        <f>חינוך!T7</f>
        <v>0</v>
      </c>
      <c r="U7" s="14">
        <f>חינוך!U7</f>
        <v>65137</v>
      </c>
      <c r="V7" s="14">
        <f>חינוך!V7</f>
        <v>0</v>
      </c>
      <c r="W7" s="14">
        <f>חינוך!W7</f>
        <v>0</v>
      </c>
      <c r="X7" s="14">
        <f>חינוך!X7</f>
        <v>0</v>
      </c>
      <c r="Y7" s="14">
        <f>חינוך!Y7</f>
        <v>0</v>
      </c>
      <c r="Z7" s="14">
        <f>חינוך!Z7</f>
        <v>65137</v>
      </c>
      <c r="AA7" s="13">
        <f>חינוך!AA7</f>
        <v>810000</v>
      </c>
    </row>
    <row r="8" spans="1:29" s="15" customFormat="1">
      <c r="A8" s="13">
        <f t="shared" si="0"/>
        <v>3</v>
      </c>
      <c r="B8" s="13">
        <v>1740</v>
      </c>
      <c r="C8" s="13" t="s">
        <v>111</v>
      </c>
      <c r="D8" s="14">
        <f>חינוך!D8</f>
        <v>280000</v>
      </c>
      <c r="E8" s="14">
        <f>חינוך!E8</f>
        <v>280000</v>
      </c>
      <c r="F8" s="14">
        <f>חינוך!F8</f>
        <v>0</v>
      </c>
      <c r="G8" s="14">
        <f>חינוך!G8</f>
        <v>280000</v>
      </c>
      <c r="H8" s="14">
        <f>חינוך!H8</f>
        <v>150312</v>
      </c>
      <c r="I8" s="14">
        <f>חינוך!I8</f>
        <v>0</v>
      </c>
      <c r="J8" s="14">
        <f>חינוך!J8</f>
        <v>0</v>
      </c>
      <c r="K8" s="14">
        <f>חינוך!K8</f>
        <v>0</v>
      </c>
      <c r="L8" s="14">
        <f>חינוך!L8</f>
        <v>150312</v>
      </c>
      <c r="M8" s="14">
        <f>חינוך!M8</f>
        <v>129688</v>
      </c>
      <c r="N8" s="14">
        <f>חינוך!N8</f>
        <v>0</v>
      </c>
      <c r="O8" s="14">
        <f>חינוך!O8</f>
        <v>0</v>
      </c>
      <c r="P8" s="14">
        <f>חינוך!P8</f>
        <v>129688</v>
      </c>
      <c r="Q8" s="14">
        <f>חינוך!Q8</f>
        <v>0</v>
      </c>
      <c r="R8" s="14">
        <f>חינוך!R8</f>
        <v>0</v>
      </c>
      <c r="S8" s="14">
        <f>חינוך!S8</f>
        <v>0</v>
      </c>
      <c r="T8" s="14">
        <f>חינוך!T8</f>
        <v>0</v>
      </c>
      <c r="U8" s="14">
        <f>חינוך!U8</f>
        <v>0</v>
      </c>
      <c r="V8" s="14">
        <f>חינוך!V8</f>
        <v>0</v>
      </c>
      <c r="W8" s="14">
        <f>חינוך!W8</f>
        <v>0</v>
      </c>
      <c r="X8" s="14">
        <f>חינוך!X8</f>
        <v>0</v>
      </c>
      <c r="Y8" s="14">
        <f>חינוך!Y8</f>
        <v>0</v>
      </c>
      <c r="Z8" s="14">
        <f>חינוך!Z8</f>
        <v>0</v>
      </c>
      <c r="AA8" s="13">
        <f>חינוך!AA8</f>
        <v>810000</v>
      </c>
    </row>
    <row r="9" spans="1:29" s="15" customFormat="1">
      <c r="A9" s="13">
        <f t="shared" si="0"/>
        <v>4</v>
      </c>
      <c r="B9" s="13">
        <v>1741</v>
      </c>
      <c r="C9" s="13" t="s">
        <v>393</v>
      </c>
      <c r="D9" s="14">
        <f>חינוך!D9</f>
        <v>300000</v>
      </c>
      <c r="E9" s="14">
        <f>חינוך!E9</f>
        <v>300000</v>
      </c>
      <c r="F9" s="14">
        <f>חינוך!F9</f>
        <v>0</v>
      </c>
      <c r="G9" s="14">
        <f>חינוך!G9</f>
        <v>300000</v>
      </c>
      <c r="H9" s="14">
        <f>חינוך!H9</f>
        <v>278391.61</v>
      </c>
      <c r="I9" s="14">
        <f>חינוך!I9</f>
        <v>0</v>
      </c>
      <c r="J9" s="14">
        <f>חינוך!J9</f>
        <v>0</v>
      </c>
      <c r="K9" s="14">
        <f>חינוך!K9</f>
        <v>0</v>
      </c>
      <c r="L9" s="14">
        <f>חינוך!L9</f>
        <v>278391.61</v>
      </c>
      <c r="M9" s="14">
        <f>חינוך!M9</f>
        <v>21608.390000000014</v>
      </c>
      <c r="N9" s="14">
        <f>חינוך!N9</f>
        <v>0</v>
      </c>
      <c r="O9" s="14">
        <f>חינוך!O9</f>
        <v>0</v>
      </c>
      <c r="P9" s="14">
        <f>חינוך!P9</f>
        <v>21608.390000000014</v>
      </c>
      <c r="Q9" s="14">
        <f>חינוך!Q9</f>
        <v>0</v>
      </c>
      <c r="R9" s="14">
        <f>חינוך!R9</f>
        <v>0</v>
      </c>
      <c r="S9" s="14">
        <f>חינוך!S9</f>
        <v>0</v>
      </c>
      <c r="T9" s="14">
        <f>חינוך!T9</f>
        <v>0</v>
      </c>
      <c r="U9" s="14">
        <f>חינוך!U9</f>
        <v>0</v>
      </c>
      <c r="V9" s="14">
        <f>חינוך!V9</f>
        <v>0</v>
      </c>
      <c r="W9" s="14">
        <f>חינוך!W9</f>
        <v>0</v>
      </c>
      <c r="X9" s="14">
        <f>חינוך!X9</f>
        <v>0</v>
      </c>
      <c r="Y9" s="14">
        <f>חינוך!Y9</f>
        <v>0</v>
      </c>
      <c r="Z9" s="14">
        <f>חינוך!Z9</f>
        <v>0</v>
      </c>
      <c r="AA9" s="13">
        <f>חינוך!AA9</f>
        <v>810000</v>
      </c>
    </row>
    <row r="10" spans="1:29" s="15" customFormat="1">
      <c r="A10" s="13">
        <f t="shared" si="0"/>
        <v>5</v>
      </c>
      <c r="B10" s="13">
        <v>1775</v>
      </c>
      <c r="C10" s="13" t="s">
        <v>112</v>
      </c>
      <c r="D10" s="14">
        <f>חינוך!D10</f>
        <v>465000</v>
      </c>
      <c r="E10" s="14">
        <f>חינוך!E10</f>
        <v>465000</v>
      </c>
      <c r="F10" s="14">
        <f>חינוך!F10</f>
        <v>0</v>
      </c>
      <c r="G10" s="14">
        <f>חינוך!G10</f>
        <v>465000</v>
      </c>
      <c r="H10" s="14">
        <f>חינוך!H10</f>
        <v>460379.55</v>
      </c>
      <c r="I10" s="14">
        <f>חינוך!I10</f>
        <v>0</v>
      </c>
      <c r="J10" s="14">
        <f>חינוך!J10</f>
        <v>0</v>
      </c>
      <c r="K10" s="14">
        <f>חינוך!K10</f>
        <v>0</v>
      </c>
      <c r="L10" s="14">
        <f>חינוך!L10</f>
        <v>460379.55</v>
      </c>
      <c r="M10" s="14">
        <f>חינוך!M10</f>
        <v>4620.4500000000116</v>
      </c>
      <c r="N10" s="14">
        <f>חינוך!N10</f>
        <v>0</v>
      </c>
      <c r="O10" s="14">
        <f>חינוך!O10</f>
        <v>0</v>
      </c>
      <c r="P10" s="14">
        <f>חינוך!P10</f>
        <v>4620.4500000000116</v>
      </c>
      <c r="Q10" s="14">
        <f>חינוך!Q10</f>
        <v>0</v>
      </c>
      <c r="R10" s="14">
        <f>חינוך!R10</f>
        <v>0</v>
      </c>
      <c r="S10" s="14">
        <f>חינוך!S10</f>
        <v>0</v>
      </c>
      <c r="T10" s="14">
        <f>חינוך!T10</f>
        <v>0</v>
      </c>
      <c r="U10" s="14">
        <f>חינוך!U10</f>
        <v>0</v>
      </c>
      <c r="V10" s="14">
        <f>חינוך!V10</f>
        <v>0</v>
      </c>
      <c r="W10" s="14">
        <f>חינוך!W10</f>
        <v>0</v>
      </c>
      <c r="X10" s="14">
        <f>חינוך!X10</f>
        <v>0</v>
      </c>
      <c r="Y10" s="14">
        <f>חינוך!Y10</f>
        <v>0</v>
      </c>
      <c r="Z10" s="14">
        <f>חינוך!Z10</f>
        <v>0</v>
      </c>
      <c r="AA10" s="13">
        <f>חינוך!AA10</f>
        <v>760000</v>
      </c>
    </row>
    <row r="11" spans="1:29" s="15" customFormat="1">
      <c r="A11" s="13">
        <f t="shared" si="0"/>
        <v>6</v>
      </c>
      <c r="B11" s="13">
        <v>1776</v>
      </c>
      <c r="C11" s="13" t="s">
        <v>113</v>
      </c>
      <c r="D11" s="14">
        <f>חינוך!D11</f>
        <v>665000</v>
      </c>
      <c r="E11" s="14">
        <f>חינוך!E11</f>
        <v>350000</v>
      </c>
      <c r="F11" s="14">
        <f>חינוך!F11</f>
        <v>315000</v>
      </c>
      <c r="G11" s="14">
        <f>חינוך!G11</f>
        <v>350000</v>
      </c>
      <c r="H11" s="14">
        <f>חינוך!H11</f>
        <v>85702.5</v>
      </c>
      <c r="I11" s="14">
        <f>חינוך!I11</f>
        <v>0</v>
      </c>
      <c r="J11" s="14">
        <f>חינוך!J11</f>
        <v>185572</v>
      </c>
      <c r="K11" s="14">
        <f>חינוך!K11</f>
        <v>185572</v>
      </c>
      <c r="L11" s="14">
        <f>חינוך!L11</f>
        <v>271274.5</v>
      </c>
      <c r="M11" s="14">
        <f>חינוך!M11</f>
        <v>78725.5</v>
      </c>
      <c r="N11" s="14">
        <f>חינוך!N11</f>
        <v>315000</v>
      </c>
      <c r="O11" s="14">
        <f>חינוך!O11</f>
        <v>0</v>
      </c>
      <c r="P11" s="14">
        <f>חינוך!P11</f>
        <v>78725.5</v>
      </c>
      <c r="Q11" s="14">
        <f>חינוך!Q11</f>
        <v>0</v>
      </c>
      <c r="R11" s="14">
        <f>חינוך!R11</f>
        <v>0</v>
      </c>
      <c r="S11" s="14">
        <f>חינוך!S11</f>
        <v>0</v>
      </c>
      <c r="T11" s="14">
        <f>חינוך!T11</f>
        <v>0</v>
      </c>
      <c r="U11" s="14">
        <f>חינוך!U11</f>
        <v>315000</v>
      </c>
      <c r="V11" s="14">
        <f>חינוך!V11</f>
        <v>0</v>
      </c>
      <c r="W11" s="14">
        <f>חינוך!W11</f>
        <v>315000</v>
      </c>
      <c r="X11" s="14">
        <f>חינוך!X11</f>
        <v>0</v>
      </c>
      <c r="Y11" s="14">
        <f>חינוך!Y11</f>
        <v>0</v>
      </c>
      <c r="Z11" s="14">
        <f>חינוך!Z11</f>
        <v>0</v>
      </c>
      <c r="AA11" s="13">
        <f>חינוך!AA11</f>
        <v>810000</v>
      </c>
    </row>
    <row r="12" spans="1:29" s="15" customFormat="1">
      <c r="A12" s="13">
        <f t="shared" si="0"/>
        <v>7</v>
      </c>
      <c r="B12" s="100">
        <v>1810</v>
      </c>
      <c r="C12" s="13" t="s">
        <v>356</v>
      </c>
      <c r="D12" s="14">
        <f>חינוך!D12</f>
        <v>950000</v>
      </c>
      <c r="E12" s="14">
        <f>חינוך!E12</f>
        <v>950000</v>
      </c>
      <c r="F12" s="14">
        <f>חינוך!F12</f>
        <v>0</v>
      </c>
      <c r="G12" s="14">
        <f>חינוך!G12</f>
        <v>950000</v>
      </c>
      <c r="H12" s="14">
        <f>חינוך!H12</f>
        <v>935477</v>
      </c>
      <c r="I12" s="14">
        <f>חינוך!I12</f>
        <v>0</v>
      </c>
      <c r="J12" s="14">
        <f>חינוך!J12</f>
        <v>13839</v>
      </c>
      <c r="K12" s="14">
        <f>חינוך!K12</f>
        <v>13839</v>
      </c>
      <c r="L12" s="14">
        <f>חינוך!L12</f>
        <v>949316</v>
      </c>
      <c r="M12" s="14">
        <f>חינוך!M12</f>
        <v>684</v>
      </c>
      <c r="N12" s="14">
        <f>חינוך!N12</f>
        <v>0</v>
      </c>
      <c r="O12" s="14">
        <f>חינוך!O12</f>
        <v>0</v>
      </c>
      <c r="P12" s="14">
        <f>חינוך!P12</f>
        <v>684</v>
      </c>
      <c r="Q12" s="14">
        <f>חינוך!Q12</f>
        <v>0</v>
      </c>
      <c r="R12" s="14">
        <f>חינוך!R12</f>
        <v>0</v>
      </c>
      <c r="S12" s="14">
        <f>חינוך!S12</f>
        <v>0</v>
      </c>
      <c r="T12" s="14">
        <f>חינוך!T12</f>
        <v>0</v>
      </c>
      <c r="U12" s="14">
        <f>חינוך!U12</f>
        <v>0</v>
      </c>
      <c r="V12" s="14">
        <f>חינוך!V12</f>
        <v>0</v>
      </c>
      <c r="W12" s="14">
        <f>חינוך!W12</f>
        <v>0</v>
      </c>
      <c r="X12" s="14">
        <f>חינוך!X12</f>
        <v>0</v>
      </c>
      <c r="Y12" s="14">
        <f>חינוך!Y12</f>
        <v>0</v>
      </c>
      <c r="Z12" s="14">
        <f>חינוך!Z12</f>
        <v>0</v>
      </c>
      <c r="AA12" s="13">
        <f>חינוך!AA12</f>
        <v>810000</v>
      </c>
    </row>
    <row r="13" spans="1:29" s="15" customFormat="1">
      <c r="A13" s="13">
        <f t="shared" si="0"/>
        <v>8</v>
      </c>
      <c r="B13" s="100">
        <v>1817</v>
      </c>
      <c r="C13" s="13" t="s">
        <v>244</v>
      </c>
      <c r="D13" s="14">
        <f>חינוך!D13</f>
        <v>640000</v>
      </c>
      <c r="E13" s="14">
        <f>חינוך!E13</f>
        <v>640000</v>
      </c>
      <c r="F13" s="14">
        <f>חינוך!F13</f>
        <v>0</v>
      </c>
      <c r="G13" s="14">
        <f>חינוך!G13</f>
        <v>640000</v>
      </c>
      <c r="H13" s="14">
        <f>חינוך!H13</f>
        <v>555691.87</v>
      </c>
      <c r="I13" s="14">
        <f>חינוך!I13</f>
        <v>0</v>
      </c>
      <c r="J13" s="14">
        <f>חינוך!J13</f>
        <v>34728</v>
      </c>
      <c r="K13" s="14">
        <f>חינוך!K13</f>
        <v>34728</v>
      </c>
      <c r="L13" s="14">
        <f>חינוך!L13</f>
        <v>590419.87</v>
      </c>
      <c r="M13" s="14">
        <f>חינוך!M13</f>
        <v>49580.130000000005</v>
      </c>
      <c r="N13" s="14">
        <f>חינוך!N13</f>
        <v>0</v>
      </c>
      <c r="O13" s="14">
        <f>חינוך!O13</f>
        <v>0</v>
      </c>
      <c r="P13" s="14">
        <f>חינוך!P13</f>
        <v>49580.130000000005</v>
      </c>
      <c r="Q13" s="14">
        <f>חינוך!Q13</f>
        <v>0</v>
      </c>
      <c r="R13" s="14">
        <f>חינוך!R13</f>
        <v>0</v>
      </c>
      <c r="S13" s="14">
        <f>חינוך!S13</f>
        <v>0</v>
      </c>
      <c r="T13" s="14">
        <f>חינוך!T13</f>
        <v>0</v>
      </c>
      <c r="U13" s="14">
        <f>חינוך!U13</f>
        <v>0</v>
      </c>
      <c r="V13" s="14">
        <f>חינוך!V13</f>
        <v>0</v>
      </c>
      <c r="W13" s="14">
        <f>חינוך!W13</f>
        <v>0</v>
      </c>
      <c r="X13" s="14">
        <f>חינוך!X13</f>
        <v>0</v>
      </c>
      <c r="Y13" s="14">
        <f>חינוך!Y13</f>
        <v>0</v>
      </c>
      <c r="Z13" s="14">
        <f>חינוך!Z13</f>
        <v>0</v>
      </c>
      <c r="AA13" s="13">
        <f>חינוך!AA13</f>
        <v>810000</v>
      </c>
    </row>
    <row r="14" spans="1:29" s="15" customFormat="1">
      <c r="A14" s="13">
        <f t="shared" si="0"/>
        <v>9</v>
      </c>
      <c r="B14" s="100">
        <v>1828</v>
      </c>
      <c r="C14" s="13" t="s">
        <v>394</v>
      </c>
      <c r="D14" s="14">
        <f>חינוך!D14</f>
        <v>330000</v>
      </c>
      <c r="E14" s="14">
        <f>חינוך!E14</f>
        <v>330000</v>
      </c>
      <c r="F14" s="14">
        <f>חינוך!F14</f>
        <v>0</v>
      </c>
      <c r="G14" s="14">
        <f>חינוך!G14</f>
        <v>330000</v>
      </c>
      <c r="H14" s="14">
        <f>חינוך!H14</f>
        <v>188718.3</v>
      </c>
      <c r="I14" s="14">
        <f>חינוך!I14</f>
        <v>0</v>
      </c>
      <c r="J14" s="14">
        <f>חינוך!J14</f>
        <v>0</v>
      </c>
      <c r="K14" s="14">
        <f>חינוך!K14</f>
        <v>0</v>
      </c>
      <c r="L14" s="14">
        <f>חינוך!L14</f>
        <v>188718.3</v>
      </c>
      <c r="M14" s="14">
        <f>חינוך!M14</f>
        <v>141281.70000000001</v>
      </c>
      <c r="N14" s="14">
        <f>חינוך!N14</f>
        <v>0</v>
      </c>
      <c r="O14" s="14">
        <f>חינוך!O14</f>
        <v>0</v>
      </c>
      <c r="P14" s="14">
        <f>חינוך!P14</f>
        <v>141281.70000000001</v>
      </c>
      <c r="Q14" s="14">
        <f>חינוך!Q14</f>
        <v>0</v>
      </c>
      <c r="R14" s="14">
        <f>חינוך!R14</f>
        <v>0</v>
      </c>
      <c r="S14" s="14">
        <f>חינוך!S14</f>
        <v>0</v>
      </c>
      <c r="T14" s="14">
        <f>חינוך!T14</f>
        <v>0</v>
      </c>
      <c r="U14" s="14">
        <f>חינוך!U14</f>
        <v>0</v>
      </c>
      <c r="V14" s="14">
        <f>חינוך!V14</f>
        <v>0</v>
      </c>
      <c r="W14" s="14">
        <f>חינוך!W14</f>
        <v>0</v>
      </c>
      <c r="X14" s="14">
        <f>חינוך!X14</f>
        <v>0</v>
      </c>
      <c r="Y14" s="14">
        <f>חינוך!Y14</f>
        <v>0</v>
      </c>
      <c r="Z14" s="14">
        <f>חינוך!Z14</f>
        <v>0</v>
      </c>
      <c r="AA14" s="13">
        <f>חינוך!AA14</f>
        <v>810000</v>
      </c>
    </row>
    <row r="15" spans="1:29" s="15" customFormat="1">
      <c r="A15" s="13">
        <f t="shared" si="0"/>
        <v>10</v>
      </c>
      <c r="B15" s="100">
        <v>1930</v>
      </c>
      <c r="C15" s="13" t="s">
        <v>301</v>
      </c>
      <c r="D15" s="14">
        <f>חינוך!D15</f>
        <v>950000</v>
      </c>
      <c r="E15" s="14">
        <f>חינוך!E15</f>
        <v>400000</v>
      </c>
      <c r="F15" s="14">
        <f>חינוך!F15</f>
        <v>550000</v>
      </c>
      <c r="G15" s="14">
        <f>חינוך!G15</f>
        <v>400000</v>
      </c>
      <c r="H15" s="14">
        <f>חינוך!H15</f>
        <v>230431</v>
      </c>
      <c r="I15" s="14">
        <f>חינוך!I15</f>
        <v>0</v>
      </c>
      <c r="J15" s="14">
        <f>חינוך!J15</f>
        <v>122783</v>
      </c>
      <c r="K15" s="14">
        <f>חינוך!K15</f>
        <v>122783</v>
      </c>
      <c r="L15" s="14">
        <f>חינוך!L15</f>
        <v>353214</v>
      </c>
      <c r="M15" s="14">
        <f>חינוך!M15</f>
        <v>46786</v>
      </c>
      <c r="N15" s="14">
        <f>חינוך!N15</f>
        <v>550000</v>
      </c>
      <c r="O15" s="14">
        <f>חינוך!O15</f>
        <v>0</v>
      </c>
      <c r="P15" s="14">
        <f>חינוך!P15</f>
        <v>46786</v>
      </c>
      <c r="Q15" s="14">
        <f>חינוך!Q15</f>
        <v>0</v>
      </c>
      <c r="R15" s="14">
        <f>חינוך!R15</f>
        <v>0</v>
      </c>
      <c r="S15" s="14">
        <f>חינוך!S15</f>
        <v>0</v>
      </c>
      <c r="T15" s="14">
        <f>חינוך!T15</f>
        <v>0</v>
      </c>
      <c r="U15" s="14">
        <f>חינוך!U15</f>
        <v>550000</v>
      </c>
      <c r="V15" s="14">
        <f>חינוך!V15</f>
        <v>0</v>
      </c>
      <c r="W15" s="14">
        <f>חינוך!W15</f>
        <v>550000</v>
      </c>
      <c r="X15" s="14">
        <f>חינוך!X15</f>
        <v>0</v>
      </c>
      <c r="Y15" s="14">
        <f>חינוך!Y15</f>
        <v>0</v>
      </c>
      <c r="Z15" s="14">
        <f>חינוך!Z15</f>
        <v>0</v>
      </c>
      <c r="AA15" s="13">
        <f>חינוך!AA15</f>
        <v>810000</v>
      </c>
    </row>
    <row r="16" spans="1:29" s="15" customFormat="1">
      <c r="A16" s="13">
        <f t="shared" si="0"/>
        <v>11</v>
      </c>
      <c r="B16" s="13">
        <v>1975</v>
      </c>
      <c r="C16" s="13" t="s">
        <v>357</v>
      </c>
      <c r="D16" s="14">
        <f>חינוך!D16</f>
        <v>975000</v>
      </c>
      <c r="E16" s="14">
        <f>חינוך!E16</f>
        <v>975000</v>
      </c>
      <c r="F16" s="14">
        <f>חינוך!F16</f>
        <v>0</v>
      </c>
      <c r="G16" s="14">
        <f>חינוך!G16</f>
        <v>0</v>
      </c>
      <c r="H16" s="14">
        <f>חינוך!H16</f>
        <v>0</v>
      </c>
      <c r="I16" s="14">
        <f>חינוך!I16</f>
        <v>0</v>
      </c>
      <c r="J16" s="14">
        <f>חינוך!J16</f>
        <v>0</v>
      </c>
      <c r="K16" s="14">
        <f>חינוך!K16</f>
        <v>0</v>
      </c>
      <c r="L16" s="14">
        <f>חינוך!L16</f>
        <v>0</v>
      </c>
      <c r="M16" s="14">
        <f>חינוך!M16</f>
        <v>0</v>
      </c>
      <c r="N16" s="14">
        <f>חינוך!N16</f>
        <v>0</v>
      </c>
      <c r="O16" s="14">
        <f>חינוך!O16</f>
        <v>975000</v>
      </c>
      <c r="P16" s="14">
        <f>חינוך!P16</f>
        <v>0</v>
      </c>
      <c r="Q16" s="14">
        <f>חינוך!Q16</f>
        <v>0</v>
      </c>
      <c r="R16" s="14">
        <f>חינוך!R16</f>
        <v>0</v>
      </c>
      <c r="S16" s="14">
        <f>חינוך!S16</f>
        <v>0</v>
      </c>
      <c r="T16" s="14">
        <f>חינוך!T16</f>
        <v>0</v>
      </c>
      <c r="U16" s="14">
        <f>חינוך!U16</f>
        <v>0</v>
      </c>
      <c r="V16" s="14">
        <f>חינוך!V16</f>
        <v>0</v>
      </c>
      <c r="W16" s="14">
        <f>חינוך!W16</f>
        <v>0</v>
      </c>
      <c r="X16" s="14">
        <f>חינוך!X16</f>
        <v>0</v>
      </c>
      <c r="Y16" s="14">
        <f>חינוך!Y16</f>
        <v>0</v>
      </c>
      <c r="Z16" s="14">
        <f>חינוך!Z16</f>
        <v>0</v>
      </c>
      <c r="AA16" s="13">
        <f>חינוך!AA16</f>
        <v>810000</v>
      </c>
    </row>
    <row r="17" spans="1:27" s="15" customFormat="1">
      <c r="A17" s="13">
        <f t="shared" si="0"/>
        <v>12</v>
      </c>
      <c r="B17" s="13">
        <v>1976</v>
      </c>
      <c r="C17" s="13" t="s">
        <v>358</v>
      </c>
      <c r="D17" s="14">
        <f>חינוך!D17</f>
        <v>644100</v>
      </c>
      <c r="E17" s="14">
        <f>חינוך!E17</f>
        <v>644100</v>
      </c>
      <c r="F17" s="14">
        <f>חינוך!F17</f>
        <v>0</v>
      </c>
      <c r="G17" s="14">
        <f>חינוך!G17</f>
        <v>644100</v>
      </c>
      <c r="H17" s="14">
        <f>חינוך!H17</f>
        <v>3510</v>
      </c>
      <c r="I17" s="14">
        <f>חינוך!I17</f>
        <v>0</v>
      </c>
      <c r="J17" s="14">
        <f>חינוך!J17</f>
        <v>338913</v>
      </c>
      <c r="K17" s="14">
        <f>חינוך!K17</f>
        <v>338913</v>
      </c>
      <c r="L17" s="14">
        <f>חינוך!L17</f>
        <v>342423</v>
      </c>
      <c r="M17" s="14">
        <f>חינוך!M17</f>
        <v>301677</v>
      </c>
      <c r="N17" s="14">
        <f>חינוך!N17</f>
        <v>0</v>
      </c>
      <c r="O17" s="14">
        <f>חינוך!O17</f>
        <v>0</v>
      </c>
      <c r="P17" s="14">
        <f>חינוך!P17</f>
        <v>301677</v>
      </c>
      <c r="Q17" s="14">
        <f>חינוך!Q17</f>
        <v>0</v>
      </c>
      <c r="R17" s="14">
        <f>חינוך!R17</f>
        <v>0</v>
      </c>
      <c r="S17" s="14">
        <f>חינוך!S17</f>
        <v>0</v>
      </c>
      <c r="T17" s="14">
        <f>חינוך!T17</f>
        <v>0</v>
      </c>
      <c r="U17" s="14">
        <f>חינוך!U17</f>
        <v>0</v>
      </c>
      <c r="V17" s="14">
        <f>חינוך!V17</f>
        <v>0</v>
      </c>
      <c r="W17" s="14">
        <f>חינוך!W17</f>
        <v>0</v>
      </c>
      <c r="X17" s="14">
        <f>חינוך!X17</f>
        <v>0</v>
      </c>
      <c r="Y17" s="14">
        <f>חינוך!Y17</f>
        <v>0</v>
      </c>
      <c r="Z17" s="14">
        <f>חינוך!Z17</f>
        <v>0</v>
      </c>
      <c r="AA17" s="13">
        <f>חינוך!AA17</f>
        <v>810000</v>
      </c>
    </row>
    <row r="18" spans="1:27" s="15" customFormat="1">
      <c r="A18" s="13">
        <f t="shared" si="0"/>
        <v>13</v>
      </c>
      <c r="B18" s="13">
        <v>1977</v>
      </c>
      <c r="C18" s="13" t="s">
        <v>359</v>
      </c>
      <c r="D18" s="14">
        <f>חינוך!D18</f>
        <v>44100</v>
      </c>
      <c r="E18" s="14">
        <f>חינוך!E18</f>
        <v>44100</v>
      </c>
      <c r="F18" s="14">
        <f>חינוך!F18</f>
        <v>0</v>
      </c>
      <c r="G18" s="14">
        <f>חינוך!G18</f>
        <v>44100</v>
      </c>
      <c r="H18" s="14">
        <f>חינוך!H18</f>
        <v>0</v>
      </c>
      <c r="I18" s="14">
        <f>חינוך!I18</f>
        <v>0</v>
      </c>
      <c r="J18" s="14">
        <f>חינוך!J18</f>
        <v>0</v>
      </c>
      <c r="K18" s="14">
        <f>חינוך!K18</f>
        <v>0</v>
      </c>
      <c r="L18" s="14">
        <f>חינוך!L18</f>
        <v>0</v>
      </c>
      <c r="M18" s="14">
        <f>חינוך!M18</f>
        <v>44100</v>
      </c>
      <c r="N18" s="14">
        <f>חינוך!N18</f>
        <v>0</v>
      </c>
      <c r="O18" s="14">
        <f>חינוך!O18</f>
        <v>0</v>
      </c>
      <c r="P18" s="14">
        <f>חינוך!P18</f>
        <v>44100</v>
      </c>
      <c r="Q18" s="14">
        <f>חינוך!Q18</f>
        <v>0</v>
      </c>
      <c r="R18" s="14">
        <f>חינוך!R18</f>
        <v>0</v>
      </c>
      <c r="S18" s="14">
        <f>חינוך!S18</f>
        <v>0</v>
      </c>
      <c r="T18" s="14">
        <f>חינוך!T18</f>
        <v>0</v>
      </c>
      <c r="U18" s="14">
        <f>חינוך!U18</f>
        <v>0</v>
      </c>
      <c r="V18" s="14">
        <f>חינוך!V18</f>
        <v>0</v>
      </c>
      <c r="W18" s="14">
        <f>חינוך!W18</f>
        <v>0</v>
      </c>
      <c r="X18" s="14">
        <f>חינוך!X18</f>
        <v>0</v>
      </c>
      <c r="Y18" s="14">
        <f>חינוך!Y18</f>
        <v>0</v>
      </c>
      <c r="Z18" s="14">
        <f>חינוך!Z18</f>
        <v>0</v>
      </c>
      <c r="AA18" s="13">
        <f>חינוך!AA18</f>
        <v>810000</v>
      </c>
    </row>
    <row r="19" spans="1:27" s="15" customFormat="1">
      <c r="A19" s="13">
        <f t="shared" si="0"/>
        <v>14</v>
      </c>
      <c r="B19" s="100">
        <v>1978</v>
      </c>
      <c r="C19" s="13" t="s">
        <v>360</v>
      </c>
      <c r="D19" s="14">
        <f>חינוך!D19</f>
        <v>73500</v>
      </c>
      <c r="E19" s="14">
        <f>חינוך!E19</f>
        <v>73500</v>
      </c>
      <c r="F19" s="14">
        <f>חינוך!F19</f>
        <v>0</v>
      </c>
      <c r="G19" s="14">
        <f>חינוך!G19</f>
        <v>73500</v>
      </c>
      <c r="H19" s="14">
        <f>חינוך!H19</f>
        <v>0</v>
      </c>
      <c r="I19" s="14">
        <f>חינוך!I19</f>
        <v>0</v>
      </c>
      <c r="J19" s="14">
        <f>חינוך!J19</f>
        <v>0</v>
      </c>
      <c r="K19" s="14">
        <f>חינוך!K19</f>
        <v>0</v>
      </c>
      <c r="L19" s="14">
        <f>חינוך!L19</f>
        <v>0</v>
      </c>
      <c r="M19" s="14">
        <f>חינוך!M19</f>
        <v>73500</v>
      </c>
      <c r="N19" s="14">
        <f>חינוך!N19</f>
        <v>0</v>
      </c>
      <c r="O19" s="14">
        <f>חינוך!O19</f>
        <v>0</v>
      </c>
      <c r="P19" s="14">
        <f>חינוך!P19</f>
        <v>73500</v>
      </c>
      <c r="Q19" s="14">
        <f>חינוך!Q19</f>
        <v>0</v>
      </c>
      <c r="R19" s="14">
        <f>חינוך!R19</f>
        <v>0</v>
      </c>
      <c r="S19" s="14">
        <f>חינוך!S19</f>
        <v>0</v>
      </c>
      <c r="T19" s="14">
        <f>חינוך!T19</f>
        <v>0</v>
      </c>
      <c r="U19" s="14">
        <f>חינוך!U19</f>
        <v>0</v>
      </c>
      <c r="V19" s="14">
        <f>חינוך!V19</f>
        <v>0</v>
      </c>
      <c r="W19" s="14">
        <f>חינוך!W19</f>
        <v>0</v>
      </c>
      <c r="X19" s="14">
        <f>חינוך!X19</f>
        <v>0</v>
      </c>
      <c r="Y19" s="14">
        <f>חינוך!Y19</f>
        <v>0</v>
      </c>
      <c r="Z19" s="14">
        <f>חינוך!Z19</f>
        <v>0</v>
      </c>
      <c r="AA19" s="13">
        <f>חינוך!AA19</f>
        <v>810000</v>
      </c>
    </row>
    <row r="20" spans="1:27" s="15" customFormat="1">
      <c r="A20" s="13">
        <f t="shared" si="0"/>
        <v>15</v>
      </c>
      <c r="B20" s="100">
        <v>1987</v>
      </c>
      <c r="C20" s="13" t="s">
        <v>438</v>
      </c>
      <c r="D20" s="14">
        <f>חינוך!D20</f>
        <v>120000</v>
      </c>
      <c r="E20" s="14">
        <f>חינוך!E20</f>
        <v>120000</v>
      </c>
      <c r="F20" s="14">
        <f>חינוך!F20</f>
        <v>0</v>
      </c>
      <c r="G20" s="14">
        <f>חינוך!G20</f>
        <v>120000</v>
      </c>
      <c r="H20" s="14">
        <f>חינוך!H20</f>
        <v>0</v>
      </c>
      <c r="I20" s="14">
        <f>חינוך!I20</f>
        <v>0</v>
      </c>
      <c r="J20" s="14">
        <f>חינוך!J20</f>
        <v>0</v>
      </c>
      <c r="K20" s="14">
        <f>חינוך!K20</f>
        <v>0</v>
      </c>
      <c r="L20" s="14">
        <f>חינוך!L20</f>
        <v>0</v>
      </c>
      <c r="M20" s="14">
        <f>חינוך!M20</f>
        <v>120000</v>
      </c>
      <c r="N20" s="14">
        <f>חינוך!N20</f>
        <v>0</v>
      </c>
      <c r="O20" s="14">
        <f>חינוך!O20</f>
        <v>0</v>
      </c>
      <c r="P20" s="14">
        <f>חינוך!P20</f>
        <v>120000</v>
      </c>
      <c r="Q20" s="14">
        <f>חינוך!Q20</f>
        <v>0</v>
      </c>
      <c r="R20" s="14">
        <f>חינוך!R20</f>
        <v>0</v>
      </c>
      <c r="S20" s="14">
        <f>חינוך!S20</f>
        <v>0</v>
      </c>
      <c r="T20" s="14">
        <f>חינוך!T20</f>
        <v>0</v>
      </c>
      <c r="U20" s="14">
        <f>חינוך!U20</f>
        <v>0</v>
      </c>
      <c r="V20" s="14">
        <f>חינוך!V20</f>
        <v>0</v>
      </c>
      <c r="W20" s="14">
        <f>חינוך!W20</f>
        <v>0</v>
      </c>
      <c r="X20" s="14">
        <f>חינוך!X20</f>
        <v>0</v>
      </c>
      <c r="Y20" s="14">
        <f>חינוך!Y20</f>
        <v>0</v>
      </c>
      <c r="Z20" s="14">
        <f>חינוך!Z20</f>
        <v>0</v>
      </c>
      <c r="AA20" s="13">
        <f>חינוך!AA20</f>
        <v>810000</v>
      </c>
    </row>
    <row r="21" spans="1:27" s="15" customFormat="1">
      <c r="A21" s="13">
        <f t="shared" si="0"/>
        <v>16</v>
      </c>
      <c r="B21" s="100">
        <v>1990</v>
      </c>
      <c r="C21" s="13" t="s">
        <v>439</v>
      </c>
      <c r="D21" s="14">
        <f>חינוך!D21</f>
        <v>58800</v>
      </c>
      <c r="E21" s="14">
        <f>חינוך!E21</f>
        <v>58800</v>
      </c>
      <c r="F21" s="14">
        <f>חינוך!F21</f>
        <v>0</v>
      </c>
      <c r="G21" s="14">
        <f>חינוך!G21</f>
        <v>58800</v>
      </c>
      <c r="H21" s="14">
        <f>חינוך!H21</f>
        <v>0</v>
      </c>
      <c r="I21" s="14">
        <f>חינוך!I21</f>
        <v>0</v>
      </c>
      <c r="J21" s="14">
        <f>חינוך!J21</f>
        <v>0</v>
      </c>
      <c r="K21" s="14">
        <f>חינוך!K21</f>
        <v>0</v>
      </c>
      <c r="L21" s="14">
        <f>חינוך!L21</f>
        <v>0</v>
      </c>
      <c r="M21" s="14">
        <f>חינוך!M21</f>
        <v>58800</v>
      </c>
      <c r="N21" s="14">
        <f>חינוך!N21</f>
        <v>0</v>
      </c>
      <c r="O21" s="14">
        <f>חינוך!O21</f>
        <v>0</v>
      </c>
      <c r="P21" s="14">
        <f>חינוך!P21</f>
        <v>58800</v>
      </c>
      <c r="Q21" s="14">
        <f>חינוך!Q21</f>
        <v>0</v>
      </c>
      <c r="R21" s="14">
        <f>חינוך!R21</f>
        <v>0</v>
      </c>
      <c r="S21" s="14">
        <f>חינוך!S21</f>
        <v>0</v>
      </c>
      <c r="T21" s="14">
        <f>חינוך!T21</f>
        <v>0</v>
      </c>
      <c r="U21" s="14">
        <f>חינוך!U21</f>
        <v>0</v>
      </c>
      <c r="V21" s="14">
        <f>חינוך!V21</f>
        <v>0</v>
      </c>
      <c r="W21" s="14">
        <f>חינוך!W21</f>
        <v>0</v>
      </c>
      <c r="X21" s="14">
        <f>חינוך!X21</f>
        <v>0</v>
      </c>
      <c r="Y21" s="14">
        <f>חינוך!Y21</f>
        <v>0</v>
      </c>
      <c r="Z21" s="14">
        <f>חינוך!Z21</f>
        <v>0</v>
      </c>
      <c r="AA21" s="13">
        <f>חינוך!AA21</f>
        <v>810000</v>
      </c>
    </row>
    <row r="22" spans="1:27" s="15" customFormat="1">
      <c r="A22" s="13">
        <f t="shared" si="0"/>
        <v>17</v>
      </c>
      <c r="B22" s="100">
        <v>2003</v>
      </c>
      <c r="C22" s="13" t="s">
        <v>440</v>
      </c>
      <c r="D22" s="14">
        <f>חינוך!D22</f>
        <v>150000</v>
      </c>
      <c r="E22" s="14">
        <f>חינוך!E22</f>
        <v>150000</v>
      </c>
      <c r="F22" s="14">
        <f>חינוך!F22</f>
        <v>0</v>
      </c>
      <c r="G22" s="14">
        <f>חינוך!G22</f>
        <v>150000</v>
      </c>
      <c r="H22" s="14">
        <f>חינוך!H22</f>
        <v>0</v>
      </c>
      <c r="I22" s="14">
        <f>חינוך!I22</f>
        <v>0</v>
      </c>
      <c r="J22" s="14">
        <f>חינוך!J22</f>
        <v>0</v>
      </c>
      <c r="K22" s="14">
        <f>חינוך!K22</f>
        <v>0</v>
      </c>
      <c r="L22" s="14">
        <f>חינוך!L22</f>
        <v>0</v>
      </c>
      <c r="M22" s="14">
        <f>חינוך!M22</f>
        <v>150000</v>
      </c>
      <c r="N22" s="14">
        <f>חינוך!N22</f>
        <v>0</v>
      </c>
      <c r="O22" s="14">
        <f>חינוך!O22</f>
        <v>0</v>
      </c>
      <c r="P22" s="14">
        <f>חינוך!P22</f>
        <v>150000</v>
      </c>
      <c r="Q22" s="14">
        <f>חינוך!Q22</f>
        <v>0</v>
      </c>
      <c r="R22" s="14">
        <f>חינוך!R22</f>
        <v>0</v>
      </c>
      <c r="S22" s="14">
        <f>חינוך!S22</f>
        <v>0</v>
      </c>
      <c r="T22" s="14">
        <f>חינוך!T22</f>
        <v>0</v>
      </c>
      <c r="U22" s="14">
        <f>חינוך!U22</f>
        <v>0</v>
      </c>
      <c r="V22" s="14">
        <f>חינוך!V22</f>
        <v>0</v>
      </c>
      <c r="W22" s="14">
        <f>חינוך!W22</f>
        <v>0</v>
      </c>
      <c r="X22" s="14">
        <f>חינוך!X22</f>
        <v>0</v>
      </c>
      <c r="Y22" s="14">
        <f>חינוך!Y22</f>
        <v>0</v>
      </c>
      <c r="Z22" s="14">
        <f>חינוך!Z22</f>
        <v>0</v>
      </c>
      <c r="AA22" s="13">
        <f>חינוך!AA22</f>
        <v>810000</v>
      </c>
    </row>
    <row r="23" spans="1:27" s="15" customFormat="1">
      <c r="A23" s="13">
        <f t="shared" si="0"/>
        <v>18</v>
      </c>
      <c r="B23" s="100">
        <v>2033</v>
      </c>
      <c r="C23" s="13" t="s">
        <v>476</v>
      </c>
      <c r="D23" s="14">
        <f>חינוך!D23</f>
        <v>950000</v>
      </c>
      <c r="E23" s="14">
        <f>חינוך!E23</f>
        <v>0</v>
      </c>
      <c r="F23" s="14">
        <f>חינוך!F23</f>
        <v>950000</v>
      </c>
      <c r="G23" s="14">
        <f>חינוך!G23</f>
        <v>0</v>
      </c>
      <c r="H23" s="14">
        <f>חינוך!H23</f>
        <v>0</v>
      </c>
      <c r="I23" s="14">
        <f>חינוך!I23</f>
        <v>0</v>
      </c>
      <c r="J23" s="14">
        <f>חינוך!J23</f>
        <v>0</v>
      </c>
      <c r="K23" s="14">
        <f>חינוך!K23</f>
        <v>0</v>
      </c>
      <c r="L23" s="14">
        <f>חינוך!L23</f>
        <v>0</v>
      </c>
      <c r="M23" s="14">
        <f>חינוך!M23</f>
        <v>0</v>
      </c>
      <c r="N23" s="14">
        <f>חינוך!N23</f>
        <v>950000</v>
      </c>
      <c r="O23" s="14">
        <f>חינוך!O23</f>
        <v>0</v>
      </c>
      <c r="P23" s="14">
        <f>חינוך!P23</f>
        <v>0</v>
      </c>
      <c r="Q23" s="14">
        <f>חינוך!Q23</f>
        <v>0</v>
      </c>
      <c r="R23" s="14">
        <f>חינוך!R23</f>
        <v>0</v>
      </c>
      <c r="S23" s="14">
        <f>חינוך!S23</f>
        <v>0</v>
      </c>
      <c r="T23" s="14">
        <f>חינוך!T23</f>
        <v>0</v>
      </c>
      <c r="U23" s="14">
        <f>חינוך!U23</f>
        <v>950000</v>
      </c>
      <c r="V23" s="14">
        <f>חינוך!V23</f>
        <v>0</v>
      </c>
      <c r="W23" s="14">
        <f>חינוך!W23</f>
        <v>950000</v>
      </c>
      <c r="X23" s="14">
        <f>חינוך!X23</f>
        <v>0</v>
      </c>
      <c r="Y23" s="14">
        <f>חינוך!Y23</f>
        <v>0</v>
      </c>
      <c r="Z23" s="14">
        <f>חינוך!Z23</f>
        <v>0</v>
      </c>
      <c r="AA23" s="13">
        <f>חינוך!AA23</f>
        <v>810000</v>
      </c>
    </row>
    <row r="24" spans="1:27" s="15" customFormat="1">
      <c r="A24" s="13">
        <f t="shared" si="0"/>
        <v>19</v>
      </c>
      <c r="B24" s="100">
        <v>2034</v>
      </c>
      <c r="C24" s="13" t="s">
        <v>1001</v>
      </c>
      <c r="D24" s="14">
        <f>חינוך!D24</f>
        <v>1700000</v>
      </c>
      <c r="E24" s="14">
        <f>חינוך!E24</f>
        <v>0</v>
      </c>
      <c r="F24" s="14">
        <f>חינוך!F24</f>
        <v>1700000</v>
      </c>
      <c r="G24" s="14">
        <f>חינוך!G24</f>
        <v>0</v>
      </c>
      <c r="H24" s="14">
        <f>חינוך!H24</f>
        <v>0</v>
      </c>
      <c r="I24" s="14">
        <f>חינוך!I24</f>
        <v>0</v>
      </c>
      <c r="J24" s="14">
        <f>חינוך!J24</f>
        <v>0</v>
      </c>
      <c r="K24" s="14">
        <f>חינוך!K24</f>
        <v>0</v>
      </c>
      <c r="L24" s="14">
        <f>חינוך!L24</f>
        <v>0</v>
      </c>
      <c r="M24" s="14">
        <f>חינוך!M24</f>
        <v>0</v>
      </c>
      <c r="N24" s="14">
        <f>חינוך!N24</f>
        <v>700000</v>
      </c>
      <c r="O24" s="14">
        <f>חינוך!O24</f>
        <v>1000000</v>
      </c>
      <c r="P24" s="14">
        <f>חינוך!P24</f>
        <v>0</v>
      </c>
      <c r="Q24" s="14">
        <f>חינוך!Q24</f>
        <v>0</v>
      </c>
      <c r="R24" s="14">
        <f>חינוך!R24</f>
        <v>0</v>
      </c>
      <c r="S24" s="14">
        <f>חינוך!S24</f>
        <v>0</v>
      </c>
      <c r="T24" s="14">
        <f>חינוך!T24</f>
        <v>0</v>
      </c>
      <c r="U24" s="14">
        <f>חינוך!U24</f>
        <v>700000</v>
      </c>
      <c r="V24" s="14">
        <f>חינוך!V24</f>
        <v>0</v>
      </c>
      <c r="W24" s="14">
        <f>חינוך!W24</f>
        <v>700000</v>
      </c>
      <c r="X24" s="14">
        <f>חינוך!X24</f>
        <v>0</v>
      </c>
      <c r="Y24" s="14">
        <f>חינוך!Y24</f>
        <v>0</v>
      </c>
      <c r="Z24" s="14">
        <f>חינוך!Z24</f>
        <v>0</v>
      </c>
      <c r="AA24" s="13">
        <f>חינוך!AA24</f>
        <v>810000</v>
      </c>
    </row>
    <row r="25" spans="1:27" s="689" customFormat="1" ht="15.75">
      <c r="A25" s="147">
        <f>A24</f>
        <v>19</v>
      </c>
      <c r="B25" s="220">
        <v>6</v>
      </c>
      <c r="C25" s="147" t="s">
        <v>1040</v>
      </c>
      <c r="D25" s="148">
        <f t="shared" ref="D25:Z25" si="1">SUM(D6:D24)</f>
        <v>11125500</v>
      </c>
      <c r="E25" s="148">
        <f t="shared" si="1"/>
        <v>7610500</v>
      </c>
      <c r="F25" s="148">
        <f t="shared" si="1"/>
        <v>3515000</v>
      </c>
      <c r="G25" s="148">
        <f t="shared" si="1"/>
        <v>6570363</v>
      </c>
      <c r="H25" s="148">
        <f t="shared" si="1"/>
        <v>3919803.55</v>
      </c>
      <c r="I25" s="148">
        <f t="shared" si="1"/>
        <v>0</v>
      </c>
      <c r="J25" s="148">
        <f t="shared" si="1"/>
        <v>726080</v>
      </c>
      <c r="K25" s="148">
        <f t="shared" si="1"/>
        <v>726080</v>
      </c>
      <c r="L25" s="148">
        <f t="shared" si="1"/>
        <v>4645883.55</v>
      </c>
      <c r="M25" s="148">
        <f t="shared" si="1"/>
        <v>1924479.4500000002</v>
      </c>
      <c r="N25" s="148">
        <f t="shared" si="1"/>
        <v>2580137</v>
      </c>
      <c r="O25" s="148">
        <f t="shared" si="1"/>
        <v>1975000</v>
      </c>
      <c r="P25" s="148">
        <f t="shared" si="1"/>
        <v>1924479.4500000002</v>
      </c>
      <c r="Q25" s="148">
        <f t="shared" si="1"/>
        <v>0</v>
      </c>
      <c r="R25" s="148">
        <f t="shared" si="1"/>
        <v>0</v>
      </c>
      <c r="S25" s="148">
        <f t="shared" si="1"/>
        <v>0</v>
      </c>
      <c r="T25" s="148">
        <f t="shared" si="1"/>
        <v>0</v>
      </c>
      <c r="U25" s="148">
        <f t="shared" si="1"/>
        <v>2580137</v>
      </c>
      <c r="V25" s="148">
        <f t="shared" si="1"/>
        <v>0</v>
      </c>
      <c r="W25" s="148">
        <f t="shared" si="1"/>
        <v>2515000</v>
      </c>
      <c r="X25" s="148">
        <f t="shared" si="1"/>
        <v>0</v>
      </c>
      <c r="Y25" s="148">
        <f t="shared" si="1"/>
        <v>0</v>
      </c>
      <c r="Z25" s="148">
        <f t="shared" si="1"/>
        <v>65137</v>
      </c>
      <c r="AA25" s="147"/>
    </row>
    <row r="26" spans="1:27" s="149" customFormat="1">
      <c r="A26" s="81"/>
      <c r="B26" s="207"/>
      <c r="C26" s="81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81"/>
      <c r="AA26" s="81"/>
    </row>
    <row r="27" spans="1:27" s="15" customFormat="1" ht="15.75" thickBot="1">
      <c r="A27" s="57"/>
      <c r="B27" s="29"/>
      <c r="C27" s="29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29"/>
      <c r="V27" s="29"/>
      <c r="W27" s="29"/>
      <c r="X27" s="29"/>
      <c r="Y27" s="29"/>
      <c r="Z27" s="29"/>
      <c r="AA27" s="29"/>
    </row>
    <row r="28" spans="1:27" s="15" customFormat="1" ht="16.5" thickBot="1">
      <c r="A28" s="57"/>
      <c r="B28" s="29"/>
      <c r="C28" s="31"/>
      <c r="E28" s="208"/>
      <c r="F28" s="31"/>
      <c r="G28" s="209"/>
      <c r="H28" s="31"/>
      <c r="I28" s="31"/>
      <c r="J28" s="31"/>
      <c r="K28" s="31"/>
      <c r="L28" s="31"/>
      <c r="M28" s="52"/>
      <c r="N28" s="52"/>
      <c r="O28" s="52"/>
      <c r="P28" s="55"/>
      <c r="Q28" s="52"/>
      <c r="R28" s="52"/>
      <c r="S28" s="52"/>
      <c r="T28" s="31"/>
      <c r="U28" s="29"/>
      <c r="V28" s="29"/>
      <c r="W28" s="29"/>
      <c r="X28" s="29"/>
      <c r="Y28" s="29"/>
      <c r="Z28" s="29"/>
      <c r="AA28" s="29"/>
    </row>
    <row r="29" spans="1:27" s="15" customFormat="1">
      <c r="A29" s="57"/>
      <c r="B29" s="29"/>
      <c r="C29" s="29"/>
      <c r="D29" s="52"/>
      <c r="E29" s="208"/>
      <c r="F29" s="31"/>
      <c r="G29" s="31"/>
      <c r="H29" s="31"/>
      <c r="I29" s="31"/>
      <c r="J29" s="31"/>
      <c r="K29" s="31"/>
      <c r="L29" s="31"/>
      <c r="M29" s="52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</row>
    <row r="30" spans="1:27" s="15" customFormat="1">
      <c r="A30" s="57"/>
      <c r="B30" s="29"/>
      <c r="C30" s="29"/>
      <c r="D30" s="52"/>
      <c r="E30" s="208"/>
      <c r="F30" s="31"/>
      <c r="G30" s="31"/>
      <c r="H30" s="31"/>
      <c r="I30" s="31"/>
      <c r="J30" s="31"/>
      <c r="K30" s="31"/>
      <c r="L30" s="31"/>
      <c r="M30" s="52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</row>
    <row r="31" spans="1:27" s="15" customFormat="1">
      <c r="A31" s="57"/>
      <c r="B31" s="29"/>
      <c r="C31" s="29"/>
      <c r="D31" s="31"/>
      <c r="E31" s="208"/>
      <c r="F31" s="31"/>
      <c r="G31" s="31"/>
      <c r="H31" s="31"/>
      <c r="I31" s="31"/>
      <c r="J31" s="31"/>
      <c r="K31" s="31"/>
      <c r="L31" s="31"/>
      <c r="M31" s="52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</row>
    <row r="32" spans="1:27" s="15" customFormat="1">
      <c r="A32" s="57"/>
      <c r="B32" s="29"/>
      <c r="C32" s="29"/>
      <c r="D32" s="31"/>
      <c r="E32" s="57"/>
      <c r="F32" s="31"/>
      <c r="G32" s="31"/>
      <c r="H32" s="31"/>
      <c r="I32" s="31"/>
      <c r="J32" s="31"/>
      <c r="K32" s="31"/>
      <c r="L32" s="31"/>
      <c r="M32" s="52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</row>
    <row r="33" spans="1:27" s="15" customFormat="1">
      <c r="A33" s="57"/>
      <c r="B33" s="29"/>
      <c r="C33" s="29"/>
      <c r="D33" s="31"/>
      <c r="E33" s="57"/>
      <c r="F33" s="31"/>
      <c r="G33" s="31"/>
      <c r="H33" s="31"/>
      <c r="I33" s="31"/>
      <c r="J33" s="31"/>
      <c r="K33" s="31"/>
      <c r="L33" s="31"/>
      <c r="M33" s="52"/>
      <c r="N33" s="52"/>
      <c r="O33" s="52"/>
      <c r="P33" s="57"/>
      <c r="Q33" s="52"/>
      <c r="R33" s="52"/>
      <c r="S33" s="52"/>
      <c r="T33" s="31"/>
      <c r="U33" s="29"/>
      <c r="V33" s="29"/>
      <c r="W33" s="29"/>
      <c r="X33" s="29"/>
      <c r="Y33" s="29"/>
      <c r="Z33" s="29"/>
      <c r="AA33" s="29"/>
    </row>
    <row r="34" spans="1:27">
      <c r="E34" s="37"/>
      <c r="M34" s="52"/>
      <c r="N34" s="52"/>
      <c r="O34" s="52"/>
      <c r="P34" s="57"/>
      <c r="Q34" s="52"/>
      <c r="R34" s="52"/>
      <c r="S34" s="52"/>
    </row>
    <row r="35" spans="1:27">
      <c r="E35" s="37"/>
      <c r="M35" s="52"/>
      <c r="N35" s="52"/>
      <c r="O35" s="52"/>
      <c r="P35" s="57"/>
      <c r="Q35" s="52"/>
      <c r="R35" s="52"/>
      <c r="S35" s="52"/>
    </row>
    <row r="36" spans="1:27">
      <c r="E36" s="208"/>
      <c r="M36" s="52"/>
      <c r="N36" s="52"/>
      <c r="O36" s="52"/>
      <c r="P36" s="52"/>
      <c r="Q36" s="52"/>
      <c r="R36" s="52"/>
      <c r="S36" s="52"/>
    </row>
    <row r="37" spans="1:27">
      <c r="E37" s="208"/>
      <c r="M37" s="52"/>
      <c r="N37" s="52"/>
      <c r="O37" s="52"/>
      <c r="P37" s="52"/>
      <c r="Q37" s="52"/>
      <c r="R37" s="52"/>
      <c r="S37" s="52"/>
    </row>
    <row r="38" spans="1:27">
      <c r="E38" s="208"/>
      <c r="M38" s="52"/>
      <c r="N38" s="52"/>
      <c r="O38" s="52"/>
      <c r="P38" s="52"/>
      <c r="Q38" s="52"/>
      <c r="R38" s="52"/>
      <c r="S38" s="52"/>
    </row>
    <row r="39" spans="1:27">
      <c r="E39" s="208"/>
      <c r="M39" s="52"/>
      <c r="N39" s="52"/>
      <c r="O39" s="52"/>
      <c r="P39" s="52"/>
      <c r="Q39" s="52"/>
      <c r="R39" s="52"/>
      <c r="S39" s="52"/>
    </row>
    <row r="40" spans="1:27">
      <c r="E40" s="208"/>
      <c r="M40" s="52"/>
      <c r="N40" s="52"/>
      <c r="O40" s="52"/>
      <c r="P40" s="52"/>
      <c r="Q40" s="52"/>
      <c r="R40" s="52"/>
      <c r="S40" s="52"/>
    </row>
    <row r="41" spans="1:27">
      <c r="E41" s="208"/>
      <c r="M41" s="52"/>
      <c r="N41" s="52"/>
      <c r="O41" s="52"/>
      <c r="P41" s="52"/>
      <c r="Q41" s="52"/>
      <c r="R41" s="52"/>
      <c r="S41" s="52"/>
    </row>
    <row r="42" spans="1:27">
      <c r="E42" s="208"/>
      <c r="M42" s="52"/>
      <c r="N42" s="52"/>
      <c r="O42" s="52"/>
      <c r="P42" s="52"/>
      <c r="Q42" s="52"/>
      <c r="R42" s="52"/>
      <c r="S42" s="52"/>
    </row>
    <row r="43" spans="1:27">
      <c r="E43" s="208"/>
      <c r="M43" s="52"/>
      <c r="N43" s="52"/>
      <c r="O43" s="52"/>
      <c r="P43" s="52"/>
      <c r="Q43" s="52"/>
      <c r="R43" s="52"/>
      <c r="S43" s="52"/>
    </row>
    <row r="44" spans="1:27">
      <c r="E44" s="29"/>
      <c r="M44" s="52"/>
      <c r="N44" s="52"/>
      <c r="O44" s="52"/>
      <c r="P44" s="52"/>
      <c r="Q44" s="52"/>
      <c r="R44" s="52"/>
      <c r="S44" s="52"/>
    </row>
    <row r="45" spans="1:27">
      <c r="E45" s="29"/>
      <c r="M45" s="52"/>
      <c r="N45" s="52"/>
      <c r="O45" s="52"/>
      <c r="P45" s="52"/>
      <c r="Q45" s="52"/>
      <c r="R45" s="52"/>
      <c r="S45" s="52"/>
    </row>
    <row r="46" spans="1:27">
      <c r="E46" s="29"/>
      <c r="M46" s="52"/>
      <c r="N46" s="52"/>
      <c r="O46" s="52"/>
      <c r="P46" s="52"/>
      <c r="Q46" s="52"/>
      <c r="R46" s="52"/>
      <c r="S46" s="52"/>
    </row>
    <row r="47" spans="1:27">
      <c r="E47" s="29"/>
      <c r="M47" s="52"/>
      <c r="N47" s="52"/>
      <c r="O47" s="52"/>
      <c r="P47" s="52"/>
      <c r="Q47" s="52"/>
      <c r="R47" s="52"/>
      <c r="S47" s="52"/>
    </row>
  </sheetData>
  <sheetProtection formatCells="0" formatColumns="0" formatRows="0" insertColumns="0" insertRows="0" insertHyperlinks="0" deleteColumns="0" deleteRows="0" sort="0" autoFilter="0" pivotTables="0"/>
  <conditionalFormatting sqref="A2:Z2 AB2:XFD2">
    <cfRule type="cellIs" dxfId="32" priority="2" operator="equal">
      <formula>0</formula>
    </cfRule>
  </conditionalFormatting>
  <conditionalFormatting sqref="AA2">
    <cfRule type="cellIs" dxfId="31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0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E3" s="710"/>
    </row>
    <row r="5" spans="1:17" ht="20.25">
      <c r="A5" s="708"/>
      <c r="C5" s="710" t="s">
        <v>509</v>
      </c>
      <c r="D5" s="708"/>
      <c r="E5" s="708"/>
      <c r="F5" s="708"/>
      <c r="G5" s="708"/>
      <c r="H5" s="708"/>
      <c r="I5" s="708"/>
      <c r="J5" s="708"/>
      <c r="K5" s="708"/>
      <c r="L5" s="708"/>
    </row>
    <row r="6" spans="1:17" ht="21" thickBot="1">
      <c r="A6" s="708"/>
      <c r="C6" s="710"/>
      <c r="D6" s="708"/>
      <c r="E6" s="708"/>
      <c r="F6" s="708"/>
      <c r="G6" s="708"/>
      <c r="H6" s="708"/>
      <c r="I6" s="708"/>
      <c r="J6" s="708"/>
      <c r="K6" s="708"/>
      <c r="L6" s="708"/>
    </row>
    <row r="7" spans="1:17" ht="16.5" thickBot="1">
      <c r="A7" s="708"/>
      <c r="B7" s="711" t="s">
        <v>455</v>
      </c>
      <c r="C7" s="708" t="s">
        <v>997</v>
      </c>
      <c r="D7" s="708"/>
      <c r="E7" s="708"/>
      <c r="F7" s="712">
        <f>' תנוס '!U18</f>
        <v>1480000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999</v>
      </c>
      <c r="D9" s="708"/>
      <c r="F9" s="712">
        <f>' תנוס '!A18</f>
        <v>12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E10" s="708"/>
      <c r="F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 t="s">
        <v>455</v>
      </c>
      <c r="C11" s="708" t="s">
        <v>972</v>
      </c>
      <c r="D11" s="708"/>
      <c r="E11" s="708"/>
      <c r="F11" s="708"/>
      <c r="G11" s="708"/>
      <c r="H11" s="708"/>
      <c r="I11" s="708"/>
      <c r="J11" s="708"/>
      <c r="K11" s="708"/>
      <c r="L11" s="708"/>
    </row>
    <row r="12" spans="1:17" ht="16.5" thickBot="1">
      <c r="B12" s="708"/>
      <c r="C12" s="708"/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D13" s="737" t="s">
        <v>973</v>
      </c>
      <c r="E13" s="738" t="s">
        <v>974</v>
      </c>
      <c r="F13" s="739" t="s">
        <v>987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5" t="s">
        <v>14</v>
      </c>
      <c r="E14" s="740">
        <f>' תנוס '!W18</f>
        <v>1480000</v>
      </c>
      <c r="F14" s="741">
        <f>E14/$E$15</f>
        <v>1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6.5" thickBot="1">
      <c r="C15" s="711"/>
      <c r="D15" s="718" t="s">
        <v>208</v>
      </c>
      <c r="E15" s="755">
        <f>SUM(E14:E14)</f>
        <v>1480000</v>
      </c>
      <c r="F15" s="743">
        <f>SUM(F14:F14)</f>
        <v>1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/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B17" s="711"/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B18" s="711"/>
      <c r="C18" s="708"/>
      <c r="D18" s="708"/>
      <c r="F18" s="708"/>
      <c r="H18" s="717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B19" s="711" t="s">
        <v>455</v>
      </c>
      <c r="C19" s="708" t="s">
        <v>1082</v>
      </c>
      <c r="D19" s="708"/>
      <c r="F19" s="708"/>
      <c r="H19" s="717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B20" s="711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D39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1.5703125" style="29" customWidth="1"/>
    <col min="4" max="4" width="10.42578125" style="31" customWidth="1"/>
    <col min="5" max="5" width="12.7109375" style="31" customWidth="1"/>
    <col min="6" max="6" width="10" style="31" customWidth="1"/>
    <col min="7" max="10" width="12.7109375" style="31" hidden="1" customWidth="1"/>
    <col min="11" max="11" width="11.28515625" style="31" hidden="1" customWidth="1"/>
    <col min="12" max="12" width="10.7109375" style="31" customWidth="1"/>
    <col min="13" max="13" width="11.85546875" style="31" customWidth="1"/>
    <col min="14" max="14" width="11.140625" style="31" bestFit="1" customWidth="1"/>
    <col min="15" max="15" width="10.85546875" style="31" customWidth="1"/>
    <col min="16" max="17" width="11.140625" style="31" hidden="1" customWidth="1"/>
    <col min="18" max="19" width="12" style="31" hidden="1" customWidth="1"/>
    <col min="20" max="20" width="10" style="31" hidden="1" customWidth="1"/>
    <col min="21" max="21" width="11.7109375" style="29" customWidth="1"/>
    <col min="22" max="22" width="10.140625" style="29" hidden="1" customWidth="1"/>
    <col min="23" max="23" width="12.85546875" style="29" customWidth="1"/>
    <col min="24" max="25" width="7.42578125" style="29" hidden="1" customWidth="1"/>
    <col min="26" max="26" width="8.42578125" style="29" hidden="1" customWidth="1"/>
    <col min="27" max="27" width="7.85546875" style="29" hidden="1" customWidth="1"/>
    <col min="28" max="28" width="3.28515625" style="29" customWidth="1"/>
    <col min="29" max="30" width="9.140625" style="29" customWidth="1"/>
    <col min="31" max="16384" width="9.140625" style="29"/>
  </cols>
  <sheetData>
    <row r="2" spans="1:30" s="204" customFormat="1" ht="18.75">
      <c r="A2" s="541" t="s">
        <v>509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205"/>
      <c r="Y2" s="205"/>
      <c r="Z2" s="205"/>
      <c r="AA2" s="205"/>
      <c r="AB2" s="205"/>
      <c r="AC2" s="205"/>
      <c r="AD2" s="205"/>
    </row>
    <row r="4" spans="1:30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29"/>
    </row>
    <row r="5" spans="1:30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>
        <f>P5-M5+R5</f>
        <v>0</v>
      </c>
      <c r="U5" s="14">
        <f t="shared" ref="U5:U17" si="0">N5-T5</f>
        <v>0</v>
      </c>
      <c r="V5" s="14"/>
      <c r="W5" s="14"/>
      <c r="X5" s="14"/>
      <c r="Y5" s="14"/>
      <c r="Z5" s="13"/>
      <c r="AA5" s="101"/>
      <c r="AB5" s="29"/>
    </row>
    <row r="6" spans="1:30" s="15" customFormat="1">
      <c r="A6" s="13">
        <f>A5+1</f>
        <v>1</v>
      </c>
      <c r="B6" s="13">
        <v>1350</v>
      </c>
      <c r="C6" s="13" t="s">
        <v>441</v>
      </c>
      <c r="D6" s="14">
        <v>1300000</v>
      </c>
      <c r="E6" s="14">
        <v>1300000</v>
      </c>
      <c r="F6" s="14">
        <f t="shared" ref="F6:F17" si="1">D6-E6</f>
        <v>0</v>
      </c>
      <c r="G6" s="14">
        <v>900000</v>
      </c>
      <c r="H6" s="14">
        <v>505118.71999999997</v>
      </c>
      <c r="I6" s="14"/>
      <c r="J6" s="14">
        <v>382006.99</v>
      </c>
      <c r="K6" s="14">
        <f t="shared" ref="K6:K17" si="2">I6+J6</f>
        <v>382006.99</v>
      </c>
      <c r="L6" s="14">
        <f t="shared" ref="L6:L17" si="3">H6+K6</f>
        <v>887125.71</v>
      </c>
      <c r="M6" s="14">
        <f>P6+S6</f>
        <v>12874.290000000037</v>
      </c>
      <c r="N6" s="14"/>
      <c r="O6" s="14">
        <f>D6-L6-M6-N6</f>
        <v>400000</v>
      </c>
      <c r="P6" s="14">
        <f>G6-L6</f>
        <v>12874.290000000037</v>
      </c>
      <c r="Q6" s="14"/>
      <c r="R6" s="14"/>
      <c r="S6" s="14">
        <f>SUM(Q6:R6)</f>
        <v>0</v>
      </c>
      <c r="T6" s="14">
        <f t="shared" ref="T6:T17" si="4">P6-M6+S6</f>
        <v>0</v>
      </c>
      <c r="U6" s="14">
        <f t="shared" si="0"/>
        <v>0</v>
      </c>
      <c r="V6" s="14"/>
      <c r="W6" s="14">
        <f t="shared" ref="W6:W17" si="5">U6-V6-Y6-AB6</f>
        <v>0</v>
      </c>
      <c r="X6" s="14"/>
      <c r="Y6" s="14"/>
      <c r="Z6" s="13"/>
      <c r="AA6" s="101">
        <v>828900</v>
      </c>
      <c r="AB6" s="29"/>
      <c r="AD6" s="78"/>
    </row>
    <row r="7" spans="1:30" s="15" customFormat="1">
      <c r="A7" s="13">
        <f>A6+1</f>
        <v>2</v>
      </c>
      <c r="B7" s="13">
        <v>1486</v>
      </c>
      <c r="C7" s="13" t="s">
        <v>478</v>
      </c>
      <c r="D7" s="14">
        <v>5700000</v>
      </c>
      <c r="E7" s="14">
        <v>3400000</v>
      </c>
      <c r="F7" s="14">
        <f t="shared" si="1"/>
        <v>2300000</v>
      </c>
      <c r="G7" s="14">
        <v>3400000</v>
      </c>
      <c r="H7" s="14">
        <v>3012924.43</v>
      </c>
      <c r="I7" s="14"/>
      <c r="J7" s="14">
        <v>370941.05</v>
      </c>
      <c r="K7" s="14">
        <f t="shared" si="2"/>
        <v>370941.05</v>
      </c>
      <c r="L7" s="14">
        <f t="shared" si="3"/>
        <v>3383865.48</v>
      </c>
      <c r="M7" s="14">
        <f>P7+S7</f>
        <v>16134.520000000019</v>
      </c>
      <c r="N7" s="14">
        <v>1000000</v>
      </c>
      <c r="O7" s="14">
        <f>D7-L7-M7-N7</f>
        <v>1300000</v>
      </c>
      <c r="P7" s="14">
        <f>G7-L7</f>
        <v>16134.520000000019</v>
      </c>
      <c r="Q7" s="14"/>
      <c r="R7" s="14"/>
      <c r="S7" s="14">
        <f t="shared" ref="S7:S17" si="6">SUM(Q7:R7)</f>
        <v>0</v>
      </c>
      <c r="T7" s="14">
        <f t="shared" si="4"/>
        <v>0</v>
      </c>
      <c r="U7" s="14">
        <f t="shared" si="0"/>
        <v>1000000</v>
      </c>
      <c r="V7" s="14"/>
      <c r="W7" s="14">
        <f t="shared" si="5"/>
        <v>1000000</v>
      </c>
      <c r="X7" s="14"/>
      <c r="Y7" s="14"/>
      <c r="Z7" s="13"/>
      <c r="AA7" s="101">
        <v>930000</v>
      </c>
      <c r="AB7" s="29"/>
      <c r="AD7" s="78"/>
    </row>
    <row r="8" spans="1:30" s="15" customFormat="1">
      <c r="A8" s="13">
        <f t="shared" ref="A8:A17" si="7">A7+1</f>
        <v>3</v>
      </c>
      <c r="B8" s="13">
        <v>1582</v>
      </c>
      <c r="C8" s="13" t="s">
        <v>107</v>
      </c>
      <c r="D8" s="14">
        <f>1600000-837000</f>
        <v>763000</v>
      </c>
      <c r="E8" s="14">
        <v>1600000</v>
      </c>
      <c r="F8" s="14">
        <f t="shared" si="1"/>
        <v>-837000</v>
      </c>
      <c r="G8" s="14">
        <v>763000</v>
      </c>
      <c r="H8" s="14">
        <v>618241.97</v>
      </c>
      <c r="I8" s="14"/>
      <c r="J8" s="14"/>
      <c r="K8" s="14">
        <f t="shared" si="2"/>
        <v>0</v>
      </c>
      <c r="L8" s="14">
        <f t="shared" si="3"/>
        <v>618241.97</v>
      </c>
      <c r="M8" s="14">
        <f t="shared" ref="M8:M16" si="8">P8+S8</f>
        <v>144758.03000000003</v>
      </c>
      <c r="N8" s="14"/>
      <c r="O8" s="14">
        <f t="shared" ref="O8:O17" si="9">D8-L8-M8-N8</f>
        <v>0</v>
      </c>
      <c r="P8" s="14">
        <f t="shared" ref="P8:P17" si="10">G8-L8</f>
        <v>144758.03000000003</v>
      </c>
      <c r="Q8" s="14"/>
      <c r="R8" s="14"/>
      <c r="S8" s="14">
        <f t="shared" si="6"/>
        <v>0</v>
      </c>
      <c r="T8" s="14">
        <f t="shared" si="4"/>
        <v>0</v>
      </c>
      <c r="U8" s="14">
        <f t="shared" si="0"/>
        <v>0</v>
      </c>
      <c r="V8" s="14"/>
      <c r="W8" s="14">
        <f t="shared" si="5"/>
        <v>0</v>
      </c>
      <c r="X8" s="14"/>
      <c r="Y8" s="14"/>
      <c r="Z8" s="13"/>
      <c r="AA8" s="101">
        <v>829000</v>
      </c>
      <c r="AB8" s="29"/>
      <c r="AD8" s="78"/>
    </row>
    <row r="9" spans="1:30" s="15" customFormat="1">
      <c r="A9" s="13">
        <f t="shared" si="7"/>
        <v>4</v>
      </c>
      <c r="B9" s="13">
        <v>1678</v>
      </c>
      <c r="C9" s="13" t="s">
        <v>103</v>
      </c>
      <c r="D9" s="14">
        <v>1100000</v>
      </c>
      <c r="E9" s="14">
        <v>1100000</v>
      </c>
      <c r="F9" s="14">
        <f t="shared" si="1"/>
        <v>0</v>
      </c>
      <c r="G9" s="14">
        <v>800000</v>
      </c>
      <c r="H9" s="14">
        <v>687892.8</v>
      </c>
      <c r="I9" s="14"/>
      <c r="J9" s="14">
        <v>78912.990000000005</v>
      </c>
      <c r="K9" s="14">
        <f t="shared" si="2"/>
        <v>78912.990000000005</v>
      </c>
      <c r="L9" s="14">
        <f t="shared" si="3"/>
        <v>766805.79</v>
      </c>
      <c r="M9" s="14">
        <f t="shared" si="8"/>
        <v>33194.209999999963</v>
      </c>
      <c r="N9" s="14">
        <v>250000</v>
      </c>
      <c r="O9" s="14">
        <f>D9-L9-M9-N9</f>
        <v>50000</v>
      </c>
      <c r="P9" s="14">
        <f t="shared" si="10"/>
        <v>33194.209999999963</v>
      </c>
      <c r="Q9" s="14"/>
      <c r="R9" s="14"/>
      <c r="S9" s="14">
        <f t="shared" si="6"/>
        <v>0</v>
      </c>
      <c r="T9" s="14">
        <f t="shared" si="4"/>
        <v>0</v>
      </c>
      <c r="U9" s="14">
        <f t="shared" si="0"/>
        <v>250000</v>
      </c>
      <c r="V9" s="14"/>
      <c r="W9" s="14">
        <f t="shared" si="5"/>
        <v>250000</v>
      </c>
      <c r="X9" s="14"/>
      <c r="Y9" s="14"/>
      <c r="Z9" s="13"/>
      <c r="AA9" s="101">
        <v>829000</v>
      </c>
      <c r="AB9" s="29"/>
      <c r="AD9" s="78"/>
    </row>
    <row r="10" spans="1:30" s="15" customFormat="1">
      <c r="A10" s="13">
        <f t="shared" si="7"/>
        <v>5</v>
      </c>
      <c r="B10" s="13">
        <v>1705</v>
      </c>
      <c r="C10" s="13" t="s">
        <v>109</v>
      </c>
      <c r="D10" s="14">
        <v>220000</v>
      </c>
      <c r="E10" s="14">
        <v>220000</v>
      </c>
      <c r="F10" s="14">
        <f t="shared" si="1"/>
        <v>0</v>
      </c>
      <c r="G10" s="14">
        <v>220000</v>
      </c>
      <c r="H10" s="14">
        <v>193134.34</v>
      </c>
      <c r="I10" s="14"/>
      <c r="J10" s="14">
        <v>4563</v>
      </c>
      <c r="K10" s="14">
        <f t="shared" si="2"/>
        <v>4563</v>
      </c>
      <c r="L10" s="14">
        <f t="shared" si="3"/>
        <v>197697.34</v>
      </c>
      <c r="M10" s="14">
        <f t="shared" si="8"/>
        <v>22302.660000000003</v>
      </c>
      <c r="N10" s="14"/>
      <c r="O10" s="14">
        <f t="shared" si="9"/>
        <v>0</v>
      </c>
      <c r="P10" s="14">
        <f t="shared" si="10"/>
        <v>22302.660000000003</v>
      </c>
      <c r="Q10" s="14"/>
      <c r="R10" s="14"/>
      <c r="S10" s="14">
        <f t="shared" si="6"/>
        <v>0</v>
      </c>
      <c r="T10" s="14">
        <f t="shared" si="4"/>
        <v>0</v>
      </c>
      <c r="U10" s="14">
        <f t="shared" si="0"/>
        <v>0</v>
      </c>
      <c r="V10" s="14"/>
      <c r="W10" s="14">
        <f t="shared" si="5"/>
        <v>0</v>
      </c>
      <c r="X10" s="14"/>
      <c r="Y10" s="14"/>
      <c r="Z10" s="13"/>
      <c r="AA10" s="101">
        <v>828000</v>
      </c>
      <c r="AB10" s="29"/>
      <c r="AD10" s="78"/>
    </row>
    <row r="11" spans="1:30" s="15" customFormat="1">
      <c r="A11" s="13">
        <f t="shared" si="7"/>
        <v>6</v>
      </c>
      <c r="B11" s="13">
        <v>1777</v>
      </c>
      <c r="C11" s="13" t="s">
        <v>114</v>
      </c>
      <c r="D11" s="14">
        <v>270000</v>
      </c>
      <c r="E11" s="14">
        <v>270000</v>
      </c>
      <c r="F11" s="14">
        <f t="shared" si="1"/>
        <v>0</v>
      </c>
      <c r="G11" s="14">
        <v>270000</v>
      </c>
      <c r="H11" s="14">
        <v>119709.72</v>
      </c>
      <c r="I11" s="14"/>
      <c r="J11" s="14"/>
      <c r="K11" s="14">
        <f t="shared" si="2"/>
        <v>0</v>
      </c>
      <c r="L11" s="14">
        <f t="shared" si="3"/>
        <v>119709.72</v>
      </c>
      <c r="M11" s="14">
        <f t="shared" si="8"/>
        <v>150290.28</v>
      </c>
      <c r="N11" s="14"/>
      <c r="O11" s="14">
        <f t="shared" si="9"/>
        <v>0</v>
      </c>
      <c r="P11" s="14">
        <f t="shared" si="10"/>
        <v>150290.28</v>
      </c>
      <c r="Q11" s="14"/>
      <c r="R11" s="14"/>
      <c r="S11" s="14">
        <f t="shared" si="6"/>
        <v>0</v>
      </c>
      <c r="T11" s="14">
        <f t="shared" si="4"/>
        <v>0</v>
      </c>
      <c r="U11" s="14">
        <f t="shared" si="0"/>
        <v>0</v>
      </c>
      <c r="V11" s="14"/>
      <c r="W11" s="14">
        <f t="shared" si="5"/>
        <v>0</v>
      </c>
      <c r="X11" s="14"/>
      <c r="Y11" s="14"/>
      <c r="Z11" s="13"/>
      <c r="AA11" s="101">
        <v>829000</v>
      </c>
      <c r="AB11" s="29"/>
      <c r="AD11" s="78"/>
    </row>
    <row r="12" spans="1:30" s="15" customFormat="1">
      <c r="A12" s="13">
        <f t="shared" si="7"/>
        <v>7</v>
      </c>
      <c r="B12" s="13">
        <v>1822</v>
      </c>
      <c r="C12" s="13" t="s">
        <v>386</v>
      </c>
      <c r="D12" s="14">
        <v>565000</v>
      </c>
      <c r="E12" s="14">
        <v>565000</v>
      </c>
      <c r="F12" s="14">
        <f t="shared" si="1"/>
        <v>0</v>
      </c>
      <c r="G12" s="14">
        <v>565000</v>
      </c>
      <c r="H12" s="14">
        <v>470348.77</v>
      </c>
      <c r="I12" s="14"/>
      <c r="J12" s="14">
        <v>52509.08</v>
      </c>
      <c r="K12" s="14">
        <f t="shared" si="2"/>
        <v>52509.08</v>
      </c>
      <c r="L12" s="14">
        <f t="shared" si="3"/>
        <v>522857.85000000003</v>
      </c>
      <c r="M12" s="14">
        <f t="shared" si="8"/>
        <v>42142.149999999965</v>
      </c>
      <c r="N12" s="14"/>
      <c r="O12" s="14">
        <f t="shared" si="9"/>
        <v>0</v>
      </c>
      <c r="P12" s="14">
        <f t="shared" si="10"/>
        <v>42142.149999999965</v>
      </c>
      <c r="Q12" s="14"/>
      <c r="R12" s="14"/>
      <c r="S12" s="14">
        <f t="shared" si="6"/>
        <v>0</v>
      </c>
      <c r="T12" s="14">
        <f t="shared" si="4"/>
        <v>0</v>
      </c>
      <c r="U12" s="14">
        <f t="shared" si="0"/>
        <v>0</v>
      </c>
      <c r="V12" s="14"/>
      <c r="W12" s="14">
        <f t="shared" si="5"/>
        <v>0</v>
      </c>
      <c r="X12" s="14"/>
      <c r="Y12" s="14"/>
      <c r="Z12" s="14"/>
      <c r="AA12" s="101">
        <v>829000</v>
      </c>
      <c r="AB12" s="29"/>
      <c r="AD12" s="78"/>
    </row>
    <row r="13" spans="1:30" s="15" customFormat="1">
      <c r="A13" s="13">
        <f t="shared" si="7"/>
        <v>8</v>
      </c>
      <c r="B13" s="100">
        <v>1890</v>
      </c>
      <c r="C13" s="13" t="s">
        <v>363</v>
      </c>
      <c r="D13" s="14">
        <v>800000</v>
      </c>
      <c r="E13" s="14">
        <v>800000</v>
      </c>
      <c r="F13" s="14"/>
      <c r="G13" s="14">
        <f>600000+200000</f>
        <v>800000</v>
      </c>
      <c r="H13" s="14">
        <v>599720.38</v>
      </c>
      <c r="I13" s="14"/>
      <c r="J13" s="14"/>
      <c r="K13" s="14">
        <f t="shared" si="2"/>
        <v>0</v>
      </c>
      <c r="L13" s="14">
        <f t="shared" si="3"/>
        <v>599720.38</v>
      </c>
      <c r="M13" s="14">
        <f>P13+S13</f>
        <v>200279.62</v>
      </c>
      <c r="N13" s="14"/>
      <c r="O13" s="14">
        <f t="shared" si="9"/>
        <v>0</v>
      </c>
      <c r="P13" s="14">
        <f t="shared" si="10"/>
        <v>200279.62</v>
      </c>
      <c r="Q13" s="14"/>
      <c r="R13" s="14"/>
      <c r="S13" s="14">
        <f>SUM(Q13:R13)</f>
        <v>0</v>
      </c>
      <c r="T13" s="14">
        <f t="shared" si="4"/>
        <v>0</v>
      </c>
      <c r="U13" s="14">
        <f t="shared" si="0"/>
        <v>0</v>
      </c>
      <c r="V13" s="14"/>
      <c r="W13" s="14">
        <f t="shared" si="5"/>
        <v>0</v>
      </c>
      <c r="X13" s="14"/>
      <c r="Y13" s="14"/>
      <c r="Z13" s="13"/>
      <c r="AA13" s="101">
        <v>829000</v>
      </c>
      <c r="AB13" s="29"/>
      <c r="AD13" s="78"/>
    </row>
    <row r="14" spans="1:30" s="15" customFormat="1">
      <c r="A14" s="13">
        <f t="shared" si="7"/>
        <v>9</v>
      </c>
      <c r="B14" s="100">
        <v>1901</v>
      </c>
      <c r="C14" s="13" t="s">
        <v>361</v>
      </c>
      <c r="D14" s="14">
        <v>130000</v>
      </c>
      <c r="E14" s="14">
        <v>130000</v>
      </c>
      <c r="F14" s="14">
        <f t="shared" si="1"/>
        <v>0</v>
      </c>
      <c r="G14" s="14">
        <v>130000</v>
      </c>
      <c r="H14" s="14">
        <v>126415.56</v>
      </c>
      <c r="I14" s="14"/>
      <c r="J14" s="14"/>
      <c r="K14" s="14">
        <f t="shared" si="2"/>
        <v>0</v>
      </c>
      <c r="L14" s="14">
        <f t="shared" si="3"/>
        <v>126415.56</v>
      </c>
      <c r="M14" s="14">
        <f t="shared" si="8"/>
        <v>3584.4400000000023</v>
      </c>
      <c r="N14" s="14"/>
      <c r="O14" s="14">
        <f t="shared" si="9"/>
        <v>0</v>
      </c>
      <c r="P14" s="14">
        <f t="shared" si="10"/>
        <v>3584.4400000000023</v>
      </c>
      <c r="Q14" s="14"/>
      <c r="R14" s="14"/>
      <c r="S14" s="14">
        <f t="shared" si="6"/>
        <v>0</v>
      </c>
      <c r="T14" s="14">
        <f t="shared" si="4"/>
        <v>0</v>
      </c>
      <c r="U14" s="14">
        <f t="shared" si="0"/>
        <v>0</v>
      </c>
      <c r="V14" s="14"/>
      <c r="W14" s="14">
        <f t="shared" si="5"/>
        <v>0</v>
      </c>
      <c r="X14" s="14"/>
      <c r="Y14" s="14"/>
      <c r="Z14" s="13"/>
      <c r="AA14" s="101">
        <v>810000</v>
      </c>
      <c r="AB14" s="29"/>
      <c r="AD14" s="78"/>
    </row>
    <row r="15" spans="1:30" s="15" customFormat="1">
      <c r="A15" s="13">
        <f t="shared" si="7"/>
        <v>10</v>
      </c>
      <c r="B15" s="100">
        <v>1902</v>
      </c>
      <c r="C15" s="13" t="s">
        <v>362</v>
      </c>
      <c r="D15" s="14">
        <v>255000</v>
      </c>
      <c r="E15" s="14">
        <v>255000</v>
      </c>
      <c r="F15" s="14">
        <f t="shared" si="1"/>
        <v>0</v>
      </c>
      <c r="G15" s="14">
        <v>255000</v>
      </c>
      <c r="H15" s="14">
        <v>0</v>
      </c>
      <c r="I15" s="14"/>
      <c r="J15" s="14"/>
      <c r="K15" s="14">
        <f t="shared" si="2"/>
        <v>0</v>
      </c>
      <c r="L15" s="14">
        <f t="shared" si="3"/>
        <v>0</v>
      </c>
      <c r="M15" s="14">
        <f t="shared" si="8"/>
        <v>255000</v>
      </c>
      <c r="N15" s="14"/>
      <c r="O15" s="14">
        <f t="shared" si="9"/>
        <v>0</v>
      </c>
      <c r="P15" s="14">
        <f t="shared" si="10"/>
        <v>255000</v>
      </c>
      <c r="Q15" s="14"/>
      <c r="R15" s="14"/>
      <c r="S15" s="14">
        <f t="shared" si="6"/>
        <v>0</v>
      </c>
      <c r="T15" s="14">
        <f t="shared" si="4"/>
        <v>0</v>
      </c>
      <c r="U15" s="14">
        <f t="shared" si="0"/>
        <v>0</v>
      </c>
      <c r="V15" s="14"/>
      <c r="W15" s="14">
        <f t="shared" si="5"/>
        <v>0</v>
      </c>
      <c r="X15" s="14"/>
      <c r="Y15" s="14"/>
      <c r="Z15" s="13"/>
      <c r="AA15" s="101">
        <v>810000</v>
      </c>
      <c r="AB15" s="29"/>
      <c r="AD15" s="78"/>
    </row>
    <row r="16" spans="1:30" s="15" customFormat="1">
      <c r="A16" s="13">
        <f t="shared" si="7"/>
        <v>11</v>
      </c>
      <c r="B16" s="100">
        <v>1938</v>
      </c>
      <c r="C16" s="13" t="s">
        <v>410</v>
      </c>
      <c r="D16" s="14">
        <v>260000</v>
      </c>
      <c r="E16" s="14">
        <v>260000</v>
      </c>
      <c r="F16" s="14">
        <f t="shared" si="1"/>
        <v>0</v>
      </c>
      <c r="G16" s="14">
        <v>260000</v>
      </c>
      <c r="H16" s="14">
        <v>250518</v>
      </c>
      <c r="I16" s="14"/>
      <c r="J16" s="14">
        <v>9360</v>
      </c>
      <c r="K16" s="14">
        <f t="shared" si="2"/>
        <v>9360</v>
      </c>
      <c r="L16" s="14">
        <f t="shared" si="3"/>
        <v>259878</v>
      </c>
      <c r="M16" s="14">
        <f t="shared" si="8"/>
        <v>122</v>
      </c>
      <c r="N16" s="14"/>
      <c r="O16" s="14">
        <f t="shared" si="9"/>
        <v>0</v>
      </c>
      <c r="P16" s="14">
        <f t="shared" si="10"/>
        <v>122</v>
      </c>
      <c r="Q16" s="14"/>
      <c r="R16" s="14"/>
      <c r="S16" s="14">
        <f t="shared" si="6"/>
        <v>0</v>
      </c>
      <c r="T16" s="14">
        <f t="shared" si="4"/>
        <v>0</v>
      </c>
      <c r="U16" s="14">
        <f t="shared" si="0"/>
        <v>0</v>
      </c>
      <c r="V16" s="14"/>
      <c r="W16" s="14">
        <f t="shared" si="5"/>
        <v>0</v>
      </c>
      <c r="X16" s="14"/>
      <c r="Y16" s="14"/>
      <c r="Z16" s="13"/>
      <c r="AA16" s="101">
        <v>829000</v>
      </c>
      <c r="AB16" s="29"/>
      <c r="AD16" s="78"/>
    </row>
    <row r="17" spans="1:30" s="15" customFormat="1">
      <c r="A17" s="13">
        <f t="shared" si="7"/>
        <v>12</v>
      </c>
      <c r="B17" s="100">
        <v>2004</v>
      </c>
      <c r="C17" s="13" t="s">
        <v>442</v>
      </c>
      <c r="D17" s="14">
        <v>735000</v>
      </c>
      <c r="E17" s="14">
        <v>735000</v>
      </c>
      <c r="F17" s="14">
        <f t="shared" si="1"/>
        <v>0</v>
      </c>
      <c r="G17" s="14">
        <v>185000</v>
      </c>
      <c r="H17" s="14">
        <v>0</v>
      </c>
      <c r="I17" s="14"/>
      <c r="J17" s="14"/>
      <c r="K17" s="14">
        <f t="shared" si="2"/>
        <v>0</v>
      </c>
      <c r="L17" s="14">
        <f t="shared" si="3"/>
        <v>0</v>
      </c>
      <c r="M17" s="14">
        <f>P17+S17</f>
        <v>185000</v>
      </c>
      <c r="N17" s="14">
        <v>230000</v>
      </c>
      <c r="O17" s="14">
        <f t="shared" si="9"/>
        <v>320000</v>
      </c>
      <c r="P17" s="14">
        <f t="shared" si="10"/>
        <v>185000</v>
      </c>
      <c r="Q17" s="14"/>
      <c r="R17" s="14"/>
      <c r="S17" s="14">
        <f t="shared" si="6"/>
        <v>0</v>
      </c>
      <c r="T17" s="14">
        <f t="shared" si="4"/>
        <v>0</v>
      </c>
      <c r="U17" s="14">
        <f t="shared" si="0"/>
        <v>230000</v>
      </c>
      <c r="V17" s="14"/>
      <c r="W17" s="14">
        <f t="shared" si="5"/>
        <v>230000</v>
      </c>
      <c r="X17" s="14"/>
      <c r="Y17" s="14"/>
      <c r="Z17" s="13"/>
      <c r="AA17" s="101">
        <v>829000</v>
      </c>
      <c r="AB17" s="29"/>
      <c r="AD17" s="78"/>
    </row>
    <row r="18" spans="1:30" s="691" customFormat="1" ht="15.75">
      <c r="A18" s="147">
        <f>A17</f>
        <v>12</v>
      </c>
      <c r="B18" s="147" t="s">
        <v>82</v>
      </c>
      <c r="C18" s="147" t="s">
        <v>305</v>
      </c>
      <c r="D18" s="148">
        <f t="shared" ref="D18:AB18" si="11">SUM(D6:D17)</f>
        <v>12098000</v>
      </c>
      <c r="E18" s="148">
        <f t="shared" si="11"/>
        <v>10635000</v>
      </c>
      <c r="F18" s="148">
        <f t="shared" si="11"/>
        <v>1463000</v>
      </c>
      <c r="G18" s="148">
        <f t="shared" si="11"/>
        <v>8548000</v>
      </c>
      <c r="H18" s="148">
        <f t="shared" si="11"/>
        <v>6584024.6899999995</v>
      </c>
      <c r="I18" s="148">
        <f t="shared" si="11"/>
        <v>0</v>
      </c>
      <c r="J18" s="148">
        <f t="shared" si="11"/>
        <v>898293.11</v>
      </c>
      <c r="K18" s="148">
        <f t="shared" si="11"/>
        <v>898293.11</v>
      </c>
      <c r="L18" s="148">
        <f t="shared" si="11"/>
        <v>7482317.799999998</v>
      </c>
      <c r="M18" s="148">
        <f t="shared" si="11"/>
        <v>1065682.2</v>
      </c>
      <c r="N18" s="148">
        <f t="shared" si="11"/>
        <v>1480000</v>
      </c>
      <c r="O18" s="148">
        <f t="shared" si="11"/>
        <v>2070000</v>
      </c>
      <c r="P18" s="148">
        <f t="shared" si="11"/>
        <v>1065682.2</v>
      </c>
      <c r="Q18" s="148">
        <f t="shared" si="11"/>
        <v>0</v>
      </c>
      <c r="R18" s="148">
        <f t="shared" si="11"/>
        <v>0</v>
      </c>
      <c r="S18" s="148">
        <f t="shared" si="11"/>
        <v>0</v>
      </c>
      <c r="T18" s="148">
        <f t="shared" si="11"/>
        <v>0</v>
      </c>
      <c r="U18" s="148">
        <f t="shared" si="11"/>
        <v>1480000</v>
      </c>
      <c r="V18" s="148">
        <f t="shared" si="11"/>
        <v>0</v>
      </c>
      <c r="W18" s="148">
        <f t="shared" si="11"/>
        <v>1480000</v>
      </c>
      <c r="X18" s="148">
        <f>SUM(X6:X17)</f>
        <v>0</v>
      </c>
      <c r="Y18" s="148">
        <f t="shared" si="11"/>
        <v>0</v>
      </c>
      <c r="Z18" s="148">
        <f t="shared" si="11"/>
        <v>0</v>
      </c>
      <c r="AA18" s="690"/>
      <c r="AB18" s="29">
        <f t="shared" si="11"/>
        <v>0</v>
      </c>
    </row>
    <row r="19" spans="1:30" s="15" customFormat="1" ht="15.75">
      <c r="A19" s="81"/>
      <c r="B19" s="85"/>
      <c r="C19" s="8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126"/>
      <c r="AB19" s="29"/>
    </row>
    <row r="20" spans="1:30" s="15" customFormat="1">
      <c r="A20" s="57"/>
      <c r="B20" s="29"/>
      <c r="C20" s="29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29"/>
      <c r="V20" s="29"/>
      <c r="W20" s="29"/>
      <c r="X20" s="29"/>
      <c r="Y20" s="29"/>
      <c r="Z20" s="29"/>
      <c r="AA20" s="29"/>
      <c r="AB20" s="29"/>
    </row>
    <row r="21" spans="1:30" s="15" customFormat="1">
      <c r="A21" s="57"/>
      <c r="B21" s="29"/>
      <c r="C21" s="29"/>
      <c r="D21" s="31"/>
      <c r="E21" s="31"/>
      <c r="F21" s="31"/>
      <c r="G21" s="31"/>
      <c r="H21" s="31"/>
      <c r="I21" s="31"/>
      <c r="J21" s="31"/>
      <c r="K21" s="31"/>
      <c r="L21" s="31"/>
      <c r="M21" s="52"/>
      <c r="N21" s="52"/>
      <c r="O21" s="52"/>
      <c r="P21" s="57"/>
      <c r="Q21" s="57"/>
      <c r="R21" s="52"/>
      <c r="S21" s="57"/>
      <c r="T21" s="31"/>
      <c r="U21" s="29"/>
      <c r="V21" s="29"/>
      <c r="W21" s="29"/>
      <c r="X21" s="29"/>
      <c r="Y21" s="29"/>
      <c r="Z21" s="29"/>
      <c r="AA21" s="29"/>
      <c r="AB21" s="29"/>
    </row>
    <row r="22" spans="1:30" s="15" customFormat="1">
      <c r="A22" s="57"/>
      <c r="B22" s="29"/>
      <c r="C22" s="29"/>
      <c r="D22" s="31"/>
      <c r="E22" s="31"/>
      <c r="F22" s="31"/>
      <c r="G22" s="31"/>
      <c r="H22" s="31"/>
      <c r="I22" s="31"/>
      <c r="J22" s="31"/>
      <c r="K22" s="31"/>
      <c r="L22" s="31"/>
      <c r="M22" s="52"/>
      <c r="N22" s="52"/>
      <c r="O22" s="102"/>
      <c r="P22" s="57"/>
      <c r="Q22" s="55"/>
      <c r="R22" s="52"/>
      <c r="S22" s="57"/>
      <c r="T22" s="31"/>
      <c r="U22" s="29"/>
      <c r="V22" s="29"/>
      <c r="W22" s="29"/>
      <c r="X22" s="29"/>
      <c r="Y22" s="29"/>
      <c r="Z22" s="29"/>
      <c r="AA22" s="29"/>
      <c r="AB22" s="29"/>
    </row>
    <row r="23" spans="1:30" s="15" customFormat="1">
      <c r="A23" s="57"/>
      <c r="B23" s="29"/>
      <c r="C23" s="29"/>
      <c r="D23" s="31"/>
      <c r="E23" s="31"/>
      <c r="F23" s="31"/>
      <c r="G23" s="31"/>
      <c r="H23" s="31"/>
      <c r="I23" s="31"/>
      <c r="J23" s="31"/>
      <c r="K23" s="31"/>
      <c r="L23" s="31"/>
      <c r="M23" s="52"/>
      <c r="N23" s="52"/>
      <c r="O23" s="102"/>
      <c r="P23" s="57"/>
      <c r="Q23" s="55"/>
      <c r="R23" s="57"/>
      <c r="S23" s="52"/>
      <c r="T23" s="31"/>
      <c r="U23" s="29"/>
      <c r="V23" s="29"/>
      <c r="W23" s="29"/>
      <c r="X23" s="29"/>
      <c r="Y23" s="29"/>
      <c r="Z23" s="29"/>
      <c r="AA23" s="29"/>
      <c r="AB23" s="29"/>
    </row>
    <row r="24" spans="1:30" s="15" customFormat="1">
      <c r="A24" s="57"/>
      <c r="B24" s="29"/>
      <c r="C24" s="29"/>
      <c r="D24" s="31"/>
      <c r="E24" s="31"/>
      <c r="F24" s="31"/>
      <c r="G24" s="31"/>
      <c r="H24" s="31"/>
      <c r="I24" s="31"/>
      <c r="J24" s="31"/>
      <c r="K24" s="31"/>
      <c r="L24" s="31"/>
      <c r="M24" s="52"/>
      <c r="N24" s="52"/>
      <c r="O24" s="57"/>
      <c r="P24" s="57"/>
      <c r="Q24" s="55"/>
      <c r="R24" s="57"/>
      <c r="S24" s="52"/>
      <c r="T24" s="31"/>
      <c r="U24" s="29"/>
      <c r="V24" s="29"/>
      <c r="W24" s="29"/>
      <c r="X24" s="29"/>
      <c r="Y24" s="29"/>
      <c r="Z24" s="29"/>
      <c r="AA24" s="29"/>
      <c r="AB24" s="29"/>
    </row>
    <row r="25" spans="1:30" s="15" customFormat="1">
      <c r="A25" s="57"/>
      <c r="B25" s="29"/>
      <c r="C25" s="29"/>
      <c r="D25" s="31"/>
      <c r="E25" s="31"/>
      <c r="F25" s="31"/>
      <c r="G25" s="31"/>
      <c r="H25" s="31"/>
      <c r="I25" s="31"/>
      <c r="J25" s="31"/>
      <c r="K25" s="31"/>
      <c r="L25" s="31"/>
      <c r="M25" s="52"/>
      <c r="N25" s="52"/>
      <c r="O25" s="52"/>
      <c r="P25" s="57"/>
      <c r="Q25" s="52"/>
      <c r="R25" s="52"/>
      <c r="S25" s="52"/>
      <c r="T25" s="31"/>
      <c r="U25" s="29"/>
      <c r="V25" s="29"/>
      <c r="W25" s="29"/>
      <c r="X25" s="29"/>
      <c r="Y25" s="29"/>
      <c r="Z25" s="29"/>
      <c r="AA25" s="29"/>
      <c r="AB25" s="29"/>
    </row>
    <row r="26" spans="1:30">
      <c r="M26" s="52"/>
      <c r="N26" s="52"/>
      <c r="O26" s="52"/>
      <c r="P26" s="57"/>
      <c r="Q26" s="52"/>
      <c r="R26" s="52"/>
      <c r="S26" s="52"/>
    </row>
    <row r="27" spans="1:30">
      <c r="M27" s="52"/>
      <c r="N27" s="52"/>
      <c r="O27" s="52"/>
      <c r="P27" s="57"/>
      <c r="Q27" s="52"/>
      <c r="R27" s="52"/>
      <c r="S27" s="52"/>
    </row>
    <row r="28" spans="1:30">
      <c r="M28" s="52"/>
      <c r="N28" s="52"/>
      <c r="O28" s="52"/>
      <c r="P28" s="52"/>
      <c r="Q28" s="52"/>
      <c r="R28" s="52"/>
      <c r="S28" s="52"/>
    </row>
    <row r="29" spans="1:30">
      <c r="M29" s="52"/>
      <c r="N29" s="52"/>
      <c r="O29" s="52"/>
      <c r="P29" s="52"/>
      <c r="Q29" s="52"/>
      <c r="R29" s="52"/>
      <c r="S29" s="52"/>
    </row>
    <row r="30" spans="1:30">
      <c r="M30" s="52"/>
      <c r="N30" s="52"/>
      <c r="O30" s="52"/>
      <c r="P30" s="52"/>
      <c r="Q30" s="52"/>
      <c r="R30" s="52"/>
      <c r="S30" s="52"/>
    </row>
    <row r="31" spans="1:30">
      <c r="M31" s="52"/>
      <c r="N31" s="52"/>
      <c r="O31" s="52"/>
      <c r="P31" s="52"/>
      <c r="Q31" s="52"/>
      <c r="R31" s="52"/>
      <c r="S31" s="52"/>
    </row>
    <row r="32" spans="1:30">
      <c r="M32" s="52"/>
      <c r="N32" s="52"/>
      <c r="O32" s="52"/>
      <c r="P32" s="52"/>
      <c r="Q32" s="52"/>
      <c r="R32" s="52"/>
      <c r="S32" s="52"/>
    </row>
    <row r="33" spans="8:19">
      <c r="M33" s="52"/>
      <c r="N33" s="52"/>
      <c r="O33" s="52"/>
      <c r="P33" s="52"/>
      <c r="Q33" s="52"/>
      <c r="R33" s="52"/>
      <c r="S33" s="52"/>
    </row>
    <row r="34" spans="8:19">
      <c r="H34" s="31">
        <v>0</v>
      </c>
      <c r="M34" s="52"/>
      <c r="N34" s="52"/>
      <c r="O34" s="52"/>
      <c r="P34" s="52"/>
      <c r="Q34" s="52"/>
      <c r="R34" s="52"/>
      <c r="S34" s="52"/>
    </row>
    <row r="35" spans="8:19">
      <c r="M35" s="52"/>
      <c r="N35" s="52"/>
      <c r="O35" s="52"/>
      <c r="P35" s="52"/>
      <c r="Q35" s="52"/>
      <c r="R35" s="52"/>
      <c r="S35" s="52"/>
    </row>
    <row r="36" spans="8:19">
      <c r="M36" s="52"/>
      <c r="N36" s="52"/>
      <c r="O36" s="52"/>
      <c r="P36" s="52"/>
      <c r="Q36" s="52"/>
      <c r="R36" s="52"/>
      <c r="S36" s="52"/>
    </row>
    <row r="37" spans="8:19">
      <c r="M37" s="52"/>
      <c r="N37" s="52"/>
      <c r="O37" s="52"/>
      <c r="P37" s="52"/>
      <c r="Q37" s="52"/>
      <c r="R37" s="52"/>
      <c r="S37" s="52"/>
    </row>
    <row r="38" spans="8:19">
      <c r="M38" s="52"/>
      <c r="N38" s="52"/>
      <c r="O38" s="52"/>
      <c r="P38" s="52"/>
      <c r="Q38" s="52"/>
      <c r="R38" s="52"/>
      <c r="S38" s="52"/>
    </row>
    <row r="39" spans="8:19">
      <c r="M39" s="52"/>
      <c r="N39" s="52"/>
      <c r="O39" s="52"/>
      <c r="P39" s="52"/>
      <c r="Q39" s="52"/>
      <c r="R39" s="52"/>
      <c r="S39" s="52"/>
    </row>
  </sheetData>
  <sheetProtection formatCells="0" formatColumns="0" formatRows="0" insertColumns="0" insertRows="0" insertHyperlinks="0" deleteColumns="0" deleteRows="0" sort="0" autoFilter="0" pivotTables="0"/>
  <conditionalFormatting sqref="A2:Z2 AB2:XFD2">
    <cfRule type="cellIs" dxfId="30" priority="4" operator="equal">
      <formula>0</formula>
    </cfRule>
  </conditionalFormatting>
  <conditionalFormatting sqref="AA2">
    <cfRule type="cellIs" dxfId="29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45"/>
  <sheetViews>
    <sheetView showZeros="0" rightToLeft="1" zoomScaleNormal="100" workbookViewId="0">
      <pane xSplit="3" ySplit="4" topLeftCell="D26" activePane="bottomRight" state="frozen"/>
      <selection activeCell="E28" sqref="E28"/>
      <selection pane="topRight" activeCell="E28" sqref="E28"/>
      <selection pane="bottomLeft" activeCell="E28" sqref="E28"/>
      <selection pane="bottomRight" activeCell="O33" sqref="O33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1.5703125" style="29" customWidth="1"/>
    <col min="4" max="4" width="10.42578125" style="31" customWidth="1"/>
    <col min="5" max="5" width="12.7109375" style="31" hidden="1" customWidth="1"/>
    <col min="6" max="6" width="10" style="31" hidden="1" customWidth="1"/>
    <col min="7" max="10" width="12.7109375" style="31" hidden="1" customWidth="1"/>
    <col min="11" max="11" width="11.28515625" style="31" hidden="1" customWidth="1"/>
    <col min="12" max="12" width="10.7109375" style="31" customWidth="1"/>
    <col min="13" max="13" width="9.85546875" style="31" customWidth="1"/>
    <col min="14" max="14" width="11.140625" style="31" bestFit="1" customWidth="1"/>
    <col min="15" max="15" width="10.85546875" style="31" customWidth="1"/>
    <col min="16" max="17" width="11.140625" style="31" hidden="1" customWidth="1"/>
    <col min="18" max="19" width="12" style="31" hidden="1" customWidth="1"/>
    <col min="20" max="20" width="10" style="31" hidden="1" customWidth="1"/>
    <col min="21" max="21" width="10.28515625" style="29" customWidth="1"/>
    <col min="22" max="22" width="10.140625" style="29" customWidth="1"/>
    <col min="23" max="23" width="9.42578125" style="29" customWidth="1"/>
    <col min="24" max="25" width="7.42578125" style="29" customWidth="1"/>
    <col min="26" max="26" width="8.42578125" style="29" customWidth="1"/>
    <col min="27" max="27" width="7.85546875" style="29" customWidth="1"/>
    <col min="28" max="28" width="3.28515625" style="29" customWidth="1"/>
    <col min="29" max="30" width="9.140625" style="29" customWidth="1"/>
    <col min="31" max="16384" width="9.140625" style="29"/>
  </cols>
  <sheetData>
    <row r="2" spans="1:34" s="204" customFormat="1" ht="18.75">
      <c r="A2" s="541" t="s">
        <v>477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205"/>
      <c r="Y2" s="205"/>
      <c r="Z2" s="205"/>
      <c r="AA2" s="205"/>
      <c r="AB2" s="205"/>
      <c r="AC2" s="205"/>
      <c r="AD2" s="205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93" t="s">
        <v>16</v>
      </c>
      <c r="AB4" s="91"/>
    </row>
    <row r="5" spans="1:34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>
        <f>P5-M5+R5</f>
        <v>0</v>
      </c>
      <c r="U5" s="14">
        <f t="shared" ref="U5" si="0">N5-T5</f>
        <v>0</v>
      </c>
      <c r="V5" s="14"/>
      <c r="W5" s="14"/>
      <c r="X5" s="14"/>
      <c r="Y5" s="14"/>
      <c r="Z5" s="13"/>
      <c r="AA5" s="101"/>
      <c r="AB5" s="56"/>
    </row>
    <row r="6" spans="1:34" s="15" customFormat="1" ht="15" customHeight="1">
      <c r="A6" s="13">
        <f>A5+1</f>
        <v>1</v>
      </c>
      <c r="B6" s="100">
        <v>1901</v>
      </c>
      <c r="C6" s="13" t="s">
        <v>361</v>
      </c>
      <c r="D6" s="14">
        <f>' תנוס '!D14</f>
        <v>130000</v>
      </c>
      <c r="E6" s="14">
        <f>' תנוס '!E14</f>
        <v>130000</v>
      </c>
      <c r="F6" s="14">
        <f>' תנוס '!F14</f>
        <v>0</v>
      </c>
      <c r="G6" s="14">
        <f>' תנוס '!G14</f>
        <v>130000</v>
      </c>
      <c r="H6" s="14">
        <f>' תנוס '!H14</f>
        <v>126415.56</v>
      </c>
      <c r="I6" s="14">
        <f>' תנוס '!I14</f>
        <v>0</v>
      </c>
      <c r="J6" s="14">
        <f>' תנוס '!J14</f>
        <v>0</v>
      </c>
      <c r="K6" s="14">
        <f>' תנוס '!K14</f>
        <v>0</v>
      </c>
      <c r="L6" s="14">
        <f>' תנוס '!L14</f>
        <v>126415.56</v>
      </c>
      <c r="M6" s="14">
        <f>' תנוס '!M14</f>
        <v>3584.4400000000023</v>
      </c>
      <c r="N6" s="14">
        <f>' תנוס '!N14</f>
        <v>0</v>
      </c>
      <c r="O6" s="14">
        <f>' תנוס '!O14</f>
        <v>0</v>
      </c>
      <c r="P6" s="14">
        <f>' תנוס '!P14</f>
        <v>3584.4400000000023</v>
      </c>
      <c r="Q6" s="14">
        <f>' תנוס '!Q14</f>
        <v>0</v>
      </c>
      <c r="R6" s="14">
        <f>' תנוס '!R14</f>
        <v>0</v>
      </c>
      <c r="S6" s="14">
        <f>' תנוס '!S14</f>
        <v>0</v>
      </c>
      <c r="T6" s="14">
        <f>' תנוס '!T14</f>
        <v>0</v>
      </c>
      <c r="U6" s="14">
        <f>' תנוס '!U14</f>
        <v>0</v>
      </c>
      <c r="V6" s="14">
        <f>' תנוס '!V14</f>
        <v>0</v>
      </c>
      <c r="W6" s="14">
        <f>' תנוס '!W14</f>
        <v>0</v>
      </c>
      <c r="X6" s="14">
        <f>' תנוס '!X14</f>
        <v>0</v>
      </c>
      <c r="Y6" s="14">
        <f>' תנוס '!Y14</f>
        <v>0</v>
      </c>
      <c r="Z6" s="14">
        <f>' תנוס '!Z14</f>
        <v>0</v>
      </c>
      <c r="AA6" s="101">
        <f>' תנוס '!AA14</f>
        <v>810000</v>
      </c>
      <c r="AB6" s="56"/>
      <c r="AD6" s="78"/>
    </row>
    <row r="7" spans="1:34" s="15" customFormat="1" ht="15" customHeight="1">
      <c r="A7" s="13">
        <f>A6+1</f>
        <v>2</v>
      </c>
      <c r="B7" s="100">
        <v>1902</v>
      </c>
      <c r="C7" s="13" t="s">
        <v>362</v>
      </c>
      <c r="D7" s="14">
        <f>' תנוס '!D15</f>
        <v>255000</v>
      </c>
      <c r="E7" s="14">
        <f>' תנוס '!E15</f>
        <v>255000</v>
      </c>
      <c r="F7" s="14">
        <f>' תנוס '!F15</f>
        <v>0</v>
      </c>
      <c r="G7" s="14">
        <f>' תנוס '!G15</f>
        <v>255000</v>
      </c>
      <c r="H7" s="14">
        <f>' תנוס '!H15</f>
        <v>0</v>
      </c>
      <c r="I7" s="14">
        <f>' תנוס '!I15</f>
        <v>0</v>
      </c>
      <c r="J7" s="14">
        <f>' תנוס '!J15</f>
        <v>0</v>
      </c>
      <c r="K7" s="14">
        <f>' תנוס '!K15</f>
        <v>0</v>
      </c>
      <c r="L7" s="14">
        <f>' תנוס '!L15</f>
        <v>0</v>
      </c>
      <c r="M7" s="14">
        <f>' תנוס '!M15</f>
        <v>255000</v>
      </c>
      <c r="N7" s="14">
        <f>' תנוס '!N15</f>
        <v>0</v>
      </c>
      <c r="O7" s="14">
        <f>' תנוס '!O15</f>
        <v>0</v>
      </c>
      <c r="P7" s="14">
        <f>' תנוס '!P15</f>
        <v>255000</v>
      </c>
      <c r="Q7" s="14">
        <f>' תנוס '!Q15</f>
        <v>0</v>
      </c>
      <c r="R7" s="14">
        <f>' תנוס '!R15</f>
        <v>0</v>
      </c>
      <c r="S7" s="14">
        <f>' תנוס '!S15</f>
        <v>0</v>
      </c>
      <c r="T7" s="14">
        <f>' תנוס '!T15</f>
        <v>0</v>
      </c>
      <c r="U7" s="14">
        <f>' תנוס '!U15</f>
        <v>0</v>
      </c>
      <c r="V7" s="14">
        <f>' תנוס '!V15</f>
        <v>0</v>
      </c>
      <c r="W7" s="14">
        <f>' תנוס '!W15</f>
        <v>0</v>
      </c>
      <c r="X7" s="14">
        <f>' תנוס '!X15</f>
        <v>0</v>
      </c>
      <c r="Y7" s="14">
        <f>' תנוס '!Y15</f>
        <v>0</v>
      </c>
      <c r="Z7" s="14">
        <f>' תנוס '!Z15</f>
        <v>0</v>
      </c>
      <c r="AA7" s="101">
        <f>' תנוס '!AA15</f>
        <v>810000</v>
      </c>
      <c r="AB7" s="56"/>
      <c r="AD7" s="78"/>
    </row>
    <row r="8" spans="1:34" s="149" customFormat="1">
      <c r="A8" s="81"/>
      <c r="B8" s="81">
        <v>6</v>
      </c>
      <c r="C8" s="81" t="s">
        <v>1040</v>
      </c>
      <c r="D8" s="198">
        <f>SUM(D6:D7)</f>
        <v>385000</v>
      </c>
      <c r="E8" s="198">
        <f t="shared" ref="E8:Z8" si="1">SUM(E6:E7)</f>
        <v>385000</v>
      </c>
      <c r="F8" s="198">
        <f t="shared" si="1"/>
        <v>0</v>
      </c>
      <c r="G8" s="198">
        <f t="shared" si="1"/>
        <v>385000</v>
      </c>
      <c r="H8" s="198">
        <f t="shared" si="1"/>
        <v>126415.56</v>
      </c>
      <c r="I8" s="198">
        <f t="shared" si="1"/>
        <v>0</v>
      </c>
      <c r="J8" s="198">
        <f t="shared" si="1"/>
        <v>0</v>
      </c>
      <c r="K8" s="198">
        <f t="shared" si="1"/>
        <v>0</v>
      </c>
      <c r="L8" s="198">
        <f t="shared" si="1"/>
        <v>126415.56</v>
      </c>
      <c r="M8" s="198">
        <f t="shared" si="1"/>
        <v>258584.44</v>
      </c>
      <c r="N8" s="198">
        <f t="shared" si="1"/>
        <v>0</v>
      </c>
      <c r="O8" s="198">
        <f t="shared" si="1"/>
        <v>0</v>
      </c>
      <c r="P8" s="198">
        <f t="shared" si="1"/>
        <v>258584.44</v>
      </c>
      <c r="Q8" s="198">
        <f t="shared" si="1"/>
        <v>0</v>
      </c>
      <c r="R8" s="198">
        <f t="shared" si="1"/>
        <v>0</v>
      </c>
      <c r="S8" s="198">
        <f t="shared" si="1"/>
        <v>0</v>
      </c>
      <c r="T8" s="198">
        <f t="shared" si="1"/>
        <v>0</v>
      </c>
      <c r="U8" s="198">
        <f t="shared" si="1"/>
        <v>0</v>
      </c>
      <c r="V8" s="198">
        <f t="shared" si="1"/>
        <v>0</v>
      </c>
      <c r="W8" s="198">
        <f t="shared" si="1"/>
        <v>0</v>
      </c>
      <c r="X8" s="198">
        <f t="shared" si="1"/>
        <v>0</v>
      </c>
      <c r="Y8" s="198">
        <f t="shared" si="1"/>
        <v>0</v>
      </c>
      <c r="Z8" s="198">
        <f t="shared" si="1"/>
        <v>0</v>
      </c>
      <c r="AA8" s="763"/>
      <c r="AB8" s="764"/>
      <c r="AC8" s="765"/>
      <c r="AD8" s="766"/>
      <c r="AE8" s="766"/>
      <c r="AF8" s="767"/>
      <c r="AG8" s="767"/>
      <c r="AH8" s="766"/>
    </row>
    <row r="9" spans="1:34" s="15" customFormat="1" ht="15" customHeight="1">
      <c r="A9" s="13"/>
      <c r="B9" s="100"/>
      <c r="C9" s="13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01"/>
      <c r="AB9" s="56"/>
      <c r="AD9" s="78"/>
    </row>
    <row r="10" spans="1:34" s="15" customFormat="1">
      <c r="A10" s="13">
        <f>A7+1</f>
        <v>3</v>
      </c>
      <c r="B10" s="13">
        <v>1350</v>
      </c>
      <c r="C10" s="13" t="s">
        <v>441</v>
      </c>
      <c r="D10" s="14">
        <f>' תנוס '!D6</f>
        <v>1300000</v>
      </c>
      <c r="E10" s="14">
        <f>' תנוס '!E6</f>
        <v>1300000</v>
      </c>
      <c r="F10" s="14">
        <f>' תנוס '!F6</f>
        <v>0</v>
      </c>
      <c r="G10" s="14">
        <f>' תנוס '!G6</f>
        <v>900000</v>
      </c>
      <c r="H10" s="14">
        <f>' תנוס '!H6</f>
        <v>505118.71999999997</v>
      </c>
      <c r="I10" s="14">
        <f>' תנוס '!I6</f>
        <v>0</v>
      </c>
      <c r="J10" s="14">
        <f>' תנוס '!J6</f>
        <v>382006.99</v>
      </c>
      <c r="K10" s="14">
        <f>' תנוס '!K6</f>
        <v>382006.99</v>
      </c>
      <c r="L10" s="14">
        <f>' תנוס '!L6</f>
        <v>887125.71</v>
      </c>
      <c r="M10" s="14">
        <f>' תנוס '!M6</f>
        <v>12874.290000000037</v>
      </c>
      <c r="N10" s="14">
        <f>' תנוס '!N6</f>
        <v>0</v>
      </c>
      <c r="O10" s="14">
        <f>' תנוס '!O6</f>
        <v>400000</v>
      </c>
      <c r="P10" s="14">
        <f>' תנוס '!P6</f>
        <v>12874.290000000037</v>
      </c>
      <c r="Q10" s="14">
        <f>' תנוס '!Q6</f>
        <v>0</v>
      </c>
      <c r="R10" s="14">
        <f>' תנוס '!R6</f>
        <v>0</v>
      </c>
      <c r="S10" s="14">
        <f>' תנוס '!S6</f>
        <v>0</v>
      </c>
      <c r="T10" s="14">
        <f>' תנוס '!T6</f>
        <v>0</v>
      </c>
      <c r="U10" s="14">
        <f>' תנוס '!U6</f>
        <v>0</v>
      </c>
      <c r="V10" s="14">
        <f>' תנוס '!V6</f>
        <v>0</v>
      </c>
      <c r="W10" s="14">
        <f>' תנוס '!W6</f>
        <v>0</v>
      </c>
      <c r="X10" s="14">
        <f>' תנוס '!X6</f>
        <v>0</v>
      </c>
      <c r="Y10" s="14">
        <f>' תנוס '!Y6</f>
        <v>0</v>
      </c>
      <c r="Z10" s="14">
        <f>' תנוס '!Z6</f>
        <v>0</v>
      </c>
      <c r="AA10" s="101">
        <f>' תנוס '!AA6</f>
        <v>828900</v>
      </c>
      <c r="AB10" s="56"/>
      <c r="AD10" s="78"/>
    </row>
    <row r="11" spans="1:34" s="15" customFormat="1">
      <c r="A11" s="13">
        <f>A10+1</f>
        <v>4</v>
      </c>
      <c r="B11" s="13">
        <v>1582</v>
      </c>
      <c r="C11" s="13" t="s">
        <v>107</v>
      </c>
      <c r="D11" s="14">
        <f>' תנוס '!D8</f>
        <v>763000</v>
      </c>
      <c r="E11" s="14">
        <f>' תנוס '!E8</f>
        <v>1600000</v>
      </c>
      <c r="F11" s="14">
        <f>' תנוס '!F8</f>
        <v>-837000</v>
      </c>
      <c r="G11" s="14">
        <f>' תנוס '!G8</f>
        <v>763000</v>
      </c>
      <c r="H11" s="14">
        <f>' תנוס '!H8</f>
        <v>618241.97</v>
      </c>
      <c r="I11" s="14">
        <f>' תנוס '!I8</f>
        <v>0</v>
      </c>
      <c r="J11" s="14">
        <f>' תנוס '!J8</f>
        <v>0</v>
      </c>
      <c r="K11" s="14">
        <f>' תנוס '!K8</f>
        <v>0</v>
      </c>
      <c r="L11" s="14">
        <f>' תנוס '!L8</f>
        <v>618241.97</v>
      </c>
      <c r="M11" s="14">
        <f>' תנוס '!M8</f>
        <v>144758.03000000003</v>
      </c>
      <c r="N11" s="14">
        <f>' תנוס '!N8</f>
        <v>0</v>
      </c>
      <c r="O11" s="14">
        <f>' תנוס '!O8</f>
        <v>0</v>
      </c>
      <c r="P11" s="14">
        <f>' תנוס '!P8</f>
        <v>144758.03000000003</v>
      </c>
      <c r="Q11" s="14">
        <f>' תנוס '!Q8</f>
        <v>0</v>
      </c>
      <c r="R11" s="14">
        <f>' תנוס '!R8</f>
        <v>0</v>
      </c>
      <c r="S11" s="14">
        <f>' תנוס '!S8</f>
        <v>0</v>
      </c>
      <c r="T11" s="14">
        <f>' תנוס '!T8</f>
        <v>0</v>
      </c>
      <c r="U11" s="14">
        <f>' תנוס '!U8</f>
        <v>0</v>
      </c>
      <c r="V11" s="14">
        <f>' תנוס '!V8</f>
        <v>0</v>
      </c>
      <c r="W11" s="14">
        <f>' תנוס '!W8</f>
        <v>0</v>
      </c>
      <c r="X11" s="14">
        <f>' תנוס '!X8</f>
        <v>0</v>
      </c>
      <c r="Y11" s="14">
        <f>' תנוס '!Y8</f>
        <v>0</v>
      </c>
      <c r="Z11" s="14">
        <f>' תנוס '!Z8</f>
        <v>0</v>
      </c>
      <c r="AA11" s="101">
        <f>' תנוס '!AA8</f>
        <v>829000</v>
      </c>
      <c r="AB11" s="56"/>
      <c r="AD11" s="78"/>
    </row>
    <row r="12" spans="1:34" s="15" customFormat="1">
      <c r="A12" s="13">
        <f t="shared" ref="A12:A18" si="2">A11+1</f>
        <v>5</v>
      </c>
      <c r="B12" s="13">
        <v>1678</v>
      </c>
      <c r="C12" s="13" t="s">
        <v>103</v>
      </c>
      <c r="D12" s="14">
        <f>' תנוס '!D9</f>
        <v>1100000</v>
      </c>
      <c r="E12" s="14">
        <f>' תנוס '!E9</f>
        <v>1100000</v>
      </c>
      <c r="F12" s="14">
        <f>' תנוס '!F9</f>
        <v>0</v>
      </c>
      <c r="G12" s="14">
        <f>' תנוס '!G9</f>
        <v>800000</v>
      </c>
      <c r="H12" s="14">
        <f>' תנוס '!H9</f>
        <v>687892.8</v>
      </c>
      <c r="I12" s="14">
        <f>' תנוס '!I9</f>
        <v>0</v>
      </c>
      <c r="J12" s="14">
        <f>' תנוס '!J9</f>
        <v>78912.990000000005</v>
      </c>
      <c r="K12" s="14">
        <f>' תנוס '!K9</f>
        <v>78912.990000000005</v>
      </c>
      <c r="L12" s="14">
        <f>' תנוס '!L9</f>
        <v>766805.79</v>
      </c>
      <c r="M12" s="14">
        <f>' תנוס '!M9</f>
        <v>33194.209999999963</v>
      </c>
      <c r="N12" s="14">
        <f>' תנוס '!N9</f>
        <v>250000</v>
      </c>
      <c r="O12" s="14">
        <f>' תנוס '!O9</f>
        <v>50000</v>
      </c>
      <c r="P12" s="14">
        <f>' תנוס '!P9</f>
        <v>33194.209999999963</v>
      </c>
      <c r="Q12" s="14">
        <f>' תנוס '!Q9</f>
        <v>0</v>
      </c>
      <c r="R12" s="14">
        <f>' תנוס '!R9</f>
        <v>0</v>
      </c>
      <c r="S12" s="14">
        <f>' תנוס '!S9</f>
        <v>0</v>
      </c>
      <c r="T12" s="14">
        <f>' תנוס '!T9</f>
        <v>0</v>
      </c>
      <c r="U12" s="14">
        <f>' תנוס '!U9</f>
        <v>250000</v>
      </c>
      <c r="V12" s="14">
        <f>' תנוס '!V9</f>
        <v>0</v>
      </c>
      <c r="W12" s="14">
        <f>' תנוס '!W9</f>
        <v>250000</v>
      </c>
      <c r="X12" s="14">
        <f>' תנוס '!X9</f>
        <v>0</v>
      </c>
      <c r="Y12" s="14">
        <f>' תנוס '!Y9</f>
        <v>0</v>
      </c>
      <c r="Z12" s="14">
        <f>' תנוס '!Z9</f>
        <v>0</v>
      </c>
      <c r="AA12" s="101">
        <f>' תנוס '!AA9</f>
        <v>829000</v>
      </c>
      <c r="AB12" s="56"/>
      <c r="AD12" s="78"/>
    </row>
    <row r="13" spans="1:34" s="15" customFormat="1">
      <c r="A13" s="13">
        <f t="shared" si="2"/>
        <v>6</v>
      </c>
      <c r="B13" s="13">
        <v>1705</v>
      </c>
      <c r="C13" s="13" t="s">
        <v>109</v>
      </c>
      <c r="D13" s="14">
        <f>' תנוס '!D10</f>
        <v>220000</v>
      </c>
      <c r="E13" s="14">
        <f>' תנוס '!E10</f>
        <v>220000</v>
      </c>
      <c r="F13" s="14">
        <f>' תנוס '!F10</f>
        <v>0</v>
      </c>
      <c r="G13" s="14">
        <f>' תנוס '!G10</f>
        <v>220000</v>
      </c>
      <c r="H13" s="14">
        <f>' תנוס '!H10</f>
        <v>193134.34</v>
      </c>
      <c r="I13" s="14">
        <f>' תנוס '!I10</f>
        <v>0</v>
      </c>
      <c r="J13" s="14">
        <f>' תנוס '!J10</f>
        <v>4563</v>
      </c>
      <c r="K13" s="14">
        <f>' תנוס '!K10</f>
        <v>4563</v>
      </c>
      <c r="L13" s="14">
        <f>' תנוס '!L10</f>
        <v>197697.34</v>
      </c>
      <c r="M13" s="14">
        <f>' תנוס '!M10</f>
        <v>22302.660000000003</v>
      </c>
      <c r="N13" s="14">
        <f>' תנוס '!N10</f>
        <v>0</v>
      </c>
      <c r="O13" s="14">
        <f>' תנוס '!O10</f>
        <v>0</v>
      </c>
      <c r="P13" s="14">
        <f>' תנוס '!P10</f>
        <v>22302.660000000003</v>
      </c>
      <c r="Q13" s="14">
        <f>' תנוס '!Q10</f>
        <v>0</v>
      </c>
      <c r="R13" s="14">
        <f>' תנוס '!R10</f>
        <v>0</v>
      </c>
      <c r="S13" s="14">
        <f>' תנוס '!S10</f>
        <v>0</v>
      </c>
      <c r="T13" s="14">
        <f>' תנוס '!T10</f>
        <v>0</v>
      </c>
      <c r="U13" s="14">
        <f>' תנוס '!U10</f>
        <v>0</v>
      </c>
      <c r="V13" s="14">
        <f>' תנוס '!V10</f>
        <v>0</v>
      </c>
      <c r="W13" s="14">
        <f>' תנוס '!W10</f>
        <v>0</v>
      </c>
      <c r="X13" s="14">
        <f>' תנוס '!X10</f>
        <v>0</v>
      </c>
      <c r="Y13" s="14">
        <f>' תנוס '!Y10</f>
        <v>0</v>
      </c>
      <c r="Z13" s="14">
        <f>' תנוס '!Z10</f>
        <v>0</v>
      </c>
      <c r="AA13" s="101">
        <f>' תנוס '!AA10</f>
        <v>828000</v>
      </c>
      <c r="AB13" s="56"/>
      <c r="AD13" s="78"/>
    </row>
    <row r="14" spans="1:34" s="15" customFormat="1">
      <c r="A14" s="13">
        <f t="shared" si="2"/>
        <v>7</v>
      </c>
      <c r="B14" s="13">
        <v>1777</v>
      </c>
      <c r="C14" s="13" t="s">
        <v>114</v>
      </c>
      <c r="D14" s="14">
        <f>' תנוס '!D11</f>
        <v>270000</v>
      </c>
      <c r="E14" s="14">
        <f>' תנוס '!E11</f>
        <v>270000</v>
      </c>
      <c r="F14" s="14">
        <f>' תנוס '!F11</f>
        <v>0</v>
      </c>
      <c r="G14" s="14">
        <f>' תנוס '!G11</f>
        <v>270000</v>
      </c>
      <c r="H14" s="14">
        <f>' תנוס '!H11</f>
        <v>119709.72</v>
      </c>
      <c r="I14" s="14">
        <f>' תנוס '!I11</f>
        <v>0</v>
      </c>
      <c r="J14" s="14">
        <f>' תנוס '!J11</f>
        <v>0</v>
      </c>
      <c r="K14" s="14">
        <f>' תנוס '!K11</f>
        <v>0</v>
      </c>
      <c r="L14" s="14">
        <f>' תנוס '!L11</f>
        <v>119709.72</v>
      </c>
      <c r="M14" s="14">
        <f>' תנוס '!M11</f>
        <v>150290.28</v>
      </c>
      <c r="N14" s="14">
        <f>' תנוס '!N11</f>
        <v>0</v>
      </c>
      <c r="O14" s="14">
        <f>' תנוס '!O11</f>
        <v>0</v>
      </c>
      <c r="P14" s="14">
        <f>' תנוס '!P11</f>
        <v>150290.28</v>
      </c>
      <c r="Q14" s="14">
        <f>' תנוס '!Q11</f>
        <v>0</v>
      </c>
      <c r="R14" s="14">
        <f>' תנוס '!R11</f>
        <v>0</v>
      </c>
      <c r="S14" s="14">
        <f>' תנוס '!S11</f>
        <v>0</v>
      </c>
      <c r="T14" s="14">
        <f>' תנוס '!T11</f>
        <v>0</v>
      </c>
      <c r="U14" s="14">
        <f>' תנוס '!U11</f>
        <v>0</v>
      </c>
      <c r="V14" s="14">
        <f>' תנוס '!V11</f>
        <v>0</v>
      </c>
      <c r="W14" s="14">
        <f>' תנוס '!W11</f>
        <v>0</v>
      </c>
      <c r="X14" s="14">
        <f>' תנוס '!X11</f>
        <v>0</v>
      </c>
      <c r="Y14" s="14">
        <f>' תנוס '!Y11</f>
        <v>0</v>
      </c>
      <c r="Z14" s="14">
        <f>' תנוס '!Z11</f>
        <v>0</v>
      </c>
      <c r="AA14" s="101">
        <f>' תנוס '!AA11</f>
        <v>829000</v>
      </c>
      <c r="AB14" s="56"/>
      <c r="AD14" s="78"/>
    </row>
    <row r="15" spans="1:34" s="15" customFormat="1" ht="15" customHeight="1">
      <c r="A15" s="13">
        <f t="shared" si="2"/>
        <v>8</v>
      </c>
      <c r="B15" s="13">
        <v>1822</v>
      </c>
      <c r="C15" s="13" t="s">
        <v>386</v>
      </c>
      <c r="D15" s="14">
        <f>' תנוס '!D12</f>
        <v>565000</v>
      </c>
      <c r="E15" s="14">
        <f>' תנוס '!E12</f>
        <v>565000</v>
      </c>
      <c r="F15" s="14">
        <f>' תנוס '!F12</f>
        <v>0</v>
      </c>
      <c r="G15" s="14">
        <f>' תנוס '!G12</f>
        <v>565000</v>
      </c>
      <c r="H15" s="14">
        <f>' תנוס '!H12</f>
        <v>470348.77</v>
      </c>
      <c r="I15" s="14">
        <f>' תנוס '!I12</f>
        <v>0</v>
      </c>
      <c r="J15" s="14">
        <f>' תנוס '!J12</f>
        <v>52509.08</v>
      </c>
      <c r="K15" s="14">
        <f>' תנוס '!K12</f>
        <v>52509.08</v>
      </c>
      <c r="L15" s="14">
        <f>' תנוס '!L12</f>
        <v>522857.85000000003</v>
      </c>
      <c r="M15" s="14">
        <f>' תנוס '!M12</f>
        <v>42142.149999999965</v>
      </c>
      <c r="N15" s="14">
        <f>' תנוס '!N12</f>
        <v>0</v>
      </c>
      <c r="O15" s="14">
        <f>' תנוס '!O12</f>
        <v>0</v>
      </c>
      <c r="P15" s="14">
        <f>' תנוס '!P12</f>
        <v>42142.149999999965</v>
      </c>
      <c r="Q15" s="14">
        <f>' תנוס '!Q12</f>
        <v>0</v>
      </c>
      <c r="R15" s="14">
        <f>' תנוס '!R12</f>
        <v>0</v>
      </c>
      <c r="S15" s="14">
        <f>' תנוס '!S12</f>
        <v>0</v>
      </c>
      <c r="T15" s="14">
        <f>' תנוס '!T12</f>
        <v>0</v>
      </c>
      <c r="U15" s="14">
        <f>' תנוס '!U12</f>
        <v>0</v>
      </c>
      <c r="V15" s="14">
        <f>' תנוס '!V12</f>
        <v>0</v>
      </c>
      <c r="W15" s="14">
        <f>' תנוס '!W12</f>
        <v>0</v>
      </c>
      <c r="X15" s="14">
        <f>' תנוס '!X12</f>
        <v>0</v>
      </c>
      <c r="Y15" s="14">
        <f>' תנוס '!Y12</f>
        <v>0</v>
      </c>
      <c r="Z15" s="14">
        <f>' תנוס '!Z12</f>
        <v>0</v>
      </c>
      <c r="AA15" s="101">
        <f>' תנוס '!AA12</f>
        <v>829000</v>
      </c>
      <c r="AB15" s="22"/>
      <c r="AD15" s="78"/>
    </row>
    <row r="16" spans="1:34" s="15" customFormat="1">
      <c r="A16" s="13">
        <f t="shared" si="2"/>
        <v>9</v>
      </c>
      <c r="B16" s="100">
        <v>1890</v>
      </c>
      <c r="C16" s="13" t="s">
        <v>363</v>
      </c>
      <c r="D16" s="14">
        <f>' תנוס '!D13</f>
        <v>800000</v>
      </c>
      <c r="E16" s="14">
        <f>' תנוס '!E13</f>
        <v>800000</v>
      </c>
      <c r="F16" s="14">
        <f>' תנוס '!F13</f>
        <v>0</v>
      </c>
      <c r="G16" s="14">
        <f>' תנוס '!G13</f>
        <v>800000</v>
      </c>
      <c r="H16" s="14">
        <f>' תנוס '!H13</f>
        <v>599720.38</v>
      </c>
      <c r="I16" s="14">
        <f>' תנוס '!I13</f>
        <v>0</v>
      </c>
      <c r="J16" s="14">
        <f>' תנוס '!J13</f>
        <v>0</v>
      </c>
      <c r="K16" s="14">
        <f>' תנוס '!K13</f>
        <v>0</v>
      </c>
      <c r="L16" s="14">
        <f>' תנוס '!L13</f>
        <v>599720.38</v>
      </c>
      <c r="M16" s="14">
        <f>' תנוס '!M13</f>
        <v>200279.62</v>
      </c>
      <c r="N16" s="14">
        <f>' תנוס '!N13</f>
        <v>0</v>
      </c>
      <c r="O16" s="14">
        <f>' תנוס '!O13</f>
        <v>0</v>
      </c>
      <c r="P16" s="14">
        <f>' תנוס '!P13</f>
        <v>200279.62</v>
      </c>
      <c r="Q16" s="14">
        <f>' תנוס '!Q13</f>
        <v>0</v>
      </c>
      <c r="R16" s="14">
        <f>' תנוס '!R13</f>
        <v>0</v>
      </c>
      <c r="S16" s="14">
        <f>' תנוס '!S13</f>
        <v>0</v>
      </c>
      <c r="T16" s="14">
        <f>' תנוס '!T13</f>
        <v>0</v>
      </c>
      <c r="U16" s="14">
        <f>' תנוס '!U13</f>
        <v>0</v>
      </c>
      <c r="V16" s="14">
        <f>' תנוס '!V13</f>
        <v>0</v>
      </c>
      <c r="W16" s="14">
        <f>' תנוס '!W13</f>
        <v>0</v>
      </c>
      <c r="X16" s="14">
        <f>' תנוס '!X13</f>
        <v>0</v>
      </c>
      <c r="Y16" s="14">
        <f>' תנוס '!Y13</f>
        <v>0</v>
      </c>
      <c r="Z16" s="14">
        <f>' תנוס '!Z13</f>
        <v>0</v>
      </c>
      <c r="AA16" s="101">
        <f>' תנוס '!AA13</f>
        <v>829000</v>
      </c>
      <c r="AB16" s="56"/>
      <c r="AD16" s="78"/>
    </row>
    <row r="17" spans="1:34" s="15" customFormat="1">
      <c r="A17" s="13">
        <f t="shared" si="2"/>
        <v>10</v>
      </c>
      <c r="B17" s="100">
        <v>1938</v>
      </c>
      <c r="C17" s="13" t="s">
        <v>410</v>
      </c>
      <c r="D17" s="14">
        <f>' תנוס '!D16</f>
        <v>260000</v>
      </c>
      <c r="E17" s="14">
        <f>' תנוס '!E16</f>
        <v>260000</v>
      </c>
      <c r="F17" s="14">
        <f>' תנוס '!F16</f>
        <v>0</v>
      </c>
      <c r="G17" s="14">
        <f>' תנוס '!G16</f>
        <v>260000</v>
      </c>
      <c r="H17" s="14">
        <f>' תנוס '!H16</f>
        <v>250518</v>
      </c>
      <c r="I17" s="14">
        <f>' תנוס '!I16</f>
        <v>0</v>
      </c>
      <c r="J17" s="14">
        <f>' תנוס '!J16</f>
        <v>9360</v>
      </c>
      <c r="K17" s="14">
        <f>' תנוס '!K16</f>
        <v>9360</v>
      </c>
      <c r="L17" s="14">
        <f>' תנוס '!L16</f>
        <v>259878</v>
      </c>
      <c r="M17" s="14">
        <f>' תנוס '!M16</f>
        <v>122</v>
      </c>
      <c r="N17" s="14">
        <f>' תנוס '!N16</f>
        <v>0</v>
      </c>
      <c r="O17" s="14">
        <f>' תנוס '!O16</f>
        <v>0</v>
      </c>
      <c r="P17" s="14">
        <f>' תנוס '!P16</f>
        <v>122</v>
      </c>
      <c r="Q17" s="14">
        <f>' תנוס '!Q16</f>
        <v>0</v>
      </c>
      <c r="R17" s="14">
        <f>' תנוס '!R16</f>
        <v>0</v>
      </c>
      <c r="S17" s="14">
        <f>' תנוס '!S16</f>
        <v>0</v>
      </c>
      <c r="T17" s="14">
        <f>' תנוס '!T16</f>
        <v>0</v>
      </c>
      <c r="U17" s="14">
        <f>' תנוס '!U16</f>
        <v>0</v>
      </c>
      <c r="V17" s="14">
        <f>' תנוס '!V16</f>
        <v>0</v>
      </c>
      <c r="W17" s="14">
        <f>' תנוס '!W16</f>
        <v>0</v>
      </c>
      <c r="X17" s="14">
        <f>' תנוס '!X16</f>
        <v>0</v>
      </c>
      <c r="Y17" s="14">
        <f>' תנוס '!Y16</f>
        <v>0</v>
      </c>
      <c r="Z17" s="14">
        <f>' תנוס '!Z16</f>
        <v>0</v>
      </c>
      <c r="AA17" s="101">
        <f>' תנוס '!AA16</f>
        <v>829000</v>
      </c>
      <c r="AB17" s="56"/>
      <c r="AD17" s="78"/>
    </row>
    <row r="18" spans="1:34" s="15" customFormat="1">
      <c r="A18" s="13">
        <f t="shared" si="2"/>
        <v>11</v>
      </c>
      <c r="B18" s="100">
        <v>2004</v>
      </c>
      <c r="C18" s="13" t="s">
        <v>442</v>
      </c>
      <c r="D18" s="14">
        <f>' תנוס '!D17</f>
        <v>735000</v>
      </c>
      <c r="E18" s="14">
        <f>' תנוס '!E17</f>
        <v>735000</v>
      </c>
      <c r="F18" s="14">
        <f>' תנוס '!F17</f>
        <v>0</v>
      </c>
      <c r="G18" s="14">
        <f>' תנוס '!G17</f>
        <v>185000</v>
      </c>
      <c r="H18" s="14">
        <f>' תנוס '!H17</f>
        <v>0</v>
      </c>
      <c r="I18" s="14">
        <f>' תנוס '!I17</f>
        <v>0</v>
      </c>
      <c r="J18" s="14">
        <f>' תנוס '!J17</f>
        <v>0</v>
      </c>
      <c r="K18" s="14">
        <f>' תנוס '!K17</f>
        <v>0</v>
      </c>
      <c r="L18" s="14">
        <f>' תנוס '!L17</f>
        <v>0</v>
      </c>
      <c r="M18" s="14">
        <f>' תנוס '!M17</f>
        <v>185000</v>
      </c>
      <c r="N18" s="14">
        <f>' תנוס '!N17</f>
        <v>230000</v>
      </c>
      <c r="O18" s="14">
        <f>' תנוס '!O17</f>
        <v>320000</v>
      </c>
      <c r="P18" s="14">
        <f>' תנוס '!P17</f>
        <v>185000</v>
      </c>
      <c r="Q18" s="14">
        <f>' תנוס '!Q17</f>
        <v>0</v>
      </c>
      <c r="R18" s="14">
        <f>' תנוס '!R17</f>
        <v>0</v>
      </c>
      <c r="S18" s="14">
        <f>' תנוס '!S17</f>
        <v>0</v>
      </c>
      <c r="T18" s="14">
        <f>' תנוס '!T17</f>
        <v>0</v>
      </c>
      <c r="U18" s="14">
        <f>' תנוס '!U17</f>
        <v>230000</v>
      </c>
      <c r="V18" s="14">
        <f>' תנוס '!V17</f>
        <v>0</v>
      </c>
      <c r="W18" s="14">
        <f>' תנוס '!W17</f>
        <v>230000</v>
      </c>
      <c r="X18" s="14">
        <f>' תנוס '!X17</f>
        <v>0</v>
      </c>
      <c r="Y18" s="14">
        <f>' תנוס '!Y17</f>
        <v>0</v>
      </c>
      <c r="Z18" s="14">
        <f>' תנוס '!Z17</f>
        <v>0</v>
      </c>
      <c r="AA18" s="101">
        <f>' תנוס '!AA17</f>
        <v>829000</v>
      </c>
      <c r="AB18" s="56"/>
      <c r="AD18" s="78"/>
    </row>
    <row r="19" spans="1:34" s="149" customFormat="1">
      <c r="A19" s="81"/>
      <c r="B19" s="81">
        <v>6</v>
      </c>
      <c r="C19" s="81" t="s">
        <v>1041</v>
      </c>
      <c r="D19" s="198">
        <f>SUM(D10:D18)</f>
        <v>6013000</v>
      </c>
      <c r="E19" s="198">
        <f t="shared" ref="E19:Z19" si="3">SUM(E10:E18)</f>
        <v>6850000</v>
      </c>
      <c r="F19" s="198">
        <f t="shared" si="3"/>
        <v>-837000</v>
      </c>
      <c r="G19" s="198">
        <f t="shared" si="3"/>
        <v>4763000</v>
      </c>
      <c r="H19" s="198">
        <f t="shared" si="3"/>
        <v>3444684.7</v>
      </c>
      <c r="I19" s="198">
        <f t="shared" si="3"/>
        <v>0</v>
      </c>
      <c r="J19" s="198">
        <f t="shared" si="3"/>
        <v>527352.06000000006</v>
      </c>
      <c r="K19" s="198">
        <f t="shared" si="3"/>
        <v>527352.06000000006</v>
      </c>
      <c r="L19" s="198">
        <f t="shared" si="3"/>
        <v>3972036.76</v>
      </c>
      <c r="M19" s="198">
        <f t="shared" si="3"/>
        <v>790963.24</v>
      </c>
      <c r="N19" s="198">
        <f t="shared" si="3"/>
        <v>480000</v>
      </c>
      <c r="O19" s="198">
        <f t="shared" si="3"/>
        <v>770000</v>
      </c>
      <c r="P19" s="198">
        <f t="shared" si="3"/>
        <v>790963.24</v>
      </c>
      <c r="Q19" s="198">
        <f t="shared" si="3"/>
        <v>0</v>
      </c>
      <c r="R19" s="198">
        <f t="shared" si="3"/>
        <v>0</v>
      </c>
      <c r="S19" s="198">
        <f t="shared" si="3"/>
        <v>0</v>
      </c>
      <c r="T19" s="198">
        <f t="shared" si="3"/>
        <v>0</v>
      </c>
      <c r="U19" s="198">
        <f t="shared" si="3"/>
        <v>480000</v>
      </c>
      <c r="V19" s="198">
        <f t="shared" si="3"/>
        <v>0</v>
      </c>
      <c r="W19" s="198">
        <f t="shared" si="3"/>
        <v>480000</v>
      </c>
      <c r="X19" s="198">
        <f t="shared" si="3"/>
        <v>0</v>
      </c>
      <c r="Y19" s="198">
        <f t="shared" si="3"/>
        <v>0</v>
      </c>
      <c r="Z19" s="198">
        <f t="shared" si="3"/>
        <v>0</v>
      </c>
      <c r="AA19" s="763"/>
      <c r="AB19" s="764"/>
      <c r="AC19" s="765"/>
      <c r="AD19" s="766"/>
      <c r="AE19" s="766"/>
      <c r="AF19" s="767"/>
      <c r="AG19" s="767"/>
      <c r="AH19" s="766"/>
    </row>
    <row r="20" spans="1:34" s="15" customFormat="1">
      <c r="A20" s="13"/>
      <c r="B20" s="100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01"/>
      <c r="AB20" s="56"/>
      <c r="AD20" s="78"/>
    </row>
    <row r="21" spans="1:34" s="15" customFormat="1" ht="15" customHeight="1">
      <c r="A21" s="13">
        <f>A18+1</f>
        <v>12</v>
      </c>
      <c r="B21" s="13">
        <v>1486</v>
      </c>
      <c r="C21" s="13" t="s">
        <v>478</v>
      </c>
      <c r="D21" s="14">
        <f>' תנוס '!D7</f>
        <v>5700000</v>
      </c>
      <c r="E21" s="14">
        <f>' תנוס '!E7</f>
        <v>3400000</v>
      </c>
      <c r="F21" s="14">
        <f>' תנוס '!F7</f>
        <v>2300000</v>
      </c>
      <c r="G21" s="14">
        <f>' תנוס '!G7</f>
        <v>3400000</v>
      </c>
      <c r="H21" s="14">
        <f>' תנוס '!H7</f>
        <v>3012924.43</v>
      </c>
      <c r="I21" s="14">
        <f>' תנוס '!I7</f>
        <v>0</v>
      </c>
      <c r="J21" s="14">
        <f>' תנוס '!J7</f>
        <v>370941.05</v>
      </c>
      <c r="K21" s="14">
        <f>' תנוס '!K7</f>
        <v>370941.05</v>
      </c>
      <c r="L21" s="14">
        <f>' תנוס '!L7</f>
        <v>3383865.48</v>
      </c>
      <c r="M21" s="14">
        <f>' תנוס '!M7</f>
        <v>16134.520000000019</v>
      </c>
      <c r="N21" s="14">
        <f>' תנוס '!N7</f>
        <v>1000000</v>
      </c>
      <c r="O21" s="14">
        <f>' תנוס '!O7</f>
        <v>1300000</v>
      </c>
      <c r="P21" s="14">
        <f>' תנוס '!P7</f>
        <v>16134.520000000019</v>
      </c>
      <c r="Q21" s="14">
        <f>' תנוס '!Q7</f>
        <v>0</v>
      </c>
      <c r="R21" s="14">
        <f>' תנוס '!R7</f>
        <v>0</v>
      </c>
      <c r="S21" s="14">
        <f>' תנוס '!S7</f>
        <v>0</v>
      </c>
      <c r="T21" s="14">
        <f>' תנוס '!T7</f>
        <v>0</v>
      </c>
      <c r="U21" s="14">
        <f>' תנוס '!U7</f>
        <v>1000000</v>
      </c>
      <c r="V21" s="14">
        <f>' תנוס '!V7</f>
        <v>0</v>
      </c>
      <c r="W21" s="14">
        <f>' תנוס '!W7</f>
        <v>1000000</v>
      </c>
      <c r="X21" s="14">
        <f>' תנוס '!X7</f>
        <v>0</v>
      </c>
      <c r="Y21" s="14">
        <f>' תנוס '!Y7</f>
        <v>0</v>
      </c>
      <c r="Z21" s="14">
        <f>' תנוס '!Z7</f>
        <v>0</v>
      </c>
      <c r="AA21" s="101">
        <f>' תנוס '!AA7</f>
        <v>930000</v>
      </c>
      <c r="AB21" s="56"/>
      <c r="AD21" s="78"/>
    </row>
    <row r="22" spans="1:34" s="149" customFormat="1">
      <c r="A22" s="81"/>
      <c r="B22" s="81">
        <v>11</v>
      </c>
      <c r="C22" s="81" t="s">
        <v>1046</v>
      </c>
      <c r="D22" s="198">
        <f>SUM(D21)</f>
        <v>5700000</v>
      </c>
      <c r="E22" s="198">
        <f t="shared" ref="E22:Z22" si="4">SUM(E21)</f>
        <v>3400000</v>
      </c>
      <c r="F22" s="198">
        <f t="shared" si="4"/>
        <v>2300000</v>
      </c>
      <c r="G22" s="198">
        <f t="shared" si="4"/>
        <v>3400000</v>
      </c>
      <c r="H22" s="198">
        <f t="shared" si="4"/>
        <v>3012924.43</v>
      </c>
      <c r="I22" s="198">
        <f t="shared" si="4"/>
        <v>0</v>
      </c>
      <c r="J22" s="198">
        <f t="shared" si="4"/>
        <v>370941.05</v>
      </c>
      <c r="K22" s="198">
        <f t="shared" si="4"/>
        <v>370941.05</v>
      </c>
      <c r="L22" s="198">
        <f t="shared" si="4"/>
        <v>3383865.48</v>
      </c>
      <c r="M22" s="198">
        <f t="shared" si="4"/>
        <v>16134.520000000019</v>
      </c>
      <c r="N22" s="198">
        <f t="shared" si="4"/>
        <v>1000000</v>
      </c>
      <c r="O22" s="198">
        <f t="shared" si="4"/>
        <v>1300000</v>
      </c>
      <c r="P22" s="198">
        <f t="shared" si="4"/>
        <v>16134.520000000019</v>
      </c>
      <c r="Q22" s="198">
        <f t="shared" si="4"/>
        <v>0</v>
      </c>
      <c r="R22" s="198">
        <f t="shared" si="4"/>
        <v>0</v>
      </c>
      <c r="S22" s="198">
        <f t="shared" si="4"/>
        <v>0</v>
      </c>
      <c r="T22" s="198">
        <f t="shared" si="4"/>
        <v>0</v>
      </c>
      <c r="U22" s="198">
        <f t="shared" si="4"/>
        <v>1000000</v>
      </c>
      <c r="V22" s="198">
        <f t="shared" si="4"/>
        <v>0</v>
      </c>
      <c r="W22" s="198">
        <f t="shared" si="4"/>
        <v>1000000</v>
      </c>
      <c r="X22" s="198">
        <f t="shared" si="4"/>
        <v>0</v>
      </c>
      <c r="Y22" s="198">
        <f t="shared" si="4"/>
        <v>0</v>
      </c>
      <c r="Z22" s="198">
        <f t="shared" si="4"/>
        <v>0</v>
      </c>
      <c r="AA22" s="763"/>
      <c r="AB22" s="764"/>
      <c r="AC22" s="765"/>
      <c r="AD22" s="766"/>
      <c r="AE22" s="766"/>
      <c r="AF22" s="767"/>
      <c r="AG22" s="767"/>
      <c r="AH22" s="766"/>
    </row>
    <row r="23" spans="1:34" s="15" customFormat="1" ht="15" customHeight="1">
      <c r="A23" s="13"/>
      <c r="B23" s="13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01"/>
      <c r="AB23" s="56"/>
      <c r="AD23" s="78"/>
    </row>
    <row r="24" spans="1:34" s="691" customFormat="1" ht="15.75">
      <c r="A24" s="147">
        <f>A21</f>
        <v>12</v>
      </c>
      <c r="B24" s="147" t="s">
        <v>82</v>
      </c>
      <c r="C24" s="147" t="s">
        <v>305</v>
      </c>
      <c r="D24" s="148">
        <f>D22+D19+D8</f>
        <v>12098000</v>
      </c>
      <c r="E24" s="148">
        <f t="shared" ref="E24:Z24" si="5">E22+E19+E8</f>
        <v>10635000</v>
      </c>
      <c r="F24" s="148">
        <f t="shared" si="5"/>
        <v>1463000</v>
      </c>
      <c r="G24" s="148">
        <f t="shared" si="5"/>
        <v>8548000</v>
      </c>
      <c r="H24" s="148">
        <f t="shared" si="5"/>
        <v>6584024.6900000004</v>
      </c>
      <c r="I24" s="148">
        <f t="shared" si="5"/>
        <v>0</v>
      </c>
      <c r="J24" s="148">
        <f t="shared" si="5"/>
        <v>898293.1100000001</v>
      </c>
      <c r="K24" s="148">
        <f t="shared" si="5"/>
        <v>898293.1100000001</v>
      </c>
      <c r="L24" s="148">
        <f t="shared" si="5"/>
        <v>7482317.7999999998</v>
      </c>
      <c r="M24" s="148">
        <f t="shared" si="5"/>
        <v>1065682.2</v>
      </c>
      <c r="N24" s="148">
        <f t="shared" si="5"/>
        <v>1480000</v>
      </c>
      <c r="O24" s="148">
        <f t="shared" si="5"/>
        <v>2070000</v>
      </c>
      <c r="P24" s="148">
        <f t="shared" si="5"/>
        <v>1065682.2</v>
      </c>
      <c r="Q24" s="148">
        <f t="shared" si="5"/>
        <v>0</v>
      </c>
      <c r="R24" s="148">
        <f t="shared" si="5"/>
        <v>0</v>
      </c>
      <c r="S24" s="148">
        <f t="shared" si="5"/>
        <v>0</v>
      </c>
      <c r="T24" s="148">
        <f t="shared" si="5"/>
        <v>0</v>
      </c>
      <c r="U24" s="148">
        <f t="shared" si="5"/>
        <v>1480000</v>
      </c>
      <c r="V24" s="148">
        <f t="shared" si="5"/>
        <v>0</v>
      </c>
      <c r="W24" s="148">
        <f t="shared" si="5"/>
        <v>1480000</v>
      </c>
      <c r="X24" s="148">
        <f t="shared" si="5"/>
        <v>0</v>
      </c>
      <c r="Y24" s="148">
        <f t="shared" si="5"/>
        <v>0</v>
      </c>
      <c r="Z24" s="148">
        <f t="shared" si="5"/>
        <v>0</v>
      </c>
      <c r="AA24" s="690"/>
      <c r="AB24" s="217">
        <f t="shared" ref="AB24" si="6">SUM(AB6:AB21)</f>
        <v>0</v>
      </c>
    </row>
    <row r="25" spans="1:34" s="15" customFormat="1" ht="15.75">
      <c r="A25" s="81"/>
      <c r="B25" s="85"/>
      <c r="C25" s="8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126"/>
      <c r="AB25" s="68"/>
    </row>
    <row r="26" spans="1:34" s="15" customFormat="1">
      <c r="A26" s="57"/>
      <c r="B26" s="29"/>
      <c r="C26" s="29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29"/>
      <c r="V26" s="29"/>
      <c r="W26" s="29"/>
      <c r="X26" s="29"/>
      <c r="Y26" s="29"/>
      <c r="Z26" s="29"/>
      <c r="AA26" s="29"/>
      <c r="AB26" s="29"/>
    </row>
    <row r="27" spans="1:34" s="15" customFormat="1">
      <c r="A27" s="57"/>
      <c r="B27" s="29"/>
      <c r="C27" s="29"/>
      <c r="D27" s="31"/>
      <c r="E27" s="31"/>
      <c r="F27" s="31"/>
      <c r="G27" s="31"/>
      <c r="H27" s="31"/>
      <c r="I27" s="31"/>
      <c r="J27" s="31"/>
      <c r="K27" s="31"/>
      <c r="L27" s="31"/>
      <c r="M27" s="52"/>
      <c r="N27" s="52"/>
      <c r="O27" s="52"/>
      <c r="P27" s="57"/>
      <c r="Q27" s="57"/>
      <c r="R27" s="52"/>
      <c r="S27" s="57"/>
      <c r="T27" s="31"/>
      <c r="U27" s="29"/>
      <c r="V27" s="29"/>
      <c r="W27" s="29"/>
      <c r="X27" s="29"/>
      <c r="Y27" s="29"/>
      <c r="Z27" s="29"/>
      <c r="AA27" s="29"/>
      <c r="AB27" s="29"/>
    </row>
    <row r="28" spans="1:34" s="15" customFormat="1">
      <c r="A28" s="57"/>
      <c r="B28" s="29"/>
      <c r="C28" s="29"/>
      <c r="D28" s="31"/>
      <c r="E28" s="31"/>
      <c r="F28" s="31"/>
      <c r="G28" s="31"/>
      <c r="H28" s="31"/>
      <c r="I28" s="31"/>
      <c r="J28" s="31"/>
      <c r="K28" s="31"/>
      <c r="L28" s="31"/>
      <c r="M28" s="52"/>
      <c r="N28" s="52"/>
      <c r="O28" s="102"/>
      <c r="P28" s="57"/>
      <c r="Q28" s="55"/>
      <c r="R28" s="52"/>
      <c r="S28" s="57"/>
      <c r="T28" s="31"/>
      <c r="U28" s="29"/>
      <c r="V28" s="29"/>
      <c r="W28" s="29"/>
      <c r="X28" s="29"/>
      <c r="Y28" s="29"/>
      <c r="Z28" s="29"/>
      <c r="AA28" s="29"/>
      <c r="AB28" s="29"/>
    </row>
    <row r="29" spans="1:34" s="15" customFormat="1">
      <c r="A29" s="57"/>
      <c r="B29" s="29"/>
      <c r="C29" s="29"/>
      <c r="D29" s="31"/>
      <c r="E29" s="31"/>
      <c r="F29" s="31"/>
      <c r="G29" s="31"/>
      <c r="H29" s="31"/>
      <c r="I29" s="31"/>
      <c r="J29" s="31"/>
      <c r="K29" s="31"/>
      <c r="L29" s="31"/>
      <c r="M29" s="52"/>
      <c r="N29" s="52"/>
      <c r="O29" s="102"/>
      <c r="P29" s="57"/>
      <c r="Q29" s="55"/>
      <c r="R29" s="57"/>
      <c r="S29" s="52"/>
      <c r="T29" s="31"/>
      <c r="U29" s="29"/>
      <c r="V29" s="29"/>
      <c r="W29" s="29"/>
      <c r="X29" s="29"/>
      <c r="Y29" s="29"/>
      <c r="Z29" s="29"/>
      <c r="AA29" s="29"/>
      <c r="AB29" s="29"/>
    </row>
    <row r="30" spans="1:34" s="15" customFormat="1">
      <c r="A30" s="57"/>
      <c r="B30" s="29"/>
      <c r="C30" s="29"/>
      <c r="D30" s="31"/>
      <c r="E30" s="31"/>
      <c r="F30" s="31"/>
      <c r="G30" s="31"/>
      <c r="H30" s="31"/>
      <c r="I30" s="31"/>
      <c r="J30" s="31"/>
      <c r="K30" s="31"/>
      <c r="L30" s="31"/>
      <c r="M30" s="52"/>
      <c r="N30" s="52"/>
      <c r="O30" s="57"/>
      <c r="P30" s="57"/>
      <c r="Q30" s="55"/>
      <c r="R30" s="57"/>
      <c r="S30" s="52"/>
      <c r="T30" s="31"/>
      <c r="U30" s="29"/>
      <c r="V30" s="29"/>
      <c r="W30" s="29"/>
      <c r="X30" s="29"/>
      <c r="Y30" s="29"/>
      <c r="Z30" s="29"/>
      <c r="AA30" s="29"/>
      <c r="AB30" s="29"/>
    </row>
    <row r="31" spans="1:34" s="15" customFormat="1">
      <c r="A31" s="57"/>
      <c r="B31" s="29"/>
      <c r="C31" s="29"/>
      <c r="D31" s="31"/>
      <c r="E31" s="31"/>
      <c r="F31" s="31"/>
      <c r="G31" s="31"/>
      <c r="H31" s="31"/>
      <c r="I31" s="31"/>
      <c r="J31" s="31"/>
      <c r="K31" s="31"/>
      <c r="L31" s="31"/>
      <c r="M31" s="52"/>
      <c r="N31" s="52"/>
      <c r="O31" s="52"/>
      <c r="P31" s="57"/>
      <c r="Q31" s="52"/>
      <c r="R31" s="52"/>
      <c r="S31" s="52"/>
      <c r="T31" s="31"/>
      <c r="U31" s="29"/>
      <c r="V31" s="29"/>
      <c r="W31" s="29"/>
      <c r="X31" s="29"/>
      <c r="Y31" s="29"/>
      <c r="Z31" s="29"/>
      <c r="AA31" s="29"/>
      <c r="AB31" s="29"/>
    </row>
    <row r="32" spans="1:34">
      <c r="M32" s="52"/>
      <c r="N32" s="52"/>
      <c r="O32" s="52"/>
      <c r="P32" s="57"/>
      <c r="Q32" s="52"/>
      <c r="R32" s="52"/>
      <c r="S32" s="52"/>
    </row>
    <row r="33" spans="8:19">
      <c r="M33" s="52"/>
      <c r="N33" s="52"/>
      <c r="O33" s="52"/>
      <c r="P33" s="57"/>
      <c r="Q33" s="52"/>
      <c r="R33" s="52"/>
      <c r="S33" s="52"/>
    </row>
    <row r="34" spans="8:19">
      <c r="M34" s="52"/>
      <c r="N34" s="52"/>
      <c r="O34" s="52"/>
      <c r="P34" s="52"/>
      <c r="Q34" s="52"/>
      <c r="R34" s="52"/>
      <c r="S34" s="52"/>
    </row>
    <row r="35" spans="8:19">
      <c r="M35" s="52"/>
      <c r="N35" s="52"/>
      <c r="O35" s="52"/>
      <c r="P35" s="52"/>
      <c r="Q35" s="52"/>
      <c r="R35" s="52"/>
      <c r="S35" s="52"/>
    </row>
    <row r="36" spans="8:19">
      <c r="M36" s="52"/>
      <c r="N36" s="52"/>
      <c r="O36" s="52"/>
      <c r="P36" s="52"/>
      <c r="Q36" s="52"/>
      <c r="R36" s="52"/>
      <c r="S36" s="52"/>
    </row>
    <row r="37" spans="8:19">
      <c r="M37" s="52"/>
      <c r="N37" s="52"/>
      <c r="O37" s="52"/>
      <c r="P37" s="52"/>
      <c r="Q37" s="52"/>
      <c r="R37" s="52"/>
      <c r="S37" s="52"/>
    </row>
    <row r="38" spans="8:19">
      <c r="M38" s="52"/>
      <c r="N38" s="52"/>
      <c r="O38" s="52"/>
      <c r="P38" s="52"/>
      <c r="Q38" s="52"/>
      <c r="R38" s="52"/>
      <c r="S38" s="52"/>
    </row>
    <row r="39" spans="8:19">
      <c r="M39" s="52"/>
      <c r="N39" s="52"/>
      <c r="O39" s="52"/>
      <c r="P39" s="52"/>
      <c r="Q39" s="52"/>
      <c r="R39" s="52"/>
      <c r="S39" s="52"/>
    </row>
    <row r="40" spans="8:19">
      <c r="H40" s="31">
        <v>0</v>
      </c>
      <c r="M40" s="52"/>
      <c r="N40" s="52"/>
      <c r="O40" s="52"/>
      <c r="P40" s="52"/>
      <c r="Q40" s="52"/>
      <c r="R40" s="52"/>
      <c r="S40" s="52"/>
    </row>
    <row r="41" spans="8:19">
      <c r="M41" s="52"/>
      <c r="N41" s="52"/>
      <c r="O41" s="52"/>
      <c r="P41" s="52"/>
      <c r="Q41" s="52"/>
      <c r="R41" s="52"/>
      <c r="S41" s="52"/>
    </row>
    <row r="42" spans="8:19">
      <c r="M42" s="52"/>
      <c r="N42" s="52"/>
      <c r="O42" s="52"/>
      <c r="P42" s="52"/>
      <c r="Q42" s="52"/>
      <c r="R42" s="52"/>
      <c r="S42" s="52"/>
    </row>
    <row r="43" spans="8:19">
      <c r="M43" s="52"/>
      <c r="N43" s="52"/>
      <c r="O43" s="52"/>
      <c r="P43" s="52"/>
      <c r="Q43" s="52"/>
      <c r="R43" s="52"/>
      <c r="S43" s="52"/>
    </row>
    <row r="44" spans="8:19">
      <c r="M44" s="52"/>
      <c r="N44" s="52"/>
      <c r="O44" s="52"/>
      <c r="P44" s="52"/>
      <c r="Q44" s="52"/>
      <c r="R44" s="52"/>
      <c r="S44" s="52"/>
    </row>
    <row r="45" spans="8:19">
      <c r="M45" s="52"/>
      <c r="N45" s="52"/>
      <c r="O45" s="52"/>
      <c r="P45" s="52"/>
      <c r="Q45" s="52"/>
      <c r="R45" s="52"/>
      <c r="S45" s="52"/>
    </row>
  </sheetData>
  <sheetProtection formatCells="0" formatColumns="0" formatRows="0" insertColumns="0" insertRows="0" insertHyperlinks="0" deleteColumns="0" deleteRows="0" sort="0" autoFilter="0" pivotTables="0"/>
  <sortState ref="A10:AI18">
    <sortCondition ref="B10:B18"/>
  </sortState>
  <conditionalFormatting sqref="A2:Z2 AB2:XFD2">
    <cfRule type="cellIs" dxfId="28" priority="2" operator="equal">
      <formula>0</formula>
    </cfRule>
  </conditionalFormatting>
  <conditionalFormatting sqref="AA2">
    <cfRule type="cellIs" dxfId="27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9"/>
  <sheetViews>
    <sheetView rightToLeft="1" topLeftCell="A3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A3" s="708"/>
      <c r="C3" s="710" t="s">
        <v>1009</v>
      </c>
      <c r="D3" s="708"/>
      <c r="E3" s="708"/>
      <c r="F3" s="708"/>
      <c r="G3" s="708"/>
      <c r="H3" s="708"/>
      <c r="I3" s="708"/>
      <c r="J3" s="708"/>
      <c r="K3" s="708"/>
      <c r="L3" s="708"/>
    </row>
    <row r="4" spans="1:17" ht="20.25">
      <c r="A4" s="708"/>
      <c r="C4" s="710"/>
      <c r="D4" s="708"/>
      <c r="E4" s="708"/>
      <c r="F4" s="708"/>
      <c r="G4" s="708"/>
      <c r="H4" s="708"/>
      <c r="I4" s="708"/>
      <c r="J4" s="708"/>
      <c r="K4" s="708"/>
      <c r="L4" s="708"/>
    </row>
    <row r="5" spans="1:17" ht="15.75">
      <c r="A5" s="708"/>
      <c r="C5" s="708" t="s">
        <v>1010</v>
      </c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7" ht="16.5" thickBot="1">
      <c r="A7" s="708"/>
      <c r="B7" s="711" t="s">
        <v>455</v>
      </c>
      <c r="C7" s="708" t="s">
        <v>997</v>
      </c>
      <c r="D7" s="708"/>
      <c r="E7" s="708"/>
      <c r="F7" s="712">
        <f>'שאיפה '!U36</f>
        <v>20498000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1152</v>
      </c>
      <c r="D9" s="708"/>
      <c r="F9" s="736">
        <f>'שאיפה '!A36</f>
        <v>30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F10" s="714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/>
      <c r="C11" s="708"/>
      <c r="D11" s="708"/>
      <c r="F11" s="714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B12" s="711" t="s">
        <v>455</v>
      </c>
      <c r="C12" s="708" t="s">
        <v>972</v>
      </c>
      <c r="D12" s="708"/>
      <c r="E12" s="708"/>
      <c r="F12" s="708"/>
      <c r="G12" s="708"/>
      <c r="H12" s="708"/>
      <c r="I12" s="708"/>
      <c r="J12" s="708"/>
      <c r="K12" s="708"/>
      <c r="L12" s="708"/>
    </row>
    <row r="13" spans="1:17" ht="16.5" thickBot="1"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D14" s="737" t="s">
        <v>973</v>
      </c>
      <c r="E14" s="738" t="s">
        <v>974</v>
      </c>
      <c r="F14" s="739" t="s">
        <v>987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13</v>
      </c>
      <c r="E15" s="740">
        <f>'שאיפה '!V36</f>
        <v>15873000</v>
      </c>
      <c r="F15" s="749">
        <f>E15/$E$18</f>
        <v>0.77436823104693142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14</v>
      </c>
      <c r="E16" s="740">
        <f>'שאיפה '!W36</f>
        <v>4425000</v>
      </c>
      <c r="F16" s="749">
        <f>E16/$E$18</f>
        <v>0.21587471948482778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C17" s="711"/>
      <c r="D17" s="715" t="s">
        <v>184</v>
      </c>
      <c r="E17" s="740">
        <f>'שאיפה '!Z36</f>
        <v>200000</v>
      </c>
      <c r="F17" s="749">
        <f>E17/$E$18</f>
        <v>9.757049468240804E-3</v>
      </c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6.5" thickBot="1">
      <c r="C18" s="711"/>
      <c r="D18" s="718" t="s">
        <v>208</v>
      </c>
      <c r="E18" s="742">
        <f>SUM(E15:E17)</f>
        <v>20498000</v>
      </c>
      <c r="F18" s="326">
        <f>SUM(F15:F17)</f>
        <v>1</v>
      </c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C19" s="711"/>
      <c r="D19" s="714"/>
      <c r="E19" s="752"/>
      <c r="F19" s="756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C20" s="711"/>
      <c r="D20" s="714"/>
      <c r="E20" s="752"/>
      <c r="F20" s="756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B21" s="711"/>
      <c r="C21" s="708"/>
      <c r="D21" s="708"/>
      <c r="E21" s="708"/>
      <c r="F21" s="708"/>
      <c r="G21" s="708"/>
      <c r="H21" s="708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B22" s="711" t="s">
        <v>455</v>
      </c>
      <c r="C22" s="708" t="s">
        <v>995</v>
      </c>
      <c r="D22" s="708"/>
      <c r="F22" s="708"/>
      <c r="H22" s="717"/>
      <c r="I22" s="708"/>
      <c r="J22" s="708"/>
      <c r="K22" s="708"/>
      <c r="L22" s="708"/>
      <c r="M22" s="708"/>
      <c r="N22" s="708"/>
      <c r="O22" s="708"/>
      <c r="P22" s="708"/>
      <c r="Q22" s="708"/>
    </row>
    <row r="23" spans="2:17" ht="15.75">
      <c r="B23" s="711"/>
      <c r="C23" s="708"/>
      <c r="D23" s="708" t="s">
        <v>1011</v>
      </c>
      <c r="E23" s="708"/>
      <c r="F23" s="708"/>
      <c r="G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2:17" ht="15.75">
      <c r="B24" s="711"/>
      <c r="C24" s="708"/>
      <c r="D24" s="708" t="s">
        <v>1153</v>
      </c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2:17" ht="15.75">
      <c r="D25" s="708" t="s">
        <v>1083</v>
      </c>
      <c r="E25" s="708"/>
    </row>
    <row r="26" spans="2:17" ht="15.75">
      <c r="B26" s="711"/>
      <c r="C26" s="708"/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</row>
    <row r="27" spans="2:17" ht="15.75">
      <c r="C27" s="708"/>
      <c r="D27" s="708"/>
      <c r="E27" s="708"/>
      <c r="F27" s="708"/>
      <c r="H27" s="708"/>
      <c r="I27" s="708"/>
      <c r="J27" s="708"/>
      <c r="K27" s="708"/>
      <c r="L27" s="708"/>
    </row>
    <row r="28" spans="2:17" ht="15.75">
      <c r="B28" s="711"/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</row>
    <row r="29" spans="2:17" ht="15.75">
      <c r="B29" s="711"/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G64"/>
  <sheetViews>
    <sheetView showZeros="0" rightToLeft="1" zoomScaleNormal="100" workbookViewId="0">
      <pane xSplit="5" ySplit="5" topLeftCell="F22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customWidth="1"/>
    <col min="6" max="6" width="10.5703125" style="3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0.5703125" style="31" customWidth="1"/>
    <col min="13" max="13" width="9" style="31" customWidth="1"/>
    <col min="14" max="14" width="10.42578125" style="31" customWidth="1"/>
    <col min="15" max="15" width="10.7109375" style="31" customWidth="1"/>
    <col min="16" max="17" width="11.140625" style="31" hidden="1" customWidth="1"/>
    <col min="18" max="18" width="9.7109375" style="31" hidden="1" customWidth="1"/>
    <col min="19" max="19" width="10.28515625" style="31" hidden="1" customWidth="1"/>
    <col min="20" max="20" width="8.42578125" style="31" hidden="1" customWidth="1"/>
    <col min="21" max="21" width="12.42578125" style="29" customWidth="1"/>
    <col min="22" max="22" width="10.28515625" style="29" customWidth="1"/>
    <col min="23" max="23" width="9.85546875" style="29" customWidth="1"/>
    <col min="24" max="25" width="5.28515625" style="29" hidden="1" customWidth="1"/>
    <col min="26" max="26" width="8" style="31" customWidth="1"/>
    <col min="27" max="27" width="12.7109375" style="29" hidden="1" customWidth="1"/>
    <col min="28" max="28" width="11.7109375" style="82" customWidth="1"/>
    <col min="29" max="29" width="10.85546875" style="37" customWidth="1"/>
    <col min="30" max="30" width="34.7109375" style="37" customWidth="1"/>
    <col min="31" max="31" width="1.5703125" style="37" customWidth="1"/>
    <col min="32" max="33" width="9.140625" style="37" customWidth="1"/>
    <col min="34" max="16384" width="9.140625" style="29"/>
  </cols>
  <sheetData>
    <row r="2" spans="1:33" s="65" customFormat="1" ht="15" customHeight="1">
      <c r="A2" s="194" t="s">
        <v>479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B2" s="110"/>
      <c r="AC2" s="59"/>
      <c r="AD2" s="59"/>
      <c r="AE2" s="59"/>
      <c r="AF2" s="59"/>
      <c r="AG2" s="59"/>
    </row>
    <row r="4" spans="1:33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1" t="s">
        <v>184</v>
      </c>
      <c r="AA4" s="93" t="s">
        <v>16</v>
      </c>
      <c r="AB4" s="111"/>
    </row>
    <row r="5" spans="1:33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112"/>
      <c r="AC5" s="57"/>
      <c r="AD5" s="57"/>
      <c r="AE5" s="57"/>
      <c r="AF5" s="57"/>
      <c r="AG5" s="57"/>
    </row>
    <row r="6" spans="1:33" s="15" customFormat="1">
      <c r="A6" s="13">
        <v>1</v>
      </c>
      <c r="B6" s="13">
        <v>1165</v>
      </c>
      <c r="C6" s="13" t="s">
        <v>187</v>
      </c>
      <c r="D6" s="14">
        <v>16300000</v>
      </c>
      <c r="E6" s="14">
        <v>14550000</v>
      </c>
      <c r="F6" s="14">
        <f t="shared" ref="F6:F26" si="0">D6-E6</f>
        <v>1750000</v>
      </c>
      <c r="G6" s="14">
        <v>11050000</v>
      </c>
      <c r="H6" s="14">
        <v>10281933.279999999</v>
      </c>
      <c r="I6" s="14"/>
      <c r="J6" s="14">
        <v>768032.43</v>
      </c>
      <c r="K6" s="14">
        <f>I6+J6</f>
        <v>768032.43</v>
      </c>
      <c r="L6" s="14">
        <f>H6+K6</f>
        <v>11049965.709999999</v>
      </c>
      <c r="M6" s="14">
        <f>P6+S6</f>
        <v>34.290000000968575</v>
      </c>
      <c r="N6" s="14">
        <v>1000000</v>
      </c>
      <c r="O6" s="14">
        <f>D6-L6-M6-N6</f>
        <v>4250000</v>
      </c>
      <c r="P6" s="14">
        <f>G6-L6</f>
        <v>34.290000000968575</v>
      </c>
      <c r="Q6" s="14"/>
      <c r="R6" s="14"/>
      <c r="S6" s="14">
        <f>SUM(Q6:R6)</f>
        <v>0</v>
      </c>
      <c r="T6" s="14">
        <f>P6-M6+S6</f>
        <v>0</v>
      </c>
      <c r="U6" s="14">
        <f>N6-T6</f>
        <v>1000000</v>
      </c>
      <c r="V6" s="14">
        <f>U6*0.9</f>
        <v>900000</v>
      </c>
      <c r="W6" s="14">
        <f>U6-V6-Y6-Z6</f>
        <v>100000</v>
      </c>
      <c r="X6" s="14"/>
      <c r="Y6" s="14"/>
      <c r="Z6" s="14"/>
      <c r="AA6" s="101">
        <v>746000</v>
      </c>
      <c r="AB6" s="57"/>
      <c r="AC6" s="55"/>
      <c r="AD6" s="55"/>
      <c r="AE6" s="55"/>
      <c r="AF6" s="55"/>
      <c r="AG6" s="55"/>
    </row>
    <row r="7" spans="1:33" s="15" customFormat="1">
      <c r="A7" s="13">
        <f t="shared" ref="A7:A35" si="1">A6+1</f>
        <v>2</v>
      </c>
      <c r="B7" s="13">
        <v>1166</v>
      </c>
      <c r="C7" s="13" t="s">
        <v>1014</v>
      </c>
      <c r="D7" s="14">
        <f>9215000+1400000</f>
        <v>10615000</v>
      </c>
      <c r="E7" s="14">
        <v>9215000</v>
      </c>
      <c r="F7" s="14">
        <f t="shared" si="0"/>
        <v>1400000</v>
      </c>
      <c r="G7" s="14">
        <v>8115000</v>
      </c>
      <c r="H7" s="14">
        <v>7117813.4500000002</v>
      </c>
      <c r="I7" s="14"/>
      <c r="J7" s="14">
        <v>840603.28</v>
      </c>
      <c r="K7" s="14">
        <f t="shared" ref="K7:K26" si="2">I7+J7</f>
        <v>840603.28</v>
      </c>
      <c r="L7" s="14">
        <f t="shared" ref="L7:L26" si="3">H7+K7</f>
        <v>7958416.7300000004</v>
      </c>
      <c r="M7" s="14">
        <f t="shared" ref="M7:M26" si="4">P7+S7</f>
        <v>156583.26999999955</v>
      </c>
      <c r="N7" s="14">
        <v>1000000</v>
      </c>
      <c r="O7" s="14">
        <f t="shared" ref="O7:O26" si="5">D7-L7-M7-N7</f>
        <v>1500000</v>
      </c>
      <c r="P7" s="14">
        <f t="shared" ref="P7:P26" si="6">G7-L7</f>
        <v>156583.26999999955</v>
      </c>
      <c r="Q7" s="14"/>
      <c r="R7" s="14"/>
      <c r="S7" s="14">
        <f t="shared" ref="S7:S26" si="7">SUM(Q7:R7)</f>
        <v>0</v>
      </c>
      <c r="T7" s="14">
        <f t="shared" ref="T7:T26" si="8">P7-M7+S7</f>
        <v>0</v>
      </c>
      <c r="U7" s="14">
        <f t="shared" ref="U7:U26" si="9">N7-T7</f>
        <v>1000000</v>
      </c>
      <c r="V7" s="14">
        <f>U7-W7-Z7</f>
        <v>1000000</v>
      </c>
      <c r="W7" s="14"/>
      <c r="X7" s="14"/>
      <c r="Y7" s="14"/>
      <c r="Z7" s="14"/>
      <c r="AA7" s="101">
        <v>746000</v>
      </c>
      <c r="AB7" s="57"/>
      <c r="AC7" s="55"/>
      <c r="AD7" s="55"/>
      <c r="AE7" s="55"/>
      <c r="AF7" s="55"/>
      <c r="AG7" s="55"/>
    </row>
    <row r="8" spans="1:33" s="15" customFormat="1">
      <c r="A8" s="13">
        <f t="shared" si="1"/>
        <v>3</v>
      </c>
      <c r="B8" s="13">
        <v>1192</v>
      </c>
      <c r="C8" s="13" t="s">
        <v>152</v>
      </c>
      <c r="D8" s="14">
        <f>835000+250000</f>
        <v>1085000</v>
      </c>
      <c r="E8" s="14">
        <v>835000</v>
      </c>
      <c r="F8" s="14">
        <f t="shared" si="0"/>
        <v>250000</v>
      </c>
      <c r="G8" s="14">
        <v>485000</v>
      </c>
      <c r="H8" s="14">
        <v>405559.85</v>
      </c>
      <c r="I8" s="14"/>
      <c r="J8" s="14"/>
      <c r="K8" s="14">
        <f t="shared" si="2"/>
        <v>0</v>
      </c>
      <c r="L8" s="14">
        <f t="shared" si="3"/>
        <v>405559.85</v>
      </c>
      <c r="M8" s="14">
        <f t="shared" si="4"/>
        <v>79440.150000000023</v>
      </c>
      <c r="N8" s="14">
        <f>300000-300000</f>
        <v>0</v>
      </c>
      <c r="O8" s="14">
        <f t="shared" si="5"/>
        <v>600000</v>
      </c>
      <c r="P8" s="14">
        <f t="shared" si="6"/>
        <v>79440.150000000023</v>
      </c>
      <c r="Q8" s="14"/>
      <c r="R8" s="14"/>
      <c r="S8" s="14">
        <f t="shared" si="7"/>
        <v>0</v>
      </c>
      <c r="T8" s="14">
        <f t="shared" si="8"/>
        <v>0</v>
      </c>
      <c r="U8" s="14">
        <f t="shared" si="9"/>
        <v>0</v>
      </c>
      <c r="V8" s="14">
        <f>U8-W8-Z8</f>
        <v>0</v>
      </c>
      <c r="W8" s="14"/>
      <c r="X8" s="14"/>
      <c r="Y8" s="14"/>
      <c r="Z8" s="14"/>
      <c r="AA8" s="101">
        <v>810000</v>
      </c>
      <c r="AB8" s="57"/>
      <c r="AC8" s="55"/>
      <c r="AD8" s="55"/>
      <c r="AE8" s="55"/>
      <c r="AF8" s="55"/>
      <c r="AG8" s="55"/>
    </row>
    <row r="9" spans="1:33" s="15" customFormat="1" ht="30">
      <c r="A9" s="13">
        <f t="shared" si="1"/>
        <v>4</v>
      </c>
      <c r="B9" s="13">
        <v>1254</v>
      </c>
      <c r="C9" s="13" t="s">
        <v>1013</v>
      </c>
      <c r="D9" s="14">
        <v>37000000</v>
      </c>
      <c r="E9" s="14">
        <v>35440000</v>
      </c>
      <c r="F9" s="14">
        <f t="shared" si="0"/>
        <v>1560000</v>
      </c>
      <c r="G9" s="14">
        <v>29490000</v>
      </c>
      <c r="H9" s="14">
        <v>27379815.690000001</v>
      </c>
      <c r="I9" s="14"/>
      <c r="J9" s="14">
        <v>1860802.72</v>
      </c>
      <c r="K9" s="14">
        <f t="shared" si="2"/>
        <v>1860802.72</v>
      </c>
      <c r="L9" s="14">
        <f t="shared" si="3"/>
        <v>29240618.41</v>
      </c>
      <c r="M9" s="14">
        <f t="shared" si="4"/>
        <v>249381.58999999985</v>
      </c>
      <c r="N9" s="14">
        <f>2500000-200000+200000</f>
        <v>2500000</v>
      </c>
      <c r="O9" s="14">
        <f t="shared" si="5"/>
        <v>5010000</v>
      </c>
      <c r="P9" s="14">
        <f t="shared" si="6"/>
        <v>249381.58999999985</v>
      </c>
      <c r="Q9" s="14"/>
      <c r="R9" s="14"/>
      <c r="S9" s="14">
        <f t="shared" si="7"/>
        <v>0</v>
      </c>
      <c r="T9" s="14">
        <f t="shared" si="8"/>
        <v>0</v>
      </c>
      <c r="U9" s="14">
        <f t="shared" si="9"/>
        <v>2500000</v>
      </c>
      <c r="V9" s="14">
        <f>U9-W9-Z9</f>
        <v>2500000</v>
      </c>
      <c r="W9" s="14"/>
      <c r="X9" s="14"/>
      <c r="Y9" s="14"/>
      <c r="Z9" s="14"/>
      <c r="AA9" s="101">
        <v>746000</v>
      </c>
      <c r="AB9" s="57"/>
      <c r="AC9" s="55"/>
      <c r="AD9" s="55"/>
      <c r="AE9" s="55"/>
      <c r="AF9" s="55"/>
      <c r="AG9" s="55"/>
    </row>
    <row r="10" spans="1:33" s="15" customFormat="1">
      <c r="A10" s="13">
        <f t="shared" si="1"/>
        <v>5</v>
      </c>
      <c r="B10" s="13">
        <v>1292</v>
      </c>
      <c r="C10" s="13" t="s">
        <v>153</v>
      </c>
      <c r="D10" s="14">
        <f>2480000-300000</f>
        <v>2180000</v>
      </c>
      <c r="E10" s="14">
        <v>2180000</v>
      </c>
      <c r="F10" s="14">
        <f t="shared" si="0"/>
        <v>0</v>
      </c>
      <c r="G10" s="14">
        <v>2180000</v>
      </c>
      <c r="H10" s="14">
        <v>2175474.5099999998</v>
      </c>
      <c r="I10" s="14"/>
      <c r="J10" s="14">
        <v>3673.04</v>
      </c>
      <c r="K10" s="14">
        <f t="shared" si="2"/>
        <v>3673.04</v>
      </c>
      <c r="L10" s="14">
        <f t="shared" si="3"/>
        <v>2179147.5499999998</v>
      </c>
      <c r="M10" s="14">
        <f t="shared" si="4"/>
        <v>852.45000000018626</v>
      </c>
      <c r="N10" s="14"/>
      <c r="O10" s="14">
        <f t="shared" si="5"/>
        <v>0</v>
      </c>
      <c r="P10" s="14">
        <f t="shared" si="6"/>
        <v>852.45000000018626</v>
      </c>
      <c r="Q10" s="14"/>
      <c r="R10" s="14"/>
      <c r="S10" s="14">
        <f t="shared" si="7"/>
        <v>0</v>
      </c>
      <c r="T10" s="14">
        <f t="shared" si="8"/>
        <v>0</v>
      </c>
      <c r="U10" s="14">
        <f t="shared" si="9"/>
        <v>0</v>
      </c>
      <c r="V10" s="14"/>
      <c r="W10" s="14">
        <f>U10-V10-Y10-Z10</f>
        <v>0</v>
      </c>
      <c r="X10" s="14"/>
      <c r="Y10" s="14"/>
      <c r="Z10" s="14"/>
      <c r="AA10" s="101">
        <v>746400</v>
      </c>
      <c r="AB10" s="57"/>
      <c r="AC10" s="55"/>
      <c r="AD10" s="55"/>
      <c r="AE10" s="55"/>
      <c r="AF10" s="55"/>
      <c r="AG10" s="55"/>
    </row>
    <row r="11" spans="1:33" s="15" customFormat="1">
      <c r="A11" s="13">
        <f t="shared" si="1"/>
        <v>6</v>
      </c>
      <c r="B11" s="13">
        <v>1341</v>
      </c>
      <c r="C11" s="13" t="s">
        <v>154</v>
      </c>
      <c r="D11" s="14">
        <v>550000</v>
      </c>
      <c r="E11" s="14">
        <v>550000</v>
      </c>
      <c r="F11" s="14">
        <f t="shared" si="0"/>
        <v>0</v>
      </c>
      <c r="G11" s="14">
        <v>550000</v>
      </c>
      <c r="H11" s="14">
        <v>461176.73</v>
      </c>
      <c r="I11" s="14"/>
      <c r="J11" s="14">
        <v>5769.07</v>
      </c>
      <c r="K11" s="14">
        <f t="shared" si="2"/>
        <v>5769.07</v>
      </c>
      <c r="L11" s="14">
        <f t="shared" si="3"/>
        <v>466945.8</v>
      </c>
      <c r="M11" s="14">
        <f t="shared" si="4"/>
        <v>83054.200000000012</v>
      </c>
      <c r="N11" s="14"/>
      <c r="O11" s="14">
        <f t="shared" si="5"/>
        <v>0</v>
      </c>
      <c r="P11" s="14">
        <f t="shared" si="6"/>
        <v>83054.200000000012</v>
      </c>
      <c r="Q11" s="14"/>
      <c r="R11" s="14"/>
      <c r="S11" s="14">
        <f t="shared" si="7"/>
        <v>0</v>
      </c>
      <c r="T11" s="14">
        <f t="shared" si="8"/>
        <v>0</v>
      </c>
      <c r="U11" s="14">
        <f t="shared" si="9"/>
        <v>0</v>
      </c>
      <c r="V11" s="14"/>
      <c r="W11" s="14">
        <f>U11-V11-Y11-Z11</f>
        <v>0</v>
      </c>
      <c r="X11" s="14"/>
      <c r="Y11" s="14"/>
      <c r="Z11" s="14"/>
      <c r="AA11" s="101">
        <v>746000</v>
      </c>
      <c r="AB11" s="57"/>
      <c r="AC11" s="55"/>
      <c r="AD11" s="55"/>
      <c r="AE11" s="55"/>
      <c r="AF11" s="55"/>
      <c r="AG11" s="55"/>
    </row>
    <row r="12" spans="1:33" s="15" customFormat="1">
      <c r="A12" s="13">
        <f t="shared" si="1"/>
        <v>7</v>
      </c>
      <c r="B12" s="13">
        <v>1342</v>
      </c>
      <c r="C12" s="13" t="s">
        <v>155</v>
      </c>
      <c r="D12" s="14">
        <v>4000000</v>
      </c>
      <c r="E12" s="14">
        <v>3050000</v>
      </c>
      <c r="F12" s="14">
        <f t="shared" si="0"/>
        <v>950000</v>
      </c>
      <c r="G12" s="14">
        <v>2450000</v>
      </c>
      <c r="H12" s="14">
        <v>1845306.18</v>
      </c>
      <c r="I12" s="14"/>
      <c r="J12" s="14">
        <v>524344.86</v>
      </c>
      <c r="K12" s="14">
        <f t="shared" si="2"/>
        <v>524344.86</v>
      </c>
      <c r="L12" s="14">
        <f t="shared" si="3"/>
        <v>2369651.04</v>
      </c>
      <c r="M12" s="14">
        <f t="shared" si="4"/>
        <v>80348.959999999963</v>
      </c>
      <c r="N12" s="14">
        <v>500000</v>
      </c>
      <c r="O12" s="14">
        <f t="shared" si="5"/>
        <v>1050000</v>
      </c>
      <c r="P12" s="14">
        <f t="shared" si="6"/>
        <v>80348.959999999963</v>
      </c>
      <c r="Q12" s="14"/>
      <c r="R12" s="14"/>
      <c r="S12" s="14">
        <f t="shared" si="7"/>
        <v>0</v>
      </c>
      <c r="T12" s="14">
        <f t="shared" si="8"/>
        <v>0</v>
      </c>
      <c r="U12" s="14">
        <f t="shared" si="9"/>
        <v>500000</v>
      </c>
      <c r="V12" s="14">
        <f>U12*0.7+50000</f>
        <v>400000</v>
      </c>
      <c r="W12" s="14">
        <f>U12-V12-Y12-Z12</f>
        <v>100000</v>
      </c>
      <c r="X12" s="14"/>
      <c r="Y12" s="14"/>
      <c r="Z12" s="14"/>
      <c r="AA12" s="101">
        <v>746000</v>
      </c>
      <c r="AB12" s="57"/>
      <c r="AC12" s="55"/>
      <c r="AD12" s="55"/>
      <c r="AE12" s="55"/>
      <c r="AF12" s="55"/>
      <c r="AG12" s="55"/>
    </row>
    <row r="13" spans="1:33" s="15" customFormat="1">
      <c r="A13" s="13">
        <f t="shared" si="1"/>
        <v>8</v>
      </c>
      <c r="B13" s="13">
        <v>1343</v>
      </c>
      <c r="C13" s="13" t="s">
        <v>156</v>
      </c>
      <c r="D13" s="14">
        <v>8320000</v>
      </c>
      <c r="E13" s="14">
        <v>8320000</v>
      </c>
      <c r="F13" s="14">
        <f t="shared" si="0"/>
        <v>0</v>
      </c>
      <c r="G13" s="14">
        <v>5120000</v>
      </c>
      <c r="H13" s="14">
        <v>3987302.49</v>
      </c>
      <c r="I13" s="14"/>
      <c r="J13" s="14">
        <v>893320.19</v>
      </c>
      <c r="K13" s="14">
        <f t="shared" si="2"/>
        <v>893320.19</v>
      </c>
      <c r="L13" s="14">
        <f t="shared" si="3"/>
        <v>4880622.68</v>
      </c>
      <c r="M13" s="14">
        <f t="shared" si="4"/>
        <v>239377.3200000003</v>
      </c>
      <c r="N13" s="14">
        <f>1000000-200000+200000-100000</f>
        <v>900000</v>
      </c>
      <c r="O13" s="14">
        <f t="shared" si="5"/>
        <v>2300000</v>
      </c>
      <c r="P13" s="14">
        <f t="shared" si="6"/>
        <v>239377.3200000003</v>
      </c>
      <c r="Q13" s="14"/>
      <c r="R13" s="14"/>
      <c r="S13" s="14">
        <f t="shared" si="7"/>
        <v>0</v>
      </c>
      <c r="T13" s="14">
        <f t="shared" si="8"/>
        <v>0</v>
      </c>
      <c r="U13" s="14">
        <f t="shared" si="9"/>
        <v>900000</v>
      </c>
      <c r="V13" s="14">
        <f>U13-W13-Z13</f>
        <v>900000</v>
      </c>
      <c r="W13" s="14"/>
      <c r="X13" s="14"/>
      <c r="Y13" s="14"/>
      <c r="Z13" s="14"/>
      <c r="AA13" s="101">
        <v>746000</v>
      </c>
      <c r="AB13" s="57"/>
      <c r="AC13" s="55"/>
      <c r="AD13" s="55"/>
      <c r="AE13" s="55"/>
      <c r="AF13" s="55"/>
      <c r="AG13" s="55"/>
    </row>
    <row r="14" spans="1:33" s="15" customFormat="1">
      <c r="A14" s="13">
        <f t="shared" si="1"/>
        <v>9</v>
      </c>
      <c r="B14" s="13">
        <v>1435</v>
      </c>
      <c r="C14" s="13" t="s">
        <v>318</v>
      </c>
      <c r="D14" s="14">
        <v>26300000</v>
      </c>
      <c r="E14" s="14">
        <v>19800000</v>
      </c>
      <c r="F14" s="14">
        <f t="shared" si="0"/>
        <v>6500000</v>
      </c>
      <c r="G14" s="14">
        <v>18774320</v>
      </c>
      <c r="H14" s="14">
        <v>15924296.5</v>
      </c>
      <c r="I14" s="14"/>
      <c r="J14" s="14">
        <v>2445844.85</v>
      </c>
      <c r="K14" s="14">
        <f t="shared" si="2"/>
        <v>2445844.85</v>
      </c>
      <c r="L14" s="14">
        <f t="shared" si="3"/>
        <v>18370141.350000001</v>
      </c>
      <c r="M14" s="14">
        <f t="shared" si="4"/>
        <v>404178.64999999851</v>
      </c>
      <c r="N14" s="14">
        <f>3500000-200000+200000</f>
        <v>3500000</v>
      </c>
      <c r="O14" s="14">
        <f t="shared" si="5"/>
        <v>4025680</v>
      </c>
      <c r="P14" s="14">
        <f t="shared" si="6"/>
        <v>404178.64999999851</v>
      </c>
      <c r="Q14" s="14"/>
      <c r="R14" s="14"/>
      <c r="S14" s="14">
        <f t="shared" si="7"/>
        <v>0</v>
      </c>
      <c r="T14" s="14">
        <f t="shared" si="8"/>
        <v>0</v>
      </c>
      <c r="U14" s="14">
        <f t="shared" si="9"/>
        <v>3500000</v>
      </c>
      <c r="V14" s="14">
        <v>1000000</v>
      </c>
      <c r="W14" s="14">
        <f>U14-V14-Y14-Z14</f>
        <v>2500000</v>
      </c>
      <c r="X14" s="14"/>
      <c r="Y14" s="14"/>
      <c r="Z14" s="14"/>
      <c r="AA14" s="101">
        <v>848500</v>
      </c>
      <c r="AB14" s="57"/>
      <c r="AC14" s="55"/>
      <c r="AD14" s="55"/>
      <c r="AE14" s="55"/>
      <c r="AF14" s="55"/>
      <c r="AG14" s="55"/>
    </row>
    <row r="15" spans="1:33" s="15" customFormat="1">
      <c r="A15" s="13">
        <f t="shared" si="1"/>
        <v>10</v>
      </c>
      <c r="B15" s="13">
        <v>1491</v>
      </c>
      <c r="C15" s="13" t="s">
        <v>157</v>
      </c>
      <c r="D15" s="14">
        <v>13700000</v>
      </c>
      <c r="E15" s="14">
        <v>13700000</v>
      </c>
      <c r="F15" s="14">
        <f t="shared" si="0"/>
        <v>0</v>
      </c>
      <c r="G15" s="14">
        <v>5670000</v>
      </c>
      <c r="H15" s="14">
        <v>4372387.8</v>
      </c>
      <c r="I15" s="14"/>
      <c r="J15" s="14">
        <v>1041761.21</v>
      </c>
      <c r="K15" s="14">
        <f t="shared" si="2"/>
        <v>1041761.21</v>
      </c>
      <c r="L15" s="14">
        <f t="shared" si="3"/>
        <v>5414149.0099999998</v>
      </c>
      <c r="M15" s="14">
        <f t="shared" si="4"/>
        <v>255850.99000000022</v>
      </c>
      <c r="N15" s="14">
        <f>1200000-200000+200000</f>
        <v>1200000</v>
      </c>
      <c r="O15" s="14">
        <f t="shared" si="5"/>
        <v>6830000</v>
      </c>
      <c r="P15" s="14">
        <f t="shared" si="6"/>
        <v>255850.99000000022</v>
      </c>
      <c r="Q15" s="14"/>
      <c r="R15" s="14"/>
      <c r="S15" s="14">
        <f t="shared" si="7"/>
        <v>0</v>
      </c>
      <c r="T15" s="14">
        <f t="shared" si="8"/>
        <v>0</v>
      </c>
      <c r="U15" s="14">
        <f t="shared" si="9"/>
        <v>1200000</v>
      </c>
      <c r="V15" s="14">
        <f>U15-W15-Z15</f>
        <v>1200000</v>
      </c>
      <c r="W15" s="14"/>
      <c r="X15" s="14"/>
      <c r="Y15" s="14"/>
      <c r="Z15" s="14"/>
      <c r="AA15" s="101">
        <v>746000</v>
      </c>
      <c r="AB15" s="57"/>
      <c r="AC15" s="55"/>
      <c r="AD15" s="55"/>
      <c r="AE15" s="55"/>
      <c r="AF15" s="55"/>
      <c r="AG15" s="55"/>
    </row>
    <row r="16" spans="1:33" s="15" customFormat="1">
      <c r="A16" s="13">
        <f t="shared" si="1"/>
        <v>11</v>
      </c>
      <c r="B16" s="13">
        <v>1504</v>
      </c>
      <c r="C16" s="13" t="s">
        <v>158</v>
      </c>
      <c r="D16" s="14">
        <v>1700000</v>
      </c>
      <c r="E16" s="14">
        <v>1700000</v>
      </c>
      <c r="F16" s="14">
        <f t="shared" si="0"/>
        <v>0</v>
      </c>
      <c r="G16" s="14">
        <v>1300000</v>
      </c>
      <c r="H16" s="14">
        <v>1249990.76</v>
      </c>
      <c r="I16" s="14"/>
      <c r="J16" s="14">
        <v>30945.3</v>
      </c>
      <c r="K16" s="14">
        <f t="shared" si="2"/>
        <v>30945.3</v>
      </c>
      <c r="L16" s="14">
        <f t="shared" si="3"/>
        <v>1280936.06</v>
      </c>
      <c r="M16" s="14">
        <f t="shared" si="4"/>
        <v>19063.939999999944</v>
      </c>
      <c r="N16" s="14">
        <v>100000</v>
      </c>
      <c r="O16" s="14">
        <f t="shared" si="5"/>
        <v>300000</v>
      </c>
      <c r="P16" s="14">
        <f t="shared" si="6"/>
        <v>19063.939999999944</v>
      </c>
      <c r="Q16" s="14"/>
      <c r="R16" s="14"/>
      <c r="S16" s="14">
        <f t="shared" si="7"/>
        <v>0</v>
      </c>
      <c r="T16" s="14">
        <f t="shared" si="8"/>
        <v>0</v>
      </c>
      <c r="U16" s="14">
        <f t="shared" si="9"/>
        <v>100000</v>
      </c>
      <c r="V16" s="14"/>
      <c r="W16" s="14">
        <f t="shared" ref="W16:W21" si="10">U16-V16-Y16-Z16</f>
        <v>100000</v>
      </c>
      <c r="X16" s="14"/>
      <c r="Y16" s="14"/>
      <c r="Z16" s="14"/>
      <c r="AA16" s="101">
        <v>746000</v>
      </c>
      <c r="AB16" s="57"/>
      <c r="AC16" s="55"/>
      <c r="AD16" s="55"/>
      <c r="AE16" s="55"/>
      <c r="AF16" s="55"/>
      <c r="AG16" s="55"/>
    </row>
    <row r="17" spans="1:33" s="15" customFormat="1">
      <c r="A17" s="13">
        <f t="shared" si="1"/>
        <v>12</v>
      </c>
      <c r="B17" s="13">
        <v>1564</v>
      </c>
      <c r="C17" s="13" t="s">
        <v>159</v>
      </c>
      <c r="D17" s="14">
        <v>350000</v>
      </c>
      <c r="E17" s="14">
        <v>350000</v>
      </c>
      <c r="F17" s="14">
        <f t="shared" si="0"/>
        <v>0</v>
      </c>
      <c r="G17" s="14">
        <v>350000</v>
      </c>
      <c r="H17" s="14">
        <v>346999.99</v>
      </c>
      <c r="I17" s="14"/>
      <c r="J17" s="14"/>
      <c r="K17" s="14">
        <f t="shared" si="2"/>
        <v>0</v>
      </c>
      <c r="L17" s="14">
        <f t="shared" si="3"/>
        <v>346999.99</v>
      </c>
      <c r="M17" s="14">
        <f t="shared" si="4"/>
        <v>3000.0100000000093</v>
      </c>
      <c r="N17" s="14"/>
      <c r="O17" s="14">
        <f t="shared" si="5"/>
        <v>0</v>
      </c>
      <c r="P17" s="14">
        <f t="shared" si="6"/>
        <v>3000.0100000000093</v>
      </c>
      <c r="Q17" s="14"/>
      <c r="R17" s="14"/>
      <c r="S17" s="14">
        <f t="shared" si="7"/>
        <v>0</v>
      </c>
      <c r="T17" s="14">
        <f t="shared" si="8"/>
        <v>0</v>
      </c>
      <c r="U17" s="14">
        <f t="shared" si="9"/>
        <v>0</v>
      </c>
      <c r="V17" s="14"/>
      <c r="W17" s="14">
        <f t="shared" si="10"/>
        <v>0</v>
      </c>
      <c r="X17" s="14"/>
      <c r="Y17" s="14"/>
      <c r="Z17" s="14"/>
      <c r="AA17" s="101">
        <v>930000</v>
      </c>
      <c r="AB17" s="57"/>
      <c r="AC17" s="55"/>
      <c r="AD17" s="55"/>
      <c r="AE17" s="57"/>
      <c r="AF17" s="57"/>
      <c r="AG17" s="57"/>
    </row>
    <row r="18" spans="1:33" s="15" customFormat="1">
      <c r="A18" s="13">
        <f t="shared" si="1"/>
        <v>13</v>
      </c>
      <c r="B18" s="13">
        <v>1629</v>
      </c>
      <c r="C18" s="13" t="s">
        <v>160</v>
      </c>
      <c r="D18" s="14">
        <v>1400000</v>
      </c>
      <c r="E18" s="14">
        <v>900000</v>
      </c>
      <c r="F18" s="14">
        <f t="shared" si="0"/>
        <v>500000</v>
      </c>
      <c r="G18" s="14">
        <v>350000</v>
      </c>
      <c r="H18" s="14">
        <v>230289.1</v>
      </c>
      <c r="I18" s="14"/>
      <c r="J18" s="14">
        <v>9832.2099999999991</v>
      </c>
      <c r="K18" s="14">
        <f t="shared" si="2"/>
        <v>9832.2099999999991</v>
      </c>
      <c r="L18" s="14">
        <f t="shared" si="3"/>
        <v>240121.31</v>
      </c>
      <c r="M18" s="14">
        <f t="shared" si="4"/>
        <v>109878.69</v>
      </c>
      <c r="N18" s="14">
        <v>100000</v>
      </c>
      <c r="O18" s="14">
        <f t="shared" si="5"/>
        <v>950000</v>
      </c>
      <c r="P18" s="14">
        <f t="shared" si="6"/>
        <v>109878.69</v>
      </c>
      <c r="Q18" s="14"/>
      <c r="R18" s="14"/>
      <c r="S18" s="14">
        <f t="shared" si="7"/>
        <v>0</v>
      </c>
      <c r="T18" s="14">
        <f t="shared" si="8"/>
        <v>0</v>
      </c>
      <c r="U18" s="14">
        <f t="shared" si="9"/>
        <v>100000</v>
      </c>
      <c r="V18" s="14"/>
      <c r="W18" s="14">
        <f t="shared" si="10"/>
        <v>100000</v>
      </c>
      <c r="X18" s="14"/>
      <c r="Y18" s="14"/>
      <c r="Z18" s="14"/>
      <c r="AA18" s="101">
        <v>746000</v>
      </c>
      <c r="AB18" s="57"/>
      <c r="AC18" s="55"/>
      <c r="AD18" s="55"/>
      <c r="AE18" s="57"/>
      <c r="AF18" s="57"/>
      <c r="AG18" s="57"/>
    </row>
    <row r="19" spans="1:33" s="15" customFormat="1">
      <c r="A19" s="13">
        <f t="shared" si="1"/>
        <v>14</v>
      </c>
      <c r="B19" s="13">
        <v>1680</v>
      </c>
      <c r="C19" s="13" t="s">
        <v>161</v>
      </c>
      <c r="D19" s="14">
        <v>950000</v>
      </c>
      <c r="E19" s="14">
        <v>950000</v>
      </c>
      <c r="F19" s="14">
        <f t="shared" si="0"/>
        <v>0</v>
      </c>
      <c r="G19" s="14">
        <v>300000</v>
      </c>
      <c r="H19" s="14">
        <v>56511</v>
      </c>
      <c r="I19" s="14"/>
      <c r="J19" s="14">
        <v>44986.5</v>
      </c>
      <c r="K19" s="14">
        <f t="shared" si="2"/>
        <v>44986.5</v>
      </c>
      <c r="L19" s="14">
        <f t="shared" si="3"/>
        <v>101497.5</v>
      </c>
      <c r="M19" s="14">
        <f t="shared" si="4"/>
        <v>198502.5</v>
      </c>
      <c r="N19" s="14">
        <f>400000-200000+200000</f>
        <v>400000</v>
      </c>
      <c r="O19" s="14">
        <f t="shared" si="5"/>
        <v>250000</v>
      </c>
      <c r="P19" s="14">
        <f t="shared" si="6"/>
        <v>198502.5</v>
      </c>
      <c r="Q19" s="14"/>
      <c r="R19" s="14"/>
      <c r="S19" s="14">
        <f t="shared" si="7"/>
        <v>0</v>
      </c>
      <c r="T19" s="14">
        <f t="shared" si="8"/>
        <v>0</v>
      </c>
      <c r="U19" s="14">
        <f t="shared" si="9"/>
        <v>400000</v>
      </c>
      <c r="V19" s="14"/>
      <c r="W19" s="14">
        <f t="shared" si="10"/>
        <v>400000</v>
      </c>
      <c r="X19" s="14"/>
      <c r="Y19" s="14"/>
      <c r="Z19" s="14"/>
      <c r="AA19" s="101">
        <v>746000</v>
      </c>
      <c r="AB19" s="57"/>
      <c r="AC19" s="55"/>
      <c r="AD19" s="55"/>
      <c r="AE19" s="57"/>
      <c r="AF19" s="57"/>
      <c r="AG19" s="57"/>
    </row>
    <row r="20" spans="1:33" s="15" customFormat="1">
      <c r="A20" s="13">
        <f t="shared" si="1"/>
        <v>15</v>
      </c>
      <c r="B20" s="13">
        <v>1861</v>
      </c>
      <c r="C20" s="13" t="s">
        <v>315</v>
      </c>
      <c r="D20" s="14">
        <v>270000</v>
      </c>
      <c r="E20" s="14">
        <v>270000</v>
      </c>
      <c r="F20" s="14">
        <f t="shared" si="0"/>
        <v>0</v>
      </c>
      <c r="G20" s="14">
        <v>270000</v>
      </c>
      <c r="H20" s="14">
        <v>0</v>
      </c>
      <c r="I20" s="14"/>
      <c r="J20" s="14">
        <v>120818.19</v>
      </c>
      <c r="K20" s="14">
        <f t="shared" si="2"/>
        <v>120818.19</v>
      </c>
      <c r="L20" s="14">
        <f t="shared" si="3"/>
        <v>120818.19</v>
      </c>
      <c r="M20" s="14">
        <f t="shared" si="4"/>
        <v>149181.81</v>
      </c>
      <c r="N20" s="14"/>
      <c r="O20" s="14">
        <f t="shared" si="5"/>
        <v>0</v>
      </c>
      <c r="P20" s="14">
        <f t="shared" si="6"/>
        <v>149181.81</v>
      </c>
      <c r="Q20" s="14"/>
      <c r="R20" s="14"/>
      <c r="S20" s="14">
        <f t="shared" si="7"/>
        <v>0</v>
      </c>
      <c r="T20" s="14">
        <f t="shared" si="8"/>
        <v>0</v>
      </c>
      <c r="U20" s="14">
        <f t="shared" si="9"/>
        <v>0</v>
      </c>
      <c r="V20" s="14"/>
      <c r="W20" s="14">
        <f t="shared" si="10"/>
        <v>0</v>
      </c>
      <c r="X20" s="14"/>
      <c r="Y20" s="14"/>
      <c r="Z20" s="14"/>
      <c r="AA20" s="101">
        <v>714000</v>
      </c>
      <c r="AB20" s="57"/>
      <c r="AC20" s="55"/>
      <c r="AD20" s="55"/>
      <c r="AE20" s="57"/>
      <c r="AF20" s="57"/>
      <c r="AG20" s="57"/>
    </row>
    <row r="21" spans="1:33" s="15" customFormat="1">
      <c r="A21" s="13">
        <f t="shared" si="1"/>
        <v>16</v>
      </c>
      <c r="B21" s="13">
        <v>1899</v>
      </c>
      <c r="C21" s="13" t="s">
        <v>367</v>
      </c>
      <c r="D21" s="14">
        <v>500000</v>
      </c>
      <c r="E21" s="14">
        <v>380000</v>
      </c>
      <c r="F21" s="14">
        <f t="shared" si="0"/>
        <v>120000</v>
      </c>
      <c r="G21" s="14">
        <v>170000</v>
      </c>
      <c r="H21" s="14">
        <v>62946</v>
      </c>
      <c r="I21" s="14"/>
      <c r="J21" s="14">
        <v>107037.45</v>
      </c>
      <c r="K21" s="14">
        <f t="shared" si="2"/>
        <v>107037.45</v>
      </c>
      <c r="L21" s="14">
        <f t="shared" si="3"/>
        <v>169983.45</v>
      </c>
      <c r="M21" s="14">
        <f t="shared" si="4"/>
        <v>16.549999999988358</v>
      </c>
      <c r="N21" s="14"/>
      <c r="O21" s="14">
        <f t="shared" si="5"/>
        <v>330000</v>
      </c>
      <c r="P21" s="14">
        <f t="shared" si="6"/>
        <v>16.549999999988358</v>
      </c>
      <c r="Q21" s="14"/>
      <c r="R21" s="14"/>
      <c r="S21" s="14">
        <f t="shared" si="7"/>
        <v>0</v>
      </c>
      <c r="T21" s="14">
        <f t="shared" si="8"/>
        <v>0</v>
      </c>
      <c r="U21" s="14">
        <f t="shared" si="9"/>
        <v>0</v>
      </c>
      <c r="V21" s="14"/>
      <c r="W21" s="14">
        <f t="shared" si="10"/>
        <v>0</v>
      </c>
      <c r="X21" s="14"/>
      <c r="Y21" s="14"/>
      <c r="Z21" s="14"/>
      <c r="AA21" s="101">
        <v>870000</v>
      </c>
      <c r="AB21" s="57"/>
      <c r="AC21" s="55"/>
      <c r="AD21" s="55"/>
      <c r="AE21" s="57"/>
      <c r="AF21" s="57"/>
      <c r="AG21" s="57"/>
    </row>
    <row r="22" spans="1:33" s="15" customFormat="1">
      <c r="A22" s="13">
        <f t="shared" si="1"/>
        <v>17</v>
      </c>
      <c r="B22" s="13">
        <v>1971</v>
      </c>
      <c r="C22" s="13" t="s">
        <v>368</v>
      </c>
      <c r="D22" s="14">
        <v>2500000</v>
      </c>
      <c r="E22" s="14">
        <v>2500000</v>
      </c>
      <c r="F22" s="14">
        <f t="shared" si="0"/>
        <v>0</v>
      </c>
      <c r="G22" s="14">
        <v>500000</v>
      </c>
      <c r="H22" s="14">
        <v>0</v>
      </c>
      <c r="I22" s="14"/>
      <c r="J22" s="14">
        <v>81900</v>
      </c>
      <c r="K22" s="14">
        <f t="shared" si="2"/>
        <v>81900</v>
      </c>
      <c r="L22" s="14">
        <f t="shared" si="3"/>
        <v>81900</v>
      </c>
      <c r="M22" s="14">
        <f t="shared" si="4"/>
        <v>418100</v>
      </c>
      <c r="N22" s="14">
        <f>2000000-2000000</f>
        <v>0</v>
      </c>
      <c r="O22" s="14">
        <f t="shared" si="5"/>
        <v>2000000</v>
      </c>
      <c r="P22" s="14">
        <f t="shared" si="6"/>
        <v>418100</v>
      </c>
      <c r="Q22" s="14"/>
      <c r="R22" s="14"/>
      <c r="S22" s="14">
        <f t="shared" si="7"/>
        <v>0</v>
      </c>
      <c r="T22" s="14">
        <f t="shared" si="8"/>
        <v>0</v>
      </c>
      <c r="U22" s="14">
        <f t="shared" si="9"/>
        <v>0</v>
      </c>
      <c r="V22" s="14">
        <f t="shared" ref="V22:V27" si="11">U22-W22-Z22</f>
        <v>0</v>
      </c>
      <c r="W22" s="14"/>
      <c r="X22" s="14"/>
      <c r="Y22" s="14"/>
      <c r="Z22" s="14"/>
      <c r="AA22" s="101">
        <v>746000</v>
      </c>
      <c r="AB22" s="57"/>
      <c r="AC22" s="55"/>
      <c r="AD22" s="55"/>
      <c r="AE22" s="57"/>
      <c r="AF22" s="57"/>
      <c r="AG22" s="57"/>
    </row>
    <row r="23" spans="1:33" s="15" customFormat="1">
      <c r="A23" s="13">
        <f t="shared" si="1"/>
        <v>18</v>
      </c>
      <c r="B23" s="13">
        <v>1972</v>
      </c>
      <c r="C23" s="13" t="s">
        <v>369</v>
      </c>
      <c r="D23" s="14">
        <v>4470000</v>
      </c>
      <c r="E23" s="14">
        <v>4470000</v>
      </c>
      <c r="F23" s="14">
        <f t="shared" si="0"/>
        <v>0</v>
      </c>
      <c r="G23" s="14">
        <v>650000</v>
      </c>
      <c r="H23" s="14">
        <v>0</v>
      </c>
      <c r="I23" s="14"/>
      <c r="J23" s="14">
        <v>149877</v>
      </c>
      <c r="K23" s="14">
        <f t="shared" si="2"/>
        <v>149877</v>
      </c>
      <c r="L23" s="14">
        <f t="shared" si="3"/>
        <v>149877</v>
      </c>
      <c r="M23" s="14">
        <f t="shared" si="4"/>
        <v>500123</v>
      </c>
      <c r="N23" s="14">
        <f>3820000-1820000</f>
        <v>2000000</v>
      </c>
      <c r="O23" s="14">
        <f t="shared" si="5"/>
        <v>1820000</v>
      </c>
      <c r="P23" s="14">
        <f t="shared" si="6"/>
        <v>500123</v>
      </c>
      <c r="Q23" s="14"/>
      <c r="R23" s="14"/>
      <c r="S23" s="14">
        <f t="shared" si="7"/>
        <v>0</v>
      </c>
      <c r="T23" s="14">
        <f t="shared" si="8"/>
        <v>0</v>
      </c>
      <c r="U23" s="14">
        <f t="shared" si="9"/>
        <v>2000000</v>
      </c>
      <c r="V23" s="14">
        <f t="shared" si="11"/>
        <v>2000000</v>
      </c>
      <c r="W23" s="14"/>
      <c r="X23" s="14"/>
      <c r="Y23" s="14"/>
      <c r="Z23" s="14"/>
      <c r="AA23" s="101">
        <v>746000</v>
      </c>
      <c r="AB23" s="57"/>
      <c r="AC23" s="55"/>
      <c r="AD23" s="55"/>
      <c r="AE23" s="57"/>
      <c r="AF23" s="57"/>
      <c r="AG23" s="57"/>
    </row>
    <row r="24" spans="1:33" s="15" customFormat="1">
      <c r="A24" s="13">
        <f t="shared" si="1"/>
        <v>19</v>
      </c>
      <c r="B24" s="13">
        <v>1973</v>
      </c>
      <c r="C24" s="13" t="s">
        <v>370</v>
      </c>
      <c r="D24" s="14">
        <v>1800000</v>
      </c>
      <c r="E24" s="14">
        <v>1800000</v>
      </c>
      <c r="F24" s="14">
        <f t="shared" si="0"/>
        <v>0</v>
      </c>
      <c r="G24" s="14">
        <v>400000</v>
      </c>
      <c r="H24" s="14">
        <v>110838.29</v>
      </c>
      <c r="I24" s="14"/>
      <c r="J24" s="14">
        <v>207295.54</v>
      </c>
      <c r="K24" s="14">
        <f t="shared" si="2"/>
        <v>207295.54</v>
      </c>
      <c r="L24" s="14">
        <f t="shared" si="3"/>
        <v>318133.83</v>
      </c>
      <c r="M24" s="14">
        <f t="shared" si="4"/>
        <v>281866.17</v>
      </c>
      <c r="N24" s="14">
        <f>600000-100000</f>
        <v>500000</v>
      </c>
      <c r="O24" s="14">
        <f t="shared" si="5"/>
        <v>700000</v>
      </c>
      <c r="P24" s="14">
        <f t="shared" si="6"/>
        <v>81866.169999999984</v>
      </c>
      <c r="Q24" s="14">
        <v>200000</v>
      </c>
      <c r="R24" s="14"/>
      <c r="S24" s="14">
        <f t="shared" si="7"/>
        <v>200000</v>
      </c>
      <c r="T24" s="14">
        <f t="shared" si="8"/>
        <v>0</v>
      </c>
      <c r="U24" s="14">
        <f t="shared" si="9"/>
        <v>500000</v>
      </c>
      <c r="V24" s="14"/>
      <c r="W24" s="14">
        <f>U24-V24-Y24-Z24</f>
        <v>500000</v>
      </c>
      <c r="X24" s="14"/>
      <c r="Y24" s="14"/>
      <c r="Z24" s="14"/>
      <c r="AA24" s="101">
        <v>742000</v>
      </c>
      <c r="AB24" s="57"/>
      <c r="AC24" s="55"/>
      <c r="AD24" s="55"/>
      <c r="AE24" s="57"/>
      <c r="AF24" s="57"/>
      <c r="AG24" s="57"/>
    </row>
    <row r="25" spans="1:33" s="15" customFormat="1">
      <c r="A25" s="13">
        <f t="shared" si="1"/>
        <v>20</v>
      </c>
      <c r="B25" s="13">
        <v>1974</v>
      </c>
      <c r="C25" s="13" t="s">
        <v>444</v>
      </c>
      <c r="D25" s="14">
        <v>500000</v>
      </c>
      <c r="E25" s="14">
        <v>500000</v>
      </c>
      <c r="F25" s="14">
        <f t="shared" si="0"/>
        <v>0</v>
      </c>
      <c r="G25" s="14">
        <v>200000</v>
      </c>
      <c r="H25" s="14">
        <v>0</v>
      </c>
      <c r="I25" s="14"/>
      <c r="J25" s="14">
        <v>16110.71</v>
      </c>
      <c r="K25" s="14">
        <f t="shared" si="2"/>
        <v>16110.71</v>
      </c>
      <c r="L25" s="14">
        <f t="shared" si="3"/>
        <v>16110.71</v>
      </c>
      <c r="M25" s="14">
        <f>P25+S25-100000</f>
        <v>83889.290000000008</v>
      </c>
      <c r="N25" s="14"/>
      <c r="O25" s="14">
        <f t="shared" si="5"/>
        <v>400000</v>
      </c>
      <c r="P25" s="14">
        <f t="shared" si="6"/>
        <v>183889.29</v>
      </c>
      <c r="Q25" s="14"/>
      <c r="R25" s="14"/>
      <c r="S25" s="14">
        <f t="shared" si="7"/>
        <v>0</v>
      </c>
      <c r="T25" s="14">
        <f t="shared" si="8"/>
        <v>100000</v>
      </c>
      <c r="U25" s="14">
        <f t="shared" si="9"/>
        <v>-100000</v>
      </c>
      <c r="V25" s="14">
        <f t="shared" si="11"/>
        <v>-100000</v>
      </c>
      <c r="W25" s="14"/>
      <c r="X25" s="14"/>
      <c r="Y25" s="14"/>
      <c r="Z25" s="14"/>
      <c r="AA25" s="101">
        <v>746000</v>
      </c>
      <c r="AB25" s="57"/>
      <c r="AC25" s="55"/>
      <c r="AD25" s="55"/>
      <c r="AE25" s="57"/>
      <c r="AF25" s="57"/>
      <c r="AG25" s="57"/>
    </row>
    <row r="26" spans="1:33" s="15" customFormat="1">
      <c r="A26" s="13">
        <f t="shared" si="1"/>
        <v>21</v>
      </c>
      <c r="B26" s="13">
        <v>1989</v>
      </c>
      <c r="C26" s="13" t="s">
        <v>445</v>
      </c>
      <c r="D26" s="14">
        <v>860000</v>
      </c>
      <c r="E26" s="14">
        <v>860000</v>
      </c>
      <c r="F26" s="14">
        <f t="shared" si="0"/>
        <v>0</v>
      </c>
      <c r="G26" s="14">
        <v>0</v>
      </c>
      <c r="H26" s="14">
        <v>0</v>
      </c>
      <c r="I26" s="14"/>
      <c r="J26" s="14"/>
      <c r="K26" s="14">
        <f t="shared" si="2"/>
        <v>0</v>
      </c>
      <c r="L26" s="14">
        <f t="shared" si="3"/>
        <v>0</v>
      </c>
      <c r="M26" s="14">
        <f t="shared" si="4"/>
        <v>0</v>
      </c>
      <c r="N26" s="14">
        <v>860000</v>
      </c>
      <c r="O26" s="14">
        <f t="shared" si="5"/>
        <v>0</v>
      </c>
      <c r="P26" s="14">
        <f t="shared" si="6"/>
        <v>0</v>
      </c>
      <c r="Q26" s="14"/>
      <c r="R26" s="14"/>
      <c r="S26" s="14">
        <f t="shared" si="7"/>
        <v>0</v>
      </c>
      <c r="T26" s="14">
        <f t="shared" si="8"/>
        <v>0</v>
      </c>
      <c r="U26" s="14">
        <f t="shared" si="9"/>
        <v>860000</v>
      </c>
      <c r="V26" s="14">
        <f t="shared" si="11"/>
        <v>660000</v>
      </c>
      <c r="W26" s="14"/>
      <c r="X26" s="14"/>
      <c r="Y26" s="14"/>
      <c r="Z26" s="14">
        <v>200000</v>
      </c>
      <c r="AA26" s="101">
        <v>746000</v>
      </c>
      <c r="AB26" s="57"/>
      <c r="AC26" s="55"/>
      <c r="AD26" s="55"/>
      <c r="AE26" s="57"/>
      <c r="AF26" s="57"/>
      <c r="AG26" s="57"/>
    </row>
    <row r="27" spans="1:33" s="15" customFormat="1">
      <c r="A27" s="13">
        <f t="shared" si="1"/>
        <v>22</v>
      </c>
      <c r="B27" s="13">
        <v>2006</v>
      </c>
      <c r="C27" s="13" t="s">
        <v>480</v>
      </c>
      <c r="D27" s="14">
        <f>950000+30000</f>
        <v>980000</v>
      </c>
      <c r="E27" s="14">
        <f>950000+30000</f>
        <v>980000</v>
      </c>
      <c r="F27" s="14">
        <f t="shared" ref="F27:F35" si="12">D27-E27</f>
        <v>0</v>
      </c>
      <c r="G27" s="14"/>
      <c r="H27" s="14"/>
      <c r="I27" s="14"/>
      <c r="J27" s="14"/>
      <c r="K27" s="14">
        <f>I27+J27</f>
        <v>0</v>
      </c>
      <c r="L27" s="14">
        <f>H27+K27</f>
        <v>0</v>
      </c>
      <c r="M27" s="14">
        <f>P27+S27</f>
        <v>980000</v>
      </c>
      <c r="N27" s="14"/>
      <c r="O27" s="14">
        <f>D27-L27-M27-N27</f>
        <v>0</v>
      </c>
      <c r="P27" s="14">
        <f>G27-L27</f>
        <v>0</v>
      </c>
      <c r="Q27" s="14"/>
      <c r="R27" s="14">
        <f>950000+30000</f>
        <v>980000</v>
      </c>
      <c r="S27" s="14">
        <f>SUM(Q27:R27)</f>
        <v>980000</v>
      </c>
      <c r="T27" s="14">
        <f>P27-M27+S27</f>
        <v>0</v>
      </c>
      <c r="U27" s="14">
        <f>N27-T27</f>
        <v>0</v>
      </c>
      <c r="V27" s="14">
        <f t="shared" si="11"/>
        <v>0</v>
      </c>
      <c r="W27" s="14"/>
      <c r="X27" s="14"/>
      <c r="Y27" s="14"/>
      <c r="Z27" s="14"/>
      <c r="AA27" s="101">
        <v>746000</v>
      </c>
      <c r="AB27" s="57"/>
      <c r="AC27" s="55"/>
      <c r="AD27" s="55"/>
      <c r="AE27" s="57"/>
      <c r="AF27" s="57"/>
      <c r="AG27" s="57"/>
    </row>
    <row r="28" spans="1:33" s="15" customFormat="1">
      <c r="A28" s="13">
        <f t="shared" si="1"/>
        <v>23</v>
      </c>
      <c r="B28" s="69">
        <v>2035</v>
      </c>
      <c r="C28" s="13" t="s">
        <v>481</v>
      </c>
      <c r="D28" s="14">
        <v>953000</v>
      </c>
      <c r="E28" s="14"/>
      <c r="F28" s="14">
        <f t="shared" si="12"/>
        <v>953000</v>
      </c>
      <c r="G28" s="14">
        <v>0</v>
      </c>
      <c r="H28" s="14">
        <v>0</v>
      </c>
      <c r="I28" s="14"/>
      <c r="J28" s="14"/>
      <c r="K28" s="14">
        <f t="shared" ref="K28:K35" si="13">I28+J28</f>
        <v>0</v>
      </c>
      <c r="L28" s="14">
        <f t="shared" ref="L28:L35" si="14">H28+K28</f>
        <v>0</v>
      </c>
      <c r="M28" s="14">
        <f t="shared" ref="M28:M35" si="15">P28+S28</f>
        <v>0</v>
      </c>
      <c r="N28" s="14">
        <v>953000</v>
      </c>
      <c r="O28" s="14">
        <f t="shared" ref="O28:O35" si="16">D28-L28-M28-N28</f>
        <v>0</v>
      </c>
      <c r="P28" s="14">
        <f t="shared" ref="P28:P35" si="17">G28-L28</f>
        <v>0</v>
      </c>
      <c r="Q28" s="14"/>
      <c r="R28" s="14"/>
      <c r="S28" s="14">
        <f t="shared" ref="S28:S35" si="18">SUM(Q28:R28)</f>
        <v>0</v>
      </c>
      <c r="T28" s="14">
        <f t="shared" ref="T28:T35" si="19">P28-M28+S28</f>
        <v>0</v>
      </c>
      <c r="U28" s="14">
        <f t="shared" ref="U28:U35" si="20">N28-T28</f>
        <v>953000</v>
      </c>
      <c r="V28" s="14">
        <f>U28-W28-Z28</f>
        <v>953000</v>
      </c>
      <c r="W28" s="14"/>
      <c r="X28" s="14"/>
      <c r="Y28" s="14"/>
      <c r="Z28" s="14"/>
      <c r="AA28" s="101">
        <v>746000</v>
      </c>
      <c r="AB28" s="57"/>
      <c r="AC28" s="57"/>
      <c r="AD28" s="55"/>
      <c r="AE28" s="57"/>
      <c r="AF28" s="57"/>
      <c r="AG28" s="57"/>
    </row>
    <row r="29" spans="1:33" s="15" customFormat="1">
      <c r="A29" s="13">
        <f t="shared" si="1"/>
        <v>24</v>
      </c>
      <c r="B29" s="69">
        <v>2036</v>
      </c>
      <c r="C29" s="13" t="s">
        <v>482</v>
      </c>
      <c r="D29" s="14">
        <v>950000</v>
      </c>
      <c r="E29" s="14"/>
      <c r="F29" s="14">
        <f t="shared" si="12"/>
        <v>950000</v>
      </c>
      <c r="G29" s="14">
        <v>0</v>
      </c>
      <c r="H29" s="14">
        <v>0</v>
      </c>
      <c r="I29" s="14"/>
      <c r="J29" s="14"/>
      <c r="K29" s="14">
        <f t="shared" si="13"/>
        <v>0</v>
      </c>
      <c r="L29" s="14">
        <f t="shared" si="14"/>
        <v>0</v>
      </c>
      <c r="M29" s="14">
        <f t="shared" si="15"/>
        <v>0</v>
      </c>
      <c r="N29" s="14">
        <f>950000-450000</f>
        <v>500000</v>
      </c>
      <c r="O29" s="14">
        <f t="shared" si="16"/>
        <v>450000</v>
      </c>
      <c r="P29" s="14">
        <f t="shared" si="17"/>
        <v>0</v>
      </c>
      <c r="Q29" s="14"/>
      <c r="R29" s="14"/>
      <c r="S29" s="14">
        <f t="shared" si="18"/>
        <v>0</v>
      </c>
      <c r="T29" s="14">
        <f t="shared" si="19"/>
        <v>0</v>
      </c>
      <c r="U29" s="14">
        <f t="shared" si="20"/>
        <v>500000</v>
      </c>
      <c r="V29" s="14">
        <f>U29-W29-Z29</f>
        <v>500000</v>
      </c>
      <c r="W29" s="14"/>
      <c r="X29" s="14"/>
      <c r="Y29" s="14"/>
      <c r="Z29" s="14"/>
      <c r="AA29" s="101">
        <v>810000</v>
      </c>
      <c r="AB29" s="57"/>
      <c r="AC29" s="57"/>
      <c r="AD29" s="55"/>
      <c r="AE29" s="57"/>
      <c r="AF29" s="57"/>
      <c r="AG29" s="57"/>
    </row>
    <row r="30" spans="1:33" s="15" customFormat="1">
      <c r="A30" s="13">
        <f t="shared" si="1"/>
        <v>25</v>
      </c>
      <c r="B30" s="69">
        <v>2037</v>
      </c>
      <c r="C30" s="13" t="s">
        <v>483</v>
      </c>
      <c r="D30" s="14">
        <v>5000000</v>
      </c>
      <c r="E30" s="14"/>
      <c r="F30" s="14">
        <f t="shared" si="12"/>
        <v>5000000</v>
      </c>
      <c r="G30" s="14">
        <v>0</v>
      </c>
      <c r="H30" s="14">
        <v>0</v>
      </c>
      <c r="I30" s="14"/>
      <c r="J30" s="14"/>
      <c r="K30" s="14">
        <f t="shared" si="13"/>
        <v>0</v>
      </c>
      <c r="L30" s="14">
        <f t="shared" si="14"/>
        <v>0</v>
      </c>
      <c r="M30" s="14">
        <f t="shared" si="15"/>
        <v>0</v>
      </c>
      <c r="N30" s="14">
        <f>2500000-1000000-500000</f>
        <v>1000000</v>
      </c>
      <c r="O30" s="14">
        <f t="shared" si="16"/>
        <v>4000000</v>
      </c>
      <c r="P30" s="14">
        <f t="shared" si="17"/>
        <v>0</v>
      </c>
      <c r="Q30" s="14"/>
      <c r="R30" s="14"/>
      <c r="S30" s="14">
        <f t="shared" si="18"/>
        <v>0</v>
      </c>
      <c r="T30" s="14">
        <f t="shared" si="19"/>
        <v>0</v>
      </c>
      <c r="U30" s="14">
        <f t="shared" si="20"/>
        <v>1000000</v>
      </c>
      <c r="V30" s="14">
        <f>2000000-1000000</f>
        <v>1000000</v>
      </c>
      <c r="W30" s="14">
        <f t="shared" ref="W30:W35" si="21">U30-V30-Y30-Z30</f>
        <v>0</v>
      </c>
      <c r="X30" s="14"/>
      <c r="Y30" s="14"/>
      <c r="Z30" s="14"/>
      <c r="AA30" s="101">
        <v>870000</v>
      </c>
      <c r="AB30" s="57"/>
      <c r="AC30" s="57"/>
      <c r="AD30" s="55"/>
      <c r="AE30" s="57"/>
      <c r="AF30" s="57"/>
      <c r="AG30" s="57"/>
    </row>
    <row r="31" spans="1:33" s="15" customFormat="1">
      <c r="A31" s="13">
        <f t="shared" si="1"/>
        <v>26</v>
      </c>
      <c r="B31" s="69">
        <v>2038</v>
      </c>
      <c r="C31" s="13" t="s">
        <v>484</v>
      </c>
      <c r="D31" s="14">
        <v>1500000</v>
      </c>
      <c r="E31" s="14"/>
      <c r="F31" s="14">
        <f t="shared" si="12"/>
        <v>1500000</v>
      </c>
      <c r="G31" s="14">
        <v>0</v>
      </c>
      <c r="H31" s="14">
        <v>0</v>
      </c>
      <c r="I31" s="14"/>
      <c r="J31" s="14"/>
      <c r="K31" s="14">
        <f t="shared" si="13"/>
        <v>0</v>
      </c>
      <c r="L31" s="14">
        <f t="shared" si="14"/>
        <v>0</v>
      </c>
      <c r="M31" s="14">
        <f t="shared" si="15"/>
        <v>0</v>
      </c>
      <c r="N31" s="14">
        <v>1500000</v>
      </c>
      <c r="O31" s="14">
        <f t="shared" si="16"/>
        <v>0</v>
      </c>
      <c r="P31" s="14">
        <f t="shared" si="17"/>
        <v>0</v>
      </c>
      <c r="Q31" s="14"/>
      <c r="R31" s="14"/>
      <c r="S31" s="14">
        <f t="shared" si="18"/>
        <v>0</v>
      </c>
      <c r="T31" s="14">
        <f t="shared" si="19"/>
        <v>0</v>
      </c>
      <c r="U31" s="14">
        <f t="shared" si="20"/>
        <v>1500000</v>
      </c>
      <c r="V31" s="14">
        <f>1000000+500000</f>
        <v>1500000</v>
      </c>
      <c r="W31" s="14">
        <f t="shared" si="21"/>
        <v>0</v>
      </c>
      <c r="X31" s="14"/>
      <c r="Y31" s="14"/>
      <c r="Z31" s="14"/>
      <c r="AA31" s="101">
        <v>810000</v>
      </c>
      <c r="AB31" s="57"/>
      <c r="AC31" s="57"/>
      <c r="AD31" s="55"/>
      <c r="AE31" s="57"/>
      <c r="AF31" s="57"/>
      <c r="AG31" s="57"/>
    </row>
    <row r="32" spans="1:33" s="15" customFormat="1">
      <c r="A32" s="13">
        <f t="shared" si="1"/>
        <v>27</v>
      </c>
      <c r="B32" s="69">
        <v>2039</v>
      </c>
      <c r="C32" s="13" t="s">
        <v>485</v>
      </c>
      <c r="D32" s="14">
        <v>285000</v>
      </c>
      <c r="E32" s="14"/>
      <c r="F32" s="14">
        <f t="shared" si="12"/>
        <v>285000</v>
      </c>
      <c r="G32" s="14">
        <v>0</v>
      </c>
      <c r="H32" s="14">
        <v>0</v>
      </c>
      <c r="I32" s="14"/>
      <c r="J32" s="14"/>
      <c r="K32" s="14">
        <f t="shared" si="13"/>
        <v>0</v>
      </c>
      <c r="L32" s="14">
        <f t="shared" si="14"/>
        <v>0</v>
      </c>
      <c r="M32" s="14">
        <f t="shared" si="15"/>
        <v>0</v>
      </c>
      <c r="N32" s="14">
        <v>285000</v>
      </c>
      <c r="O32" s="14">
        <f t="shared" si="16"/>
        <v>0</v>
      </c>
      <c r="P32" s="14">
        <f t="shared" si="17"/>
        <v>0</v>
      </c>
      <c r="Q32" s="14"/>
      <c r="R32" s="14"/>
      <c r="S32" s="14">
        <f t="shared" si="18"/>
        <v>0</v>
      </c>
      <c r="T32" s="14">
        <f t="shared" si="19"/>
        <v>0</v>
      </c>
      <c r="U32" s="14">
        <f t="shared" si="20"/>
        <v>285000</v>
      </c>
      <c r="V32" s="14"/>
      <c r="W32" s="14">
        <f t="shared" si="21"/>
        <v>285000</v>
      </c>
      <c r="X32" s="14"/>
      <c r="Y32" s="14"/>
      <c r="Z32" s="14"/>
      <c r="AA32" s="101">
        <v>760000</v>
      </c>
      <c r="AB32" s="57"/>
      <c r="AC32" s="57"/>
      <c r="AD32" s="55"/>
      <c r="AE32" s="57"/>
      <c r="AF32" s="57"/>
      <c r="AG32" s="57"/>
    </row>
    <row r="33" spans="1:33" s="15" customFormat="1">
      <c r="A33" s="13">
        <f t="shared" si="1"/>
        <v>28</v>
      </c>
      <c r="B33" s="69">
        <v>2040</v>
      </c>
      <c r="C33" s="13" t="s">
        <v>486</v>
      </c>
      <c r="D33" s="14">
        <v>410000</v>
      </c>
      <c r="E33" s="14"/>
      <c r="F33" s="14">
        <f t="shared" si="12"/>
        <v>410000</v>
      </c>
      <c r="G33" s="14">
        <v>0</v>
      </c>
      <c r="H33" s="14">
        <v>0</v>
      </c>
      <c r="I33" s="14"/>
      <c r="J33" s="14"/>
      <c r="K33" s="14">
        <f t="shared" si="13"/>
        <v>0</v>
      </c>
      <c r="L33" s="14">
        <f t="shared" si="14"/>
        <v>0</v>
      </c>
      <c r="M33" s="14">
        <f t="shared" si="15"/>
        <v>0</v>
      </c>
      <c r="N33" s="14">
        <v>410000</v>
      </c>
      <c r="O33" s="14">
        <f t="shared" si="16"/>
        <v>0</v>
      </c>
      <c r="P33" s="14">
        <f t="shared" si="17"/>
        <v>0</v>
      </c>
      <c r="Q33" s="14"/>
      <c r="R33" s="14"/>
      <c r="S33" s="14">
        <f t="shared" si="18"/>
        <v>0</v>
      </c>
      <c r="T33" s="14">
        <f t="shared" si="19"/>
        <v>0</v>
      </c>
      <c r="U33" s="14">
        <f t="shared" si="20"/>
        <v>410000</v>
      </c>
      <c r="V33" s="14">
        <v>210000</v>
      </c>
      <c r="W33" s="14">
        <f t="shared" si="21"/>
        <v>200000</v>
      </c>
      <c r="X33" s="14"/>
      <c r="Y33" s="14"/>
      <c r="Z33" s="14"/>
      <c r="AA33" s="101">
        <v>829000</v>
      </c>
      <c r="AB33" s="57"/>
      <c r="AC33" s="57"/>
      <c r="AD33" s="55"/>
      <c r="AE33" s="57"/>
      <c r="AF33" s="57"/>
      <c r="AG33" s="57"/>
    </row>
    <row r="34" spans="1:33" s="15" customFormat="1">
      <c r="A34" s="13">
        <f t="shared" si="1"/>
        <v>29</v>
      </c>
      <c r="B34" s="69">
        <v>2041</v>
      </c>
      <c r="C34" s="13" t="s">
        <v>487</v>
      </c>
      <c r="D34" s="14">
        <v>650000</v>
      </c>
      <c r="E34" s="14"/>
      <c r="F34" s="14">
        <f t="shared" si="12"/>
        <v>650000</v>
      </c>
      <c r="G34" s="14">
        <v>0</v>
      </c>
      <c r="H34" s="14">
        <v>0</v>
      </c>
      <c r="I34" s="14"/>
      <c r="J34" s="14"/>
      <c r="K34" s="14">
        <f t="shared" si="13"/>
        <v>0</v>
      </c>
      <c r="L34" s="14">
        <f t="shared" si="14"/>
        <v>0</v>
      </c>
      <c r="M34" s="14">
        <f t="shared" si="15"/>
        <v>0</v>
      </c>
      <c r="N34" s="14">
        <v>650000</v>
      </c>
      <c r="O34" s="14">
        <f t="shared" si="16"/>
        <v>0</v>
      </c>
      <c r="P34" s="14">
        <f t="shared" si="17"/>
        <v>0</v>
      </c>
      <c r="Q34" s="14"/>
      <c r="R34" s="14"/>
      <c r="S34" s="14">
        <f t="shared" si="18"/>
        <v>0</v>
      </c>
      <c r="T34" s="14">
        <f t="shared" si="19"/>
        <v>0</v>
      </c>
      <c r="U34" s="14">
        <f t="shared" si="20"/>
        <v>650000</v>
      </c>
      <c r="V34" s="14">
        <v>650000</v>
      </c>
      <c r="W34" s="14">
        <f t="shared" si="21"/>
        <v>0</v>
      </c>
      <c r="X34" s="14"/>
      <c r="Y34" s="14"/>
      <c r="Z34" s="14"/>
      <c r="AA34" s="101">
        <v>810000</v>
      </c>
      <c r="AB34" s="57"/>
      <c r="AC34" s="57"/>
      <c r="AD34" s="55"/>
      <c r="AE34" s="57"/>
      <c r="AF34" s="57"/>
      <c r="AG34" s="57"/>
    </row>
    <row r="35" spans="1:33" s="15" customFormat="1" ht="30">
      <c r="A35" s="13">
        <f t="shared" si="1"/>
        <v>30</v>
      </c>
      <c r="B35" s="69">
        <v>2042</v>
      </c>
      <c r="C35" s="13" t="s">
        <v>1036</v>
      </c>
      <c r="D35" s="14">
        <v>740000</v>
      </c>
      <c r="E35" s="14"/>
      <c r="F35" s="14">
        <f t="shared" si="12"/>
        <v>740000</v>
      </c>
      <c r="G35" s="14">
        <v>0</v>
      </c>
      <c r="H35" s="14">
        <v>0</v>
      </c>
      <c r="I35" s="14"/>
      <c r="J35" s="14"/>
      <c r="K35" s="14">
        <f t="shared" si="13"/>
        <v>0</v>
      </c>
      <c r="L35" s="14">
        <f t="shared" si="14"/>
        <v>0</v>
      </c>
      <c r="M35" s="14">
        <f t="shared" si="15"/>
        <v>0</v>
      </c>
      <c r="N35" s="14">
        <v>740000</v>
      </c>
      <c r="O35" s="14">
        <f t="shared" si="16"/>
        <v>0</v>
      </c>
      <c r="P35" s="14">
        <f t="shared" si="17"/>
        <v>0</v>
      </c>
      <c r="Q35" s="14"/>
      <c r="R35" s="14"/>
      <c r="S35" s="14">
        <f t="shared" si="18"/>
        <v>0</v>
      </c>
      <c r="T35" s="14">
        <f t="shared" si="19"/>
        <v>0</v>
      </c>
      <c r="U35" s="14">
        <f t="shared" si="20"/>
        <v>740000</v>
      </c>
      <c r="V35" s="14">
        <v>600000</v>
      </c>
      <c r="W35" s="14">
        <f t="shared" si="21"/>
        <v>140000</v>
      </c>
      <c r="X35" s="14"/>
      <c r="Y35" s="14"/>
      <c r="Z35" s="14"/>
      <c r="AA35" s="101">
        <v>746000</v>
      </c>
      <c r="AB35" s="57"/>
      <c r="AC35" s="57"/>
      <c r="AD35" s="55"/>
      <c r="AE35" s="57"/>
      <c r="AF35" s="57"/>
      <c r="AG35" s="57"/>
    </row>
    <row r="36" spans="1:33" s="99" customFormat="1" ht="15.75">
      <c r="A36" s="85">
        <f>A35</f>
        <v>30</v>
      </c>
      <c r="B36" s="85"/>
      <c r="C36" s="85" t="s">
        <v>162</v>
      </c>
      <c r="D36" s="27">
        <f t="shared" ref="D36:Z36" si="22">SUM(D6:D35)</f>
        <v>146818000</v>
      </c>
      <c r="E36" s="27">
        <f t="shared" si="22"/>
        <v>123300000</v>
      </c>
      <c r="F36" s="27">
        <f t="shared" si="22"/>
        <v>23518000</v>
      </c>
      <c r="G36" s="27">
        <f t="shared" si="22"/>
        <v>88374320</v>
      </c>
      <c r="H36" s="27">
        <f t="shared" si="22"/>
        <v>76008641.620000005</v>
      </c>
      <c r="I36" s="27">
        <f t="shared" si="22"/>
        <v>0</v>
      </c>
      <c r="J36" s="27">
        <f t="shared" si="22"/>
        <v>9152954.5499999989</v>
      </c>
      <c r="K36" s="27">
        <f t="shared" si="22"/>
        <v>9152954.5499999989</v>
      </c>
      <c r="L36" s="27">
        <f t="shared" si="22"/>
        <v>85161596.170000002</v>
      </c>
      <c r="M36" s="27">
        <f t="shared" si="22"/>
        <v>4292723.83</v>
      </c>
      <c r="N36" s="27">
        <f t="shared" si="22"/>
        <v>20598000</v>
      </c>
      <c r="O36" s="27">
        <f t="shared" si="22"/>
        <v>36765680</v>
      </c>
      <c r="P36" s="27">
        <f t="shared" si="22"/>
        <v>3212723.8299999996</v>
      </c>
      <c r="Q36" s="27">
        <f t="shared" si="22"/>
        <v>200000</v>
      </c>
      <c r="R36" s="27">
        <f t="shared" si="22"/>
        <v>980000</v>
      </c>
      <c r="S36" s="27">
        <f t="shared" si="22"/>
        <v>1180000</v>
      </c>
      <c r="T36" s="27">
        <f t="shared" si="22"/>
        <v>100000</v>
      </c>
      <c r="U36" s="27">
        <f t="shared" si="22"/>
        <v>20498000</v>
      </c>
      <c r="V36" s="27">
        <f t="shared" si="22"/>
        <v>15873000</v>
      </c>
      <c r="W36" s="27">
        <f t="shared" si="22"/>
        <v>4425000</v>
      </c>
      <c r="X36" s="27">
        <f t="shared" si="22"/>
        <v>0</v>
      </c>
      <c r="Y36" s="27">
        <f t="shared" si="22"/>
        <v>0</v>
      </c>
      <c r="Z36" s="27">
        <f t="shared" si="22"/>
        <v>200000</v>
      </c>
      <c r="AA36" s="98"/>
      <c r="AB36" s="692"/>
      <c r="AC36" s="63"/>
      <c r="AD36" s="62"/>
      <c r="AE36" s="62"/>
      <c r="AF36" s="62"/>
      <c r="AG36" s="62"/>
    </row>
    <row r="37" spans="1:33" s="16" customFormat="1">
      <c r="A37" s="19"/>
      <c r="B37" s="19"/>
      <c r="C37" s="19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4"/>
      <c r="AB37" s="57"/>
      <c r="AC37" s="58"/>
      <c r="AD37" s="58"/>
      <c r="AE37" s="58"/>
      <c r="AF37" s="58"/>
      <c r="AG37" s="58"/>
    </row>
    <row r="38" spans="1:33" s="106" customFormat="1" ht="15.75"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57"/>
      <c r="AC38" s="62"/>
      <c r="AD38" s="62"/>
      <c r="AE38" s="62"/>
      <c r="AF38" s="62"/>
      <c r="AG38" s="62"/>
    </row>
    <row r="39" spans="1:33" s="104" customFormat="1" ht="16.5" customHeight="1">
      <c r="D39" s="41"/>
      <c r="E39" s="41"/>
      <c r="F39" s="41"/>
      <c r="G39" s="41"/>
      <c r="H39" s="41"/>
      <c r="I39" s="41"/>
      <c r="J39" s="41"/>
      <c r="K39" s="41"/>
      <c r="L39" s="31"/>
      <c r="M39" s="31"/>
      <c r="N39" s="41"/>
      <c r="O39" s="41"/>
      <c r="P39" s="211"/>
      <c r="Q39" s="41"/>
      <c r="R39" s="41"/>
      <c r="S39" s="41"/>
      <c r="T39" s="41"/>
      <c r="U39" s="41"/>
      <c r="V39" s="41"/>
      <c r="W39" s="41"/>
      <c r="X39" s="41"/>
      <c r="Y39" s="41"/>
      <c r="Z39" s="41"/>
      <c r="AB39" s="57"/>
      <c r="AC39" s="108"/>
      <c r="AD39" s="108"/>
      <c r="AE39" s="108"/>
      <c r="AF39" s="108"/>
      <c r="AG39" s="108"/>
    </row>
    <row r="40" spans="1:33">
      <c r="AB40" s="57"/>
    </row>
    <row r="41" spans="1:33">
      <c r="U41" s="31"/>
      <c r="V41" s="105"/>
      <c r="W41" s="105"/>
      <c r="X41" s="105"/>
      <c r="Y41" s="105"/>
      <c r="Z41" s="212"/>
      <c r="AB41" s="57"/>
    </row>
    <row r="42" spans="1:33">
      <c r="U42" s="31"/>
      <c r="V42" s="105"/>
      <c r="W42" s="105"/>
      <c r="X42" s="105"/>
      <c r="Y42" s="105"/>
      <c r="Z42" s="212"/>
      <c r="AB42" s="57"/>
    </row>
    <row r="43" spans="1:33">
      <c r="U43" s="31"/>
      <c r="V43" s="105"/>
      <c r="W43" s="105"/>
      <c r="X43" s="105"/>
      <c r="Y43" s="105"/>
      <c r="Z43" s="212"/>
      <c r="AB43" s="57"/>
    </row>
    <row r="44" spans="1:33">
      <c r="U44" s="31"/>
      <c r="V44" s="105"/>
      <c r="W44" s="105"/>
      <c r="X44" s="105"/>
      <c r="Y44" s="105"/>
      <c r="Z44" s="212"/>
      <c r="AB44" s="57"/>
    </row>
    <row r="45" spans="1:33">
      <c r="U45" s="42"/>
      <c r="V45" s="105"/>
      <c r="W45" s="105"/>
      <c r="X45" s="105"/>
      <c r="Y45" s="105"/>
      <c r="Z45" s="212"/>
      <c r="AB45" s="57"/>
    </row>
    <row r="46" spans="1:33">
      <c r="A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AB46" s="57"/>
    </row>
    <row r="47" spans="1:33">
      <c r="A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U47" s="42"/>
      <c r="W47" s="105"/>
      <c r="Z47" s="212"/>
      <c r="AB47" s="57"/>
    </row>
    <row r="48" spans="1:33">
      <c r="A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U48" s="42"/>
      <c r="W48" s="105"/>
      <c r="Z48" s="212"/>
      <c r="AB48" s="57"/>
    </row>
    <row r="49" spans="1:28">
      <c r="A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O49" s="29"/>
      <c r="U49" s="42"/>
      <c r="W49" s="105"/>
      <c r="Z49" s="212"/>
      <c r="AB49" s="57"/>
    </row>
    <row r="50" spans="1:28">
      <c r="A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U50" s="42"/>
      <c r="W50" s="105"/>
      <c r="Z50" s="212"/>
      <c r="AB50" s="57"/>
    </row>
    <row r="51" spans="1:28">
      <c r="A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U51" s="42"/>
      <c r="W51" s="105"/>
      <c r="Z51" s="212"/>
      <c r="AB51" s="57"/>
    </row>
    <row r="52" spans="1:28">
      <c r="A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U52" s="42"/>
      <c r="W52" s="105"/>
      <c r="Z52" s="212"/>
      <c r="AB52" s="57"/>
    </row>
    <row r="53" spans="1:28">
      <c r="A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U53" s="42"/>
      <c r="W53" s="105"/>
      <c r="Z53" s="212"/>
      <c r="AB53" s="57"/>
    </row>
    <row r="54" spans="1:28">
      <c r="A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U54" s="42"/>
      <c r="W54" s="105"/>
      <c r="Z54" s="212"/>
      <c r="AB54" s="57"/>
    </row>
    <row r="55" spans="1:28">
      <c r="A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U55" s="42"/>
      <c r="W55" s="105"/>
      <c r="Z55" s="212"/>
    </row>
    <row r="56" spans="1:28">
      <c r="A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R56" s="29"/>
      <c r="S56" s="29"/>
    </row>
    <row r="57" spans="1:28">
      <c r="A57" s="29"/>
      <c r="D57" s="29"/>
      <c r="E57" s="29"/>
      <c r="F57" s="29"/>
      <c r="G57" s="29"/>
      <c r="H57" s="29"/>
      <c r="I57" s="29"/>
      <c r="J57" s="29"/>
      <c r="K57" s="29"/>
      <c r="L57" s="29"/>
      <c r="M57" s="29"/>
    </row>
    <row r="58" spans="1:28">
      <c r="A58" s="29"/>
      <c r="D58" s="29"/>
      <c r="E58" s="29"/>
      <c r="F58" s="29"/>
      <c r="G58" s="29"/>
      <c r="H58" s="29"/>
      <c r="I58" s="29"/>
      <c r="J58" s="29"/>
      <c r="K58" s="29"/>
      <c r="L58" s="29"/>
      <c r="M58" s="29"/>
    </row>
    <row r="61" spans="1:28">
      <c r="A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O61" s="31" t="s">
        <v>188</v>
      </c>
      <c r="R61" s="31" t="s">
        <v>188</v>
      </c>
      <c r="S61" s="31" t="s">
        <v>365</v>
      </c>
    </row>
    <row r="62" spans="1:28">
      <c r="A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O62" s="31" t="s">
        <v>364</v>
      </c>
      <c r="Q62" s="31">
        <v>25000</v>
      </c>
      <c r="R62" s="31">
        <v>160000</v>
      </c>
    </row>
    <row r="63" spans="1:28">
      <c r="A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R63" s="31" t="e">
        <f>#REF!</f>
        <v>#REF!</v>
      </c>
      <c r="S63" s="31" t="s">
        <v>373</v>
      </c>
    </row>
    <row r="64" spans="1:28">
      <c r="A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31" t="e">
        <f>SUM(R62:R63)</f>
        <v>#REF!</v>
      </c>
      <c r="S64" s="29"/>
      <c r="T64" s="29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78"/>
  <sheetViews>
    <sheetView showZeros="0" rightToLeft="1" zoomScaleNormal="100" workbookViewId="0">
      <pane xSplit="5" ySplit="5" topLeftCell="F48" activePane="bottomRight" state="frozen"/>
      <selection activeCell="E28" sqref="E28"/>
      <selection pane="topRight" activeCell="E28" sqref="E28"/>
      <selection pane="bottomLeft" activeCell="E28" sqref="E28"/>
      <selection pane="bottomRight" activeCell="U60" sqref="U6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hidden="1" customWidth="1"/>
    <col min="6" max="6" width="10.5703125" style="31" hidden="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0.5703125" style="31" customWidth="1"/>
    <col min="13" max="13" width="9" style="31" customWidth="1"/>
    <col min="14" max="14" width="10.42578125" style="31" customWidth="1"/>
    <col min="15" max="15" width="10.7109375" style="31" customWidth="1"/>
    <col min="16" max="17" width="11.140625" style="31" hidden="1" customWidth="1"/>
    <col min="18" max="18" width="9.7109375" style="31" hidden="1" customWidth="1"/>
    <col min="19" max="19" width="10.28515625" style="31" hidden="1" customWidth="1"/>
    <col min="20" max="20" width="8.42578125" style="31" hidden="1" customWidth="1"/>
    <col min="21" max="21" width="14.42578125" style="29" bestFit="1" customWidth="1"/>
    <col min="22" max="22" width="10.28515625" style="29" customWidth="1"/>
    <col min="23" max="23" width="9.85546875" style="29" customWidth="1"/>
    <col min="24" max="25" width="5.28515625" style="29" customWidth="1"/>
    <col min="26" max="26" width="8" style="31" customWidth="1"/>
    <col min="27" max="27" width="12.7109375" style="29" customWidth="1"/>
    <col min="28" max="28" width="11.7109375" style="55" customWidth="1"/>
    <col min="29" max="29" width="10.85546875" style="37" customWidth="1"/>
    <col min="30" max="30" width="34.7109375" style="37" customWidth="1"/>
    <col min="31" max="31" width="1.5703125" style="37" customWidth="1"/>
    <col min="32" max="33" width="9.140625" style="37" customWidth="1"/>
    <col min="34" max="16384" width="9.140625" style="29"/>
  </cols>
  <sheetData>
    <row r="2" spans="1:34" s="65" customFormat="1" ht="15" customHeight="1">
      <c r="A2" s="194" t="s">
        <v>479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B2" s="55"/>
      <c r="AC2" s="59"/>
      <c r="AD2" s="59"/>
      <c r="AE2" s="59"/>
      <c r="AF2" s="59"/>
      <c r="AG2" s="59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1" t="s">
        <v>184</v>
      </c>
      <c r="AA4" s="93" t="s">
        <v>16</v>
      </c>
      <c r="AB4" s="55"/>
    </row>
    <row r="5" spans="1:34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55"/>
      <c r="AC5" s="57"/>
      <c r="AD5" s="57"/>
      <c r="AE5" s="57"/>
      <c r="AF5" s="57"/>
      <c r="AG5" s="57"/>
    </row>
    <row r="6" spans="1:34" s="15" customFormat="1">
      <c r="A6" s="13">
        <f>A5+1</f>
        <v>1</v>
      </c>
      <c r="B6" s="13">
        <v>1861</v>
      </c>
      <c r="C6" s="13" t="s">
        <v>315</v>
      </c>
      <c r="D6" s="14">
        <f>'שאיפה '!D20</f>
        <v>270000</v>
      </c>
      <c r="E6" s="14">
        <f>'שאיפה '!E20</f>
        <v>270000</v>
      </c>
      <c r="F6" s="14">
        <f>'שאיפה '!F20</f>
        <v>0</v>
      </c>
      <c r="G6" s="14">
        <f>'שאיפה '!G20</f>
        <v>270000</v>
      </c>
      <c r="H6" s="14">
        <f>'שאיפה '!H20</f>
        <v>0</v>
      </c>
      <c r="I6" s="14">
        <f>'שאיפה '!I20</f>
        <v>0</v>
      </c>
      <c r="J6" s="14">
        <f>'שאיפה '!J20</f>
        <v>120818.19</v>
      </c>
      <c r="K6" s="14">
        <f>'שאיפה '!K20</f>
        <v>120818.19</v>
      </c>
      <c r="L6" s="14">
        <f>'שאיפה '!L20</f>
        <v>120818.19</v>
      </c>
      <c r="M6" s="14">
        <f>'שאיפה '!M20</f>
        <v>149181.81</v>
      </c>
      <c r="N6" s="14">
        <f>'שאיפה '!N20</f>
        <v>0</v>
      </c>
      <c r="O6" s="14">
        <f>'שאיפה '!O20</f>
        <v>0</v>
      </c>
      <c r="P6" s="14">
        <f>'שאיפה '!P20</f>
        <v>149181.81</v>
      </c>
      <c r="Q6" s="14">
        <f>'שאיפה '!Q20</f>
        <v>0</v>
      </c>
      <c r="R6" s="14">
        <f>'שאיפה '!R20</f>
        <v>0</v>
      </c>
      <c r="S6" s="14">
        <f>'שאיפה '!S20</f>
        <v>0</v>
      </c>
      <c r="T6" s="14">
        <f>'שאיפה '!T20</f>
        <v>0</v>
      </c>
      <c r="U6" s="14">
        <f>'שאיפה '!U20</f>
        <v>0</v>
      </c>
      <c r="V6" s="14">
        <f>'שאיפה '!V20</f>
        <v>0</v>
      </c>
      <c r="W6" s="14">
        <f>'שאיפה '!W20</f>
        <v>0</v>
      </c>
      <c r="X6" s="14">
        <f>'שאיפה '!X20</f>
        <v>0</v>
      </c>
      <c r="Y6" s="14">
        <f>'שאיפה '!Y20</f>
        <v>0</v>
      </c>
      <c r="Z6" s="14">
        <f>'שאיפה '!Z20</f>
        <v>0</v>
      </c>
      <c r="AA6" s="101">
        <f>'שאיפה '!AA20</f>
        <v>714000</v>
      </c>
      <c r="AB6" s="55"/>
      <c r="AC6" s="55"/>
      <c r="AD6" s="55"/>
      <c r="AE6" s="57"/>
      <c r="AF6" s="57"/>
      <c r="AG6" s="57"/>
    </row>
    <row r="7" spans="1:34" s="149" customFormat="1">
      <c r="A7" s="81"/>
      <c r="B7" s="81">
        <v>5</v>
      </c>
      <c r="C7" s="81" t="s">
        <v>1047</v>
      </c>
      <c r="D7" s="198">
        <f>SUM(D6)</f>
        <v>270000</v>
      </c>
      <c r="E7" s="198">
        <f t="shared" ref="E7:Z7" si="0">SUM(E6)</f>
        <v>270000</v>
      </c>
      <c r="F7" s="198">
        <f t="shared" si="0"/>
        <v>0</v>
      </c>
      <c r="G7" s="198">
        <f t="shared" si="0"/>
        <v>270000</v>
      </c>
      <c r="H7" s="198">
        <f t="shared" si="0"/>
        <v>0</v>
      </c>
      <c r="I7" s="198">
        <f t="shared" si="0"/>
        <v>0</v>
      </c>
      <c r="J7" s="198">
        <f t="shared" si="0"/>
        <v>120818.19</v>
      </c>
      <c r="K7" s="198">
        <f t="shared" si="0"/>
        <v>120818.19</v>
      </c>
      <c r="L7" s="198">
        <f t="shared" si="0"/>
        <v>120818.19</v>
      </c>
      <c r="M7" s="198">
        <f t="shared" si="0"/>
        <v>149181.81</v>
      </c>
      <c r="N7" s="198">
        <f t="shared" si="0"/>
        <v>0</v>
      </c>
      <c r="O7" s="198">
        <f t="shared" si="0"/>
        <v>0</v>
      </c>
      <c r="P7" s="198">
        <f t="shared" si="0"/>
        <v>149181.81</v>
      </c>
      <c r="Q7" s="198">
        <f t="shared" si="0"/>
        <v>0</v>
      </c>
      <c r="R7" s="198">
        <f t="shared" si="0"/>
        <v>0</v>
      </c>
      <c r="S7" s="198">
        <f t="shared" si="0"/>
        <v>0</v>
      </c>
      <c r="T7" s="198">
        <f t="shared" si="0"/>
        <v>0</v>
      </c>
      <c r="U7" s="198">
        <f t="shared" si="0"/>
        <v>0</v>
      </c>
      <c r="V7" s="198">
        <f t="shared" si="0"/>
        <v>0</v>
      </c>
      <c r="W7" s="198">
        <f t="shared" si="0"/>
        <v>0</v>
      </c>
      <c r="X7" s="198">
        <f t="shared" si="0"/>
        <v>0</v>
      </c>
      <c r="Y7" s="198">
        <f t="shared" si="0"/>
        <v>0</v>
      </c>
      <c r="Z7" s="198">
        <f t="shared" si="0"/>
        <v>0</v>
      </c>
      <c r="AA7" s="763"/>
      <c r="AB7" s="55"/>
      <c r="AC7" s="765"/>
      <c r="AD7" s="766"/>
      <c r="AE7" s="766"/>
      <c r="AF7" s="767"/>
      <c r="AG7" s="767"/>
      <c r="AH7" s="766"/>
    </row>
    <row r="8" spans="1:34" s="15" customFormat="1">
      <c r="A8" s="13"/>
      <c r="B8" s="13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01"/>
      <c r="AB8" s="55"/>
      <c r="AC8" s="55"/>
      <c r="AD8" s="55"/>
      <c r="AE8" s="57"/>
      <c r="AF8" s="57"/>
      <c r="AG8" s="57"/>
    </row>
    <row r="9" spans="1:34" s="15" customFormat="1">
      <c r="A9" s="13">
        <f>A6+1</f>
        <v>2</v>
      </c>
      <c r="B9" s="13">
        <v>1165</v>
      </c>
      <c r="C9" s="13" t="s">
        <v>187</v>
      </c>
      <c r="D9" s="14">
        <f>'שאיפה '!D6</f>
        <v>16300000</v>
      </c>
      <c r="E9" s="14">
        <f>'שאיפה '!E6</f>
        <v>14550000</v>
      </c>
      <c r="F9" s="14">
        <f>'שאיפה '!F6</f>
        <v>1750000</v>
      </c>
      <c r="G9" s="14">
        <f>'שאיפה '!G6</f>
        <v>11050000</v>
      </c>
      <c r="H9" s="14">
        <f>'שאיפה '!H6</f>
        <v>10281933.279999999</v>
      </c>
      <c r="I9" s="14">
        <f>'שאיפה '!I6</f>
        <v>0</v>
      </c>
      <c r="J9" s="14">
        <f>'שאיפה '!J6</f>
        <v>768032.43</v>
      </c>
      <c r="K9" s="14">
        <f>'שאיפה '!K6</f>
        <v>768032.43</v>
      </c>
      <c r="L9" s="14">
        <f>'שאיפה '!L6</f>
        <v>11049965.709999999</v>
      </c>
      <c r="M9" s="14">
        <f>'שאיפה '!M6</f>
        <v>34.290000000968575</v>
      </c>
      <c r="N9" s="14">
        <f>'שאיפה '!N6</f>
        <v>1000000</v>
      </c>
      <c r="O9" s="14">
        <f>'שאיפה '!O6</f>
        <v>4250000</v>
      </c>
      <c r="P9" s="14">
        <f>'שאיפה '!P6</f>
        <v>34.290000000968575</v>
      </c>
      <c r="Q9" s="14">
        <f>'שאיפה '!Q6</f>
        <v>0</v>
      </c>
      <c r="R9" s="14">
        <f>'שאיפה '!R6</f>
        <v>0</v>
      </c>
      <c r="S9" s="14">
        <f>'שאיפה '!S6</f>
        <v>0</v>
      </c>
      <c r="T9" s="14">
        <f>'שאיפה '!T6</f>
        <v>0</v>
      </c>
      <c r="U9" s="14">
        <f>'שאיפה '!U6</f>
        <v>1000000</v>
      </c>
      <c r="V9" s="14">
        <f>'שאיפה '!V6</f>
        <v>900000</v>
      </c>
      <c r="W9" s="14">
        <f>'שאיפה '!W6</f>
        <v>100000</v>
      </c>
      <c r="X9" s="14">
        <f>'שאיפה '!X6</f>
        <v>0</v>
      </c>
      <c r="Y9" s="14">
        <f>'שאיפה '!Y6</f>
        <v>0</v>
      </c>
      <c r="Z9" s="14">
        <f>'שאיפה '!Z6</f>
        <v>0</v>
      </c>
      <c r="AA9" s="101">
        <f>'שאיפה '!AA6</f>
        <v>746000</v>
      </c>
      <c r="AB9" s="55"/>
      <c r="AC9" s="55"/>
      <c r="AD9" s="55"/>
      <c r="AE9" s="55"/>
      <c r="AF9" s="55"/>
      <c r="AG9" s="55"/>
    </row>
    <row r="10" spans="1:34" s="15" customFormat="1">
      <c r="A10" s="13">
        <f>A9+1</f>
        <v>3</v>
      </c>
      <c r="B10" s="13">
        <v>1166</v>
      </c>
      <c r="C10" s="13" t="s">
        <v>1014</v>
      </c>
      <c r="D10" s="14">
        <f>'שאיפה '!D7</f>
        <v>10615000</v>
      </c>
      <c r="E10" s="14">
        <f>'שאיפה '!E7</f>
        <v>9215000</v>
      </c>
      <c r="F10" s="14">
        <f>'שאיפה '!F7</f>
        <v>1400000</v>
      </c>
      <c r="G10" s="14">
        <f>'שאיפה '!G7</f>
        <v>8115000</v>
      </c>
      <c r="H10" s="14">
        <f>'שאיפה '!H7</f>
        <v>7117813.4500000002</v>
      </c>
      <c r="I10" s="14">
        <f>'שאיפה '!I7</f>
        <v>0</v>
      </c>
      <c r="J10" s="14">
        <f>'שאיפה '!J7</f>
        <v>840603.28</v>
      </c>
      <c r="K10" s="14">
        <f>'שאיפה '!K7</f>
        <v>840603.28</v>
      </c>
      <c r="L10" s="14">
        <f>'שאיפה '!L7</f>
        <v>7958416.7300000004</v>
      </c>
      <c r="M10" s="14">
        <f>'שאיפה '!M7</f>
        <v>156583.26999999955</v>
      </c>
      <c r="N10" s="14">
        <f>'שאיפה '!N7</f>
        <v>1000000</v>
      </c>
      <c r="O10" s="14">
        <f>'שאיפה '!O7</f>
        <v>1500000</v>
      </c>
      <c r="P10" s="14">
        <f>'שאיפה '!P7</f>
        <v>156583.26999999955</v>
      </c>
      <c r="Q10" s="14">
        <f>'שאיפה '!Q7</f>
        <v>0</v>
      </c>
      <c r="R10" s="14">
        <f>'שאיפה '!R7</f>
        <v>0</v>
      </c>
      <c r="S10" s="14">
        <f>'שאיפה '!S7</f>
        <v>0</v>
      </c>
      <c r="T10" s="14">
        <f>'שאיפה '!T7</f>
        <v>0</v>
      </c>
      <c r="U10" s="14">
        <f>'שאיפה '!U7</f>
        <v>1000000</v>
      </c>
      <c r="V10" s="14">
        <f>'שאיפה '!V7</f>
        <v>1000000</v>
      </c>
      <c r="W10" s="14">
        <f>'שאיפה '!W7</f>
        <v>0</v>
      </c>
      <c r="X10" s="14">
        <f>'שאיפה '!X7</f>
        <v>0</v>
      </c>
      <c r="Y10" s="14">
        <f>'שאיפה '!Y7</f>
        <v>0</v>
      </c>
      <c r="Z10" s="14">
        <f>'שאיפה '!Z7</f>
        <v>0</v>
      </c>
      <c r="AA10" s="101">
        <f>'שאיפה '!AA7</f>
        <v>746000</v>
      </c>
      <c r="AB10" s="55"/>
      <c r="AC10" s="55"/>
      <c r="AD10" s="55"/>
      <c r="AE10" s="55"/>
      <c r="AF10" s="55"/>
      <c r="AG10" s="55"/>
    </row>
    <row r="11" spans="1:34" s="15" customFormat="1" ht="30">
      <c r="A11" s="13">
        <f>A10+1</f>
        <v>4</v>
      </c>
      <c r="B11" s="13">
        <v>1254</v>
      </c>
      <c r="C11" s="13" t="s">
        <v>1013</v>
      </c>
      <c r="D11" s="14">
        <f>'שאיפה '!D9</f>
        <v>37000000</v>
      </c>
      <c r="E11" s="14">
        <f>'שאיפה '!E9</f>
        <v>35440000</v>
      </c>
      <c r="F11" s="14">
        <f>'שאיפה '!F9</f>
        <v>1560000</v>
      </c>
      <c r="G11" s="14">
        <f>'שאיפה '!G9</f>
        <v>29490000</v>
      </c>
      <c r="H11" s="14">
        <f>'שאיפה '!H9</f>
        <v>27379815.690000001</v>
      </c>
      <c r="I11" s="14">
        <f>'שאיפה '!I9</f>
        <v>0</v>
      </c>
      <c r="J11" s="14">
        <f>'שאיפה '!J9</f>
        <v>1860802.72</v>
      </c>
      <c r="K11" s="14">
        <f>'שאיפה '!K9</f>
        <v>1860802.72</v>
      </c>
      <c r="L11" s="14">
        <f>'שאיפה '!L9</f>
        <v>29240618.41</v>
      </c>
      <c r="M11" s="14">
        <f>'שאיפה '!M9</f>
        <v>249381.58999999985</v>
      </c>
      <c r="N11" s="14">
        <f>'שאיפה '!N9</f>
        <v>2500000</v>
      </c>
      <c r="O11" s="14">
        <f>'שאיפה '!O9</f>
        <v>5010000</v>
      </c>
      <c r="P11" s="14">
        <f>'שאיפה '!P9</f>
        <v>249381.58999999985</v>
      </c>
      <c r="Q11" s="14">
        <f>'שאיפה '!Q9</f>
        <v>0</v>
      </c>
      <c r="R11" s="14">
        <f>'שאיפה '!R9</f>
        <v>0</v>
      </c>
      <c r="S11" s="14">
        <f>'שאיפה '!S9</f>
        <v>0</v>
      </c>
      <c r="T11" s="14">
        <f>'שאיפה '!T9</f>
        <v>0</v>
      </c>
      <c r="U11" s="14">
        <f>'שאיפה '!U9</f>
        <v>2500000</v>
      </c>
      <c r="V11" s="14">
        <f>'שאיפה '!V9</f>
        <v>2500000</v>
      </c>
      <c r="W11" s="14">
        <f>'שאיפה '!W9</f>
        <v>0</v>
      </c>
      <c r="X11" s="14">
        <f>'שאיפה '!X9</f>
        <v>0</v>
      </c>
      <c r="Y11" s="14">
        <f>'שאיפה '!Y9</f>
        <v>0</v>
      </c>
      <c r="Z11" s="14">
        <f>'שאיפה '!Z9</f>
        <v>0</v>
      </c>
      <c r="AA11" s="101">
        <f>'שאיפה '!AA9</f>
        <v>746000</v>
      </c>
      <c r="AB11" s="55"/>
      <c r="AC11" s="55"/>
      <c r="AD11" s="55"/>
      <c r="AE11" s="55"/>
      <c r="AF11" s="55"/>
      <c r="AG11" s="55"/>
    </row>
    <row r="12" spans="1:34" s="15" customFormat="1">
      <c r="A12" s="13">
        <f t="shared" ref="A12:A28" si="1">A11+1</f>
        <v>5</v>
      </c>
      <c r="B12" s="13">
        <v>1292</v>
      </c>
      <c r="C12" s="13" t="s">
        <v>153</v>
      </c>
      <c r="D12" s="14">
        <f>'שאיפה '!D10</f>
        <v>2180000</v>
      </c>
      <c r="E12" s="14">
        <f>'שאיפה '!E10</f>
        <v>2180000</v>
      </c>
      <c r="F12" s="14">
        <f>'שאיפה '!F10</f>
        <v>0</v>
      </c>
      <c r="G12" s="14">
        <f>'שאיפה '!G10</f>
        <v>2180000</v>
      </c>
      <c r="H12" s="14">
        <f>'שאיפה '!H10</f>
        <v>2175474.5099999998</v>
      </c>
      <c r="I12" s="14">
        <f>'שאיפה '!I10</f>
        <v>0</v>
      </c>
      <c r="J12" s="14">
        <f>'שאיפה '!J10</f>
        <v>3673.04</v>
      </c>
      <c r="K12" s="14">
        <f>'שאיפה '!K10</f>
        <v>3673.04</v>
      </c>
      <c r="L12" s="14">
        <f>'שאיפה '!L10</f>
        <v>2179147.5499999998</v>
      </c>
      <c r="M12" s="14">
        <f>'שאיפה '!M10</f>
        <v>852.45000000018626</v>
      </c>
      <c r="N12" s="14">
        <f>'שאיפה '!N10</f>
        <v>0</v>
      </c>
      <c r="O12" s="14">
        <f>'שאיפה '!O10</f>
        <v>0</v>
      </c>
      <c r="P12" s="14">
        <f>'שאיפה '!P10</f>
        <v>852.45000000018626</v>
      </c>
      <c r="Q12" s="14">
        <f>'שאיפה '!Q10</f>
        <v>0</v>
      </c>
      <c r="R12" s="14">
        <f>'שאיפה '!R10</f>
        <v>0</v>
      </c>
      <c r="S12" s="14">
        <f>'שאיפה '!S10</f>
        <v>0</v>
      </c>
      <c r="T12" s="14">
        <f>'שאיפה '!T10</f>
        <v>0</v>
      </c>
      <c r="U12" s="14">
        <f>'שאיפה '!U10</f>
        <v>0</v>
      </c>
      <c r="V12" s="14">
        <f>'שאיפה '!V10</f>
        <v>0</v>
      </c>
      <c r="W12" s="14">
        <f>'שאיפה '!W10</f>
        <v>0</v>
      </c>
      <c r="X12" s="14">
        <f>'שאיפה '!X10</f>
        <v>0</v>
      </c>
      <c r="Y12" s="14">
        <f>'שאיפה '!Y10</f>
        <v>0</v>
      </c>
      <c r="Z12" s="14">
        <f>'שאיפה '!Z10</f>
        <v>0</v>
      </c>
      <c r="AA12" s="101">
        <f>'שאיפה '!AA10</f>
        <v>746400</v>
      </c>
      <c r="AB12" s="55"/>
      <c r="AC12" s="55"/>
      <c r="AD12" s="55"/>
      <c r="AE12" s="55"/>
      <c r="AF12" s="55"/>
      <c r="AG12" s="55"/>
    </row>
    <row r="13" spans="1:34" s="15" customFormat="1">
      <c r="A13" s="13">
        <f t="shared" si="1"/>
        <v>6</v>
      </c>
      <c r="B13" s="13">
        <v>1341</v>
      </c>
      <c r="C13" s="13" t="s">
        <v>154</v>
      </c>
      <c r="D13" s="14">
        <f>'שאיפה '!D11</f>
        <v>550000</v>
      </c>
      <c r="E13" s="14">
        <f>'שאיפה '!E11</f>
        <v>550000</v>
      </c>
      <c r="F13" s="14">
        <f>'שאיפה '!F11</f>
        <v>0</v>
      </c>
      <c r="G13" s="14">
        <f>'שאיפה '!G11</f>
        <v>550000</v>
      </c>
      <c r="H13" s="14">
        <f>'שאיפה '!H11</f>
        <v>461176.73</v>
      </c>
      <c r="I13" s="14">
        <f>'שאיפה '!I11</f>
        <v>0</v>
      </c>
      <c r="J13" s="14">
        <f>'שאיפה '!J11</f>
        <v>5769.07</v>
      </c>
      <c r="K13" s="14">
        <f>'שאיפה '!K11</f>
        <v>5769.07</v>
      </c>
      <c r="L13" s="14">
        <f>'שאיפה '!L11</f>
        <v>466945.8</v>
      </c>
      <c r="M13" s="14">
        <f>'שאיפה '!M11</f>
        <v>83054.200000000012</v>
      </c>
      <c r="N13" s="14">
        <f>'שאיפה '!N11</f>
        <v>0</v>
      </c>
      <c r="O13" s="14">
        <f>'שאיפה '!O11</f>
        <v>0</v>
      </c>
      <c r="P13" s="14">
        <f>'שאיפה '!P11</f>
        <v>83054.200000000012</v>
      </c>
      <c r="Q13" s="14">
        <f>'שאיפה '!Q11</f>
        <v>0</v>
      </c>
      <c r="R13" s="14">
        <f>'שאיפה '!R11</f>
        <v>0</v>
      </c>
      <c r="S13" s="14">
        <f>'שאיפה '!S11</f>
        <v>0</v>
      </c>
      <c r="T13" s="14">
        <f>'שאיפה '!T11</f>
        <v>0</v>
      </c>
      <c r="U13" s="14">
        <f>'שאיפה '!U11</f>
        <v>0</v>
      </c>
      <c r="V13" s="14">
        <f>'שאיפה '!V11</f>
        <v>0</v>
      </c>
      <c r="W13" s="14">
        <f>'שאיפה '!W11</f>
        <v>0</v>
      </c>
      <c r="X13" s="14">
        <f>'שאיפה '!X11</f>
        <v>0</v>
      </c>
      <c r="Y13" s="14">
        <f>'שאיפה '!Y11</f>
        <v>0</v>
      </c>
      <c r="Z13" s="14">
        <f>'שאיפה '!Z11</f>
        <v>0</v>
      </c>
      <c r="AA13" s="101">
        <f>'שאיפה '!AA11</f>
        <v>746000</v>
      </c>
      <c r="AB13" s="55"/>
      <c r="AC13" s="55"/>
      <c r="AD13" s="55"/>
      <c r="AE13" s="55"/>
      <c r="AF13" s="55"/>
      <c r="AG13" s="55"/>
    </row>
    <row r="14" spans="1:34" s="15" customFormat="1">
      <c r="A14" s="13">
        <f t="shared" si="1"/>
        <v>7</v>
      </c>
      <c r="B14" s="13">
        <v>1342</v>
      </c>
      <c r="C14" s="13" t="s">
        <v>155</v>
      </c>
      <c r="D14" s="14">
        <f>'שאיפה '!D12</f>
        <v>4000000</v>
      </c>
      <c r="E14" s="14">
        <f>'שאיפה '!E12</f>
        <v>3050000</v>
      </c>
      <c r="F14" s="14">
        <f>'שאיפה '!F12</f>
        <v>950000</v>
      </c>
      <c r="G14" s="14">
        <f>'שאיפה '!G12</f>
        <v>2450000</v>
      </c>
      <c r="H14" s="14">
        <f>'שאיפה '!H12</f>
        <v>1845306.18</v>
      </c>
      <c r="I14" s="14">
        <f>'שאיפה '!I12</f>
        <v>0</v>
      </c>
      <c r="J14" s="14">
        <f>'שאיפה '!J12</f>
        <v>524344.86</v>
      </c>
      <c r="K14" s="14">
        <f>'שאיפה '!K12</f>
        <v>524344.86</v>
      </c>
      <c r="L14" s="14">
        <f>'שאיפה '!L12</f>
        <v>2369651.04</v>
      </c>
      <c r="M14" s="14">
        <f>'שאיפה '!M12</f>
        <v>80348.959999999963</v>
      </c>
      <c r="N14" s="14">
        <f>'שאיפה '!N12</f>
        <v>500000</v>
      </c>
      <c r="O14" s="14">
        <f>'שאיפה '!O12</f>
        <v>1050000</v>
      </c>
      <c r="P14" s="14">
        <f>'שאיפה '!P12</f>
        <v>80348.959999999963</v>
      </c>
      <c r="Q14" s="14">
        <f>'שאיפה '!Q12</f>
        <v>0</v>
      </c>
      <c r="R14" s="14">
        <f>'שאיפה '!R12</f>
        <v>0</v>
      </c>
      <c r="S14" s="14">
        <f>'שאיפה '!S12</f>
        <v>0</v>
      </c>
      <c r="T14" s="14">
        <f>'שאיפה '!T12</f>
        <v>0</v>
      </c>
      <c r="U14" s="14">
        <f>'שאיפה '!U12</f>
        <v>500000</v>
      </c>
      <c r="V14" s="14">
        <f>'שאיפה '!V12</f>
        <v>400000</v>
      </c>
      <c r="W14" s="14">
        <f>'שאיפה '!W12</f>
        <v>100000</v>
      </c>
      <c r="X14" s="14">
        <f>'שאיפה '!X12</f>
        <v>0</v>
      </c>
      <c r="Y14" s="14">
        <f>'שאיפה '!Y12</f>
        <v>0</v>
      </c>
      <c r="Z14" s="14">
        <f>'שאיפה '!Z12</f>
        <v>0</v>
      </c>
      <c r="AA14" s="101">
        <f>'שאיפה '!AA12</f>
        <v>746000</v>
      </c>
      <c r="AB14" s="55"/>
      <c r="AC14" s="55"/>
      <c r="AD14" s="55"/>
      <c r="AE14" s="55"/>
      <c r="AF14" s="55"/>
      <c r="AG14" s="55"/>
    </row>
    <row r="15" spans="1:34" s="15" customFormat="1">
      <c r="A15" s="13">
        <f t="shared" si="1"/>
        <v>8</v>
      </c>
      <c r="B15" s="13">
        <v>1343</v>
      </c>
      <c r="C15" s="13" t="s">
        <v>156</v>
      </c>
      <c r="D15" s="14">
        <f>'שאיפה '!D13</f>
        <v>8320000</v>
      </c>
      <c r="E15" s="14">
        <f>'שאיפה '!E13</f>
        <v>8320000</v>
      </c>
      <c r="F15" s="14">
        <f>'שאיפה '!F13</f>
        <v>0</v>
      </c>
      <c r="G15" s="14">
        <f>'שאיפה '!G13</f>
        <v>5120000</v>
      </c>
      <c r="H15" s="14">
        <f>'שאיפה '!H13</f>
        <v>3987302.49</v>
      </c>
      <c r="I15" s="14">
        <f>'שאיפה '!I13</f>
        <v>0</v>
      </c>
      <c r="J15" s="14">
        <f>'שאיפה '!J13</f>
        <v>893320.19</v>
      </c>
      <c r="K15" s="14">
        <f>'שאיפה '!K13</f>
        <v>893320.19</v>
      </c>
      <c r="L15" s="14">
        <f>'שאיפה '!L13</f>
        <v>4880622.68</v>
      </c>
      <c r="M15" s="14">
        <f>'שאיפה '!M13</f>
        <v>239377.3200000003</v>
      </c>
      <c r="N15" s="14">
        <f>'שאיפה '!N13</f>
        <v>900000</v>
      </c>
      <c r="O15" s="14">
        <f>'שאיפה '!O13</f>
        <v>2300000</v>
      </c>
      <c r="P15" s="14">
        <f>'שאיפה '!P13</f>
        <v>239377.3200000003</v>
      </c>
      <c r="Q15" s="14">
        <f>'שאיפה '!Q13</f>
        <v>0</v>
      </c>
      <c r="R15" s="14">
        <f>'שאיפה '!R13</f>
        <v>0</v>
      </c>
      <c r="S15" s="14">
        <f>'שאיפה '!S13</f>
        <v>0</v>
      </c>
      <c r="T15" s="14">
        <f>'שאיפה '!T13</f>
        <v>0</v>
      </c>
      <c r="U15" s="14">
        <f>'שאיפה '!U13</f>
        <v>900000</v>
      </c>
      <c r="V15" s="14">
        <f>'שאיפה '!V13</f>
        <v>900000</v>
      </c>
      <c r="W15" s="14">
        <f>'שאיפה '!W13</f>
        <v>0</v>
      </c>
      <c r="X15" s="14">
        <f>'שאיפה '!X13</f>
        <v>0</v>
      </c>
      <c r="Y15" s="14">
        <f>'שאיפה '!Y13</f>
        <v>0</v>
      </c>
      <c r="Z15" s="14">
        <f>'שאיפה '!Z13</f>
        <v>0</v>
      </c>
      <c r="AA15" s="101">
        <f>'שאיפה '!AA13</f>
        <v>746000</v>
      </c>
      <c r="AB15" s="55"/>
      <c r="AC15" s="55"/>
      <c r="AD15" s="55"/>
      <c r="AE15" s="55"/>
      <c r="AF15" s="55"/>
      <c r="AG15" s="55"/>
    </row>
    <row r="16" spans="1:34" s="15" customFormat="1">
      <c r="A16" s="13">
        <f t="shared" si="1"/>
        <v>9</v>
      </c>
      <c r="B16" s="13">
        <v>1491</v>
      </c>
      <c r="C16" s="13" t="s">
        <v>157</v>
      </c>
      <c r="D16" s="14">
        <f>'שאיפה '!D15</f>
        <v>13700000</v>
      </c>
      <c r="E16" s="14">
        <f>'שאיפה '!E15</f>
        <v>13700000</v>
      </c>
      <c r="F16" s="14">
        <f>'שאיפה '!F15</f>
        <v>0</v>
      </c>
      <c r="G16" s="14">
        <f>'שאיפה '!G15</f>
        <v>5670000</v>
      </c>
      <c r="H16" s="14">
        <f>'שאיפה '!H15</f>
        <v>4372387.8</v>
      </c>
      <c r="I16" s="14">
        <f>'שאיפה '!I15</f>
        <v>0</v>
      </c>
      <c r="J16" s="14">
        <f>'שאיפה '!J15</f>
        <v>1041761.21</v>
      </c>
      <c r="K16" s="14">
        <f>'שאיפה '!K15</f>
        <v>1041761.21</v>
      </c>
      <c r="L16" s="14">
        <f>'שאיפה '!L15</f>
        <v>5414149.0099999998</v>
      </c>
      <c r="M16" s="14">
        <f>'שאיפה '!M15</f>
        <v>255850.99000000022</v>
      </c>
      <c r="N16" s="14">
        <f>'שאיפה '!N15</f>
        <v>1200000</v>
      </c>
      <c r="O16" s="14">
        <f>'שאיפה '!O15</f>
        <v>6830000</v>
      </c>
      <c r="P16" s="14">
        <f>'שאיפה '!P15</f>
        <v>255850.99000000022</v>
      </c>
      <c r="Q16" s="14">
        <f>'שאיפה '!Q15</f>
        <v>0</v>
      </c>
      <c r="R16" s="14">
        <f>'שאיפה '!R15</f>
        <v>0</v>
      </c>
      <c r="S16" s="14">
        <f>'שאיפה '!S15</f>
        <v>0</v>
      </c>
      <c r="T16" s="14">
        <f>'שאיפה '!T15</f>
        <v>0</v>
      </c>
      <c r="U16" s="14">
        <f>'שאיפה '!U15</f>
        <v>1200000</v>
      </c>
      <c r="V16" s="14">
        <f>'שאיפה '!V15</f>
        <v>1200000</v>
      </c>
      <c r="W16" s="14">
        <f>'שאיפה '!W15</f>
        <v>0</v>
      </c>
      <c r="X16" s="14">
        <f>'שאיפה '!X15</f>
        <v>0</v>
      </c>
      <c r="Y16" s="14">
        <f>'שאיפה '!Y15</f>
        <v>0</v>
      </c>
      <c r="Z16" s="14">
        <f>'שאיפה '!Z15</f>
        <v>0</v>
      </c>
      <c r="AA16" s="101">
        <f>'שאיפה '!AA15</f>
        <v>746000</v>
      </c>
      <c r="AB16" s="55"/>
      <c r="AC16" s="55"/>
      <c r="AD16" s="55"/>
      <c r="AE16" s="55"/>
      <c r="AF16" s="55"/>
      <c r="AG16" s="55"/>
    </row>
    <row r="17" spans="1:34" s="15" customFormat="1">
      <c r="A17" s="13">
        <f t="shared" si="1"/>
        <v>10</v>
      </c>
      <c r="B17" s="13">
        <v>1504</v>
      </c>
      <c r="C17" s="13" t="s">
        <v>158</v>
      </c>
      <c r="D17" s="14">
        <f>'שאיפה '!D16</f>
        <v>1700000</v>
      </c>
      <c r="E17" s="14">
        <f>'שאיפה '!E16</f>
        <v>1700000</v>
      </c>
      <c r="F17" s="14">
        <f>'שאיפה '!F16</f>
        <v>0</v>
      </c>
      <c r="G17" s="14">
        <f>'שאיפה '!G16</f>
        <v>1300000</v>
      </c>
      <c r="H17" s="14">
        <f>'שאיפה '!H16</f>
        <v>1249990.76</v>
      </c>
      <c r="I17" s="14">
        <f>'שאיפה '!I16</f>
        <v>0</v>
      </c>
      <c r="J17" s="14">
        <f>'שאיפה '!J16</f>
        <v>30945.3</v>
      </c>
      <c r="K17" s="14">
        <f>'שאיפה '!K16</f>
        <v>30945.3</v>
      </c>
      <c r="L17" s="14">
        <f>'שאיפה '!L16</f>
        <v>1280936.06</v>
      </c>
      <c r="M17" s="14">
        <f>'שאיפה '!M16</f>
        <v>19063.939999999944</v>
      </c>
      <c r="N17" s="14">
        <f>'שאיפה '!N16</f>
        <v>100000</v>
      </c>
      <c r="O17" s="14">
        <f>'שאיפה '!O16</f>
        <v>300000</v>
      </c>
      <c r="P17" s="14">
        <f>'שאיפה '!P16</f>
        <v>19063.939999999944</v>
      </c>
      <c r="Q17" s="14">
        <f>'שאיפה '!Q16</f>
        <v>0</v>
      </c>
      <c r="R17" s="14">
        <f>'שאיפה '!R16</f>
        <v>0</v>
      </c>
      <c r="S17" s="14">
        <f>'שאיפה '!S16</f>
        <v>0</v>
      </c>
      <c r="T17" s="14">
        <f>'שאיפה '!T16</f>
        <v>0</v>
      </c>
      <c r="U17" s="14">
        <f>'שאיפה '!U16</f>
        <v>100000</v>
      </c>
      <c r="V17" s="14">
        <f>'שאיפה '!V16</f>
        <v>0</v>
      </c>
      <c r="W17" s="14">
        <f>'שאיפה '!W16</f>
        <v>100000</v>
      </c>
      <c r="X17" s="14">
        <f>'שאיפה '!X16</f>
        <v>0</v>
      </c>
      <c r="Y17" s="14">
        <f>'שאיפה '!Y16</f>
        <v>0</v>
      </c>
      <c r="Z17" s="14">
        <f>'שאיפה '!Z16</f>
        <v>0</v>
      </c>
      <c r="AA17" s="101">
        <f>'שאיפה '!AA16</f>
        <v>746000</v>
      </c>
      <c r="AB17" s="55"/>
      <c r="AC17" s="55"/>
      <c r="AD17" s="55"/>
      <c r="AE17" s="55"/>
      <c r="AF17" s="55"/>
      <c r="AG17" s="55"/>
    </row>
    <row r="18" spans="1:34" s="15" customFormat="1">
      <c r="A18" s="13">
        <f t="shared" si="1"/>
        <v>11</v>
      </c>
      <c r="B18" s="13">
        <v>1629</v>
      </c>
      <c r="C18" s="13" t="s">
        <v>160</v>
      </c>
      <c r="D18" s="14">
        <f>'שאיפה '!D18</f>
        <v>1400000</v>
      </c>
      <c r="E18" s="14">
        <f>'שאיפה '!E18</f>
        <v>900000</v>
      </c>
      <c r="F18" s="14">
        <f>'שאיפה '!F18</f>
        <v>500000</v>
      </c>
      <c r="G18" s="14">
        <f>'שאיפה '!G18</f>
        <v>350000</v>
      </c>
      <c r="H18" s="14">
        <f>'שאיפה '!H18</f>
        <v>230289.1</v>
      </c>
      <c r="I18" s="14">
        <f>'שאיפה '!I18</f>
        <v>0</v>
      </c>
      <c r="J18" s="14">
        <f>'שאיפה '!J18</f>
        <v>9832.2099999999991</v>
      </c>
      <c r="K18" s="14">
        <f>'שאיפה '!K18</f>
        <v>9832.2099999999991</v>
      </c>
      <c r="L18" s="14">
        <f>'שאיפה '!L18</f>
        <v>240121.31</v>
      </c>
      <c r="M18" s="14">
        <f>'שאיפה '!M18</f>
        <v>109878.69</v>
      </c>
      <c r="N18" s="14">
        <f>'שאיפה '!N18</f>
        <v>100000</v>
      </c>
      <c r="O18" s="14">
        <f>'שאיפה '!O18</f>
        <v>950000</v>
      </c>
      <c r="P18" s="14">
        <f>'שאיפה '!P18</f>
        <v>109878.69</v>
      </c>
      <c r="Q18" s="14">
        <f>'שאיפה '!Q18</f>
        <v>0</v>
      </c>
      <c r="R18" s="14">
        <f>'שאיפה '!R18</f>
        <v>0</v>
      </c>
      <c r="S18" s="14">
        <f>'שאיפה '!S18</f>
        <v>0</v>
      </c>
      <c r="T18" s="14">
        <f>'שאיפה '!T18</f>
        <v>0</v>
      </c>
      <c r="U18" s="14">
        <f>'שאיפה '!U18</f>
        <v>100000</v>
      </c>
      <c r="V18" s="14">
        <f>'שאיפה '!V18</f>
        <v>0</v>
      </c>
      <c r="W18" s="14">
        <f>'שאיפה '!W18</f>
        <v>100000</v>
      </c>
      <c r="X18" s="14">
        <f>'שאיפה '!X18</f>
        <v>0</v>
      </c>
      <c r="Y18" s="14">
        <f>'שאיפה '!Y18</f>
        <v>0</v>
      </c>
      <c r="Z18" s="14">
        <f>'שאיפה '!Z18</f>
        <v>0</v>
      </c>
      <c r="AA18" s="101">
        <f>'שאיפה '!AA18</f>
        <v>746000</v>
      </c>
      <c r="AB18" s="55"/>
      <c r="AC18" s="55"/>
      <c r="AD18" s="55"/>
      <c r="AE18" s="57"/>
      <c r="AF18" s="57"/>
      <c r="AG18" s="57"/>
    </row>
    <row r="19" spans="1:34" s="15" customFormat="1">
      <c r="A19" s="13">
        <f t="shared" si="1"/>
        <v>12</v>
      </c>
      <c r="B19" s="13">
        <v>1680</v>
      </c>
      <c r="C19" s="13" t="s">
        <v>161</v>
      </c>
      <c r="D19" s="14">
        <f>'שאיפה '!D19</f>
        <v>950000</v>
      </c>
      <c r="E19" s="14">
        <f>'שאיפה '!E19</f>
        <v>950000</v>
      </c>
      <c r="F19" s="14">
        <f>'שאיפה '!F19</f>
        <v>0</v>
      </c>
      <c r="G19" s="14">
        <f>'שאיפה '!G19</f>
        <v>300000</v>
      </c>
      <c r="H19" s="14">
        <f>'שאיפה '!H19</f>
        <v>56511</v>
      </c>
      <c r="I19" s="14">
        <f>'שאיפה '!I19</f>
        <v>0</v>
      </c>
      <c r="J19" s="14">
        <f>'שאיפה '!J19</f>
        <v>44986.5</v>
      </c>
      <c r="K19" s="14">
        <f>'שאיפה '!K19</f>
        <v>44986.5</v>
      </c>
      <c r="L19" s="14">
        <f>'שאיפה '!L19</f>
        <v>101497.5</v>
      </c>
      <c r="M19" s="14">
        <f>'שאיפה '!M19</f>
        <v>198502.5</v>
      </c>
      <c r="N19" s="14">
        <f>'שאיפה '!N19</f>
        <v>400000</v>
      </c>
      <c r="O19" s="14">
        <f>'שאיפה '!O19</f>
        <v>250000</v>
      </c>
      <c r="P19" s="14">
        <f>'שאיפה '!P19</f>
        <v>198502.5</v>
      </c>
      <c r="Q19" s="14">
        <f>'שאיפה '!Q19</f>
        <v>0</v>
      </c>
      <c r="R19" s="14">
        <f>'שאיפה '!R19</f>
        <v>0</v>
      </c>
      <c r="S19" s="14">
        <f>'שאיפה '!S19</f>
        <v>0</v>
      </c>
      <c r="T19" s="14">
        <f>'שאיפה '!T19</f>
        <v>0</v>
      </c>
      <c r="U19" s="14">
        <f>'שאיפה '!U19</f>
        <v>400000</v>
      </c>
      <c r="V19" s="14">
        <f>'שאיפה '!V19</f>
        <v>0</v>
      </c>
      <c r="W19" s="14">
        <f>'שאיפה '!W19</f>
        <v>400000</v>
      </c>
      <c r="X19" s="14">
        <f>'שאיפה '!X19</f>
        <v>0</v>
      </c>
      <c r="Y19" s="14">
        <f>'שאיפה '!Y19</f>
        <v>0</v>
      </c>
      <c r="Z19" s="14">
        <f>'שאיפה '!Z19</f>
        <v>0</v>
      </c>
      <c r="AA19" s="101">
        <f>'שאיפה '!AA19</f>
        <v>746000</v>
      </c>
      <c r="AB19" s="55"/>
      <c r="AC19" s="55"/>
      <c r="AD19" s="55"/>
      <c r="AE19" s="57"/>
      <c r="AF19" s="57"/>
      <c r="AG19" s="57"/>
    </row>
    <row r="20" spans="1:34" s="15" customFormat="1">
      <c r="A20" s="13">
        <f t="shared" si="1"/>
        <v>13</v>
      </c>
      <c r="B20" s="13">
        <v>1971</v>
      </c>
      <c r="C20" s="13" t="s">
        <v>368</v>
      </c>
      <c r="D20" s="14">
        <f>'שאיפה '!D22</f>
        <v>2500000</v>
      </c>
      <c r="E20" s="14">
        <f>'שאיפה '!E22</f>
        <v>2500000</v>
      </c>
      <c r="F20" s="14">
        <f>'שאיפה '!F22</f>
        <v>0</v>
      </c>
      <c r="G20" s="14">
        <f>'שאיפה '!G22</f>
        <v>500000</v>
      </c>
      <c r="H20" s="14">
        <f>'שאיפה '!H22</f>
        <v>0</v>
      </c>
      <c r="I20" s="14">
        <f>'שאיפה '!I22</f>
        <v>0</v>
      </c>
      <c r="J20" s="14">
        <f>'שאיפה '!J22</f>
        <v>81900</v>
      </c>
      <c r="K20" s="14">
        <f>'שאיפה '!K22</f>
        <v>81900</v>
      </c>
      <c r="L20" s="14">
        <f>'שאיפה '!L22</f>
        <v>81900</v>
      </c>
      <c r="M20" s="14">
        <f>'שאיפה '!M22</f>
        <v>418100</v>
      </c>
      <c r="N20" s="14">
        <f>'שאיפה '!N22</f>
        <v>0</v>
      </c>
      <c r="O20" s="14">
        <f>'שאיפה '!O22</f>
        <v>2000000</v>
      </c>
      <c r="P20" s="14">
        <f>'שאיפה '!P22</f>
        <v>418100</v>
      </c>
      <c r="Q20" s="14">
        <f>'שאיפה '!Q22</f>
        <v>0</v>
      </c>
      <c r="R20" s="14">
        <f>'שאיפה '!R22</f>
        <v>0</v>
      </c>
      <c r="S20" s="14">
        <f>'שאיפה '!S22</f>
        <v>0</v>
      </c>
      <c r="T20" s="14">
        <f>'שאיפה '!T22</f>
        <v>0</v>
      </c>
      <c r="U20" s="14">
        <f>'שאיפה '!U22</f>
        <v>0</v>
      </c>
      <c r="V20" s="14">
        <f>'שאיפה '!V22</f>
        <v>0</v>
      </c>
      <c r="W20" s="14">
        <f>'שאיפה '!W22</f>
        <v>0</v>
      </c>
      <c r="X20" s="14">
        <f>'שאיפה '!X22</f>
        <v>0</v>
      </c>
      <c r="Y20" s="14">
        <f>'שאיפה '!Y22</f>
        <v>0</v>
      </c>
      <c r="Z20" s="14">
        <f>'שאיפה '!Z22</f>
        <v>0</v>
      </c>
      <c r="AA20" s="101">
        <f>'שאיפה '!AA22</f>
        <v>746000</v>
      </c>
      <c r="AB20" s="55"/>
      <c r="AC20" s="55"/>
      <c r="AD20" s="55"/>
      <c r="AE20" s="57"/>
      <c r="AF20" s="57"/>
      <c r="AG20" s="57"/>
    </row>
    <row r="21" spans="1:34" s="15" customFormat="1">
      <c r="A21" s="13">
        <f t="shared" si="1"/>
        <v>14</v>
      </c>
      <c r="B21" s="13">
        <v>1972</v>
      </c>
      <c r="C21" s="13" t="s">
        <v>369</v>
      </c>
      <c r="D21" s="14">
        <f>'שאיפה '!D23</f>
        <v>4470000</v>
      </c>
      <c r="E21" s="14">
        <f>'שאיפה '!E23</f>
        <v>4470000</v>
      </c>
      <c r="F21" s="14">
        <f>'שאיפה '!F23</f>
        <v>0</v>
      </c>
      <c r="G21" s="14">
        <f>'שאיפה '!G23</f>
        <v>650000</v>
      </c>
      <c r="H21" s="14">
        <f>'שאיפה '!H23</f>
        <v>0</v>
      </c>
      <c r="I21" s="14">
        <f>'שאיפה '!I23</f>
        <v>0</v>
      </c>
      <c r="J21" s="14">
        <f>'שאיפה '!J23</f>
        <v>149877</v>
      </c>
      <c r="K21" s="14">
        <f>'שאיפה '!K23</f>
        <v>149877</v>
      </c>
      <c r="L21" s="14">
        <f>'שאיפה '!L23</f>
        <v>149877</v>
      </c>
      <c r="M21" s="14">
        <f>'שאיפה '!M23</f>
        <v>500123</v>
      </c>
      <c r="N21" s="14">
        <f>'שאיפה '!N23</f>
        <v>2000000</v>
      </c>
      <c r="O21" s="14">
        <f>'שאיפה '!O23</f>
        <v>1820000</v>
      </c>
      <c r="P21" s="14">
        <f>'שאיפה '!P23</f>
        <v>500123</v>
      </c>
      <c r="Q21" s="14">
        <f>'שאיפה '!Q23</f>
        <v>0</v>
      </c>
      <c r="R21" s="14">
        <f>'שאיפה '!R23</f>
        <v>0</v>
      </c>
      <c r="S21" s="14">
        <f>'שאיפה '!S23</f>
        <v>0</v>
      </c>
      <c r="T21" s="14">
        <f>'שאיפה '!T23</f>
        <v>0</v>
      </c>
      <c r="U21" s="14">
        <f>'שאיפה '!U23</f>
        <v>2000000</v>
      </c>
      <c r="V21" s="14">
        <f>'שאיפה '!V23</f>
        <v>2000000</v>
      </c>
      <c r="W21" s="14">
        <f>'שאיפה '!W23</f>
        <v>0</v>
      </c>
      <c r="X21" s="14">
        <f>'שאיפה '!X23</f>
        <v>0</v>
      </c>
      <c r="Y21" s="14">
        <f>'שאיפה '!Y23</f>
        <v>0</v>
      </c>
      <c r="Z21" s="14">
        <f>'שאיפה '!Z23</f>
        <v>0</v>
      </c>
      <c r="AA21" s="101">
        <f>'שאיפה '!AA23</f>
        <v>746000</v>
      </c>
      <c r="AB21" s="55"/>
      <c r="AC21" s="55"/>
      <c r="AD21" s="55"/>
      <c r="AE21" s="57"/>
      <c r="AF21" s="57"/>
      <c r="AG21" s="57"/>
    </row>
    <row r="22" spans="1:34" s="15" customFormat="1">
      <c r="A22" s="13">
        <f t="shared" si="1"/>
        <v>15</v>
      </c>
      <c r="B22" s="13">
        <v>1973</v>
      </c>
      <c r="C22" s="13" t="s">
        <v>370</v>
      </c>
      <c r="D22" s="14">
        <f>'שאיפה '!D24</f>
        <v>1800000</v>
      </c>
      <c r="E22" s="14">
        <f>'שאיפה '!E24</f>
        <v>1800000</v>
      </c>
      <c r="F22" s="14">
        <f>'שאיפה '!F24</f>
        <v>0</v>
      </c>
      <c r="G22" s="14">
        <f>'שאיפה '!G24</f>
        <v>400000</v>
      </c>
      <c r="H22" s="14">
        <f>'שאיפה '!H24</f>
        <v>110838.29</v>
      </c>
      <c r="I22" s="14">
        <f>'שאיפה '!I24</f>
        <v>0</v>
      </c>
      <c r="J22" s="14">
        <f>'שאיפה '!J24</f>
        <v>207295.54</v>
      </c>
      <c r="K22" s="14">
        <f>'שאיפה '!K24</f>
        <v>207295.54</v>
      </c>
      <c r="L22" s="14">
        <f>'שאיפה '!L24</f>
        <v>318133.83</v>
      </c>
      <c r="M22" s="14">
        <f>'שאיפה '!M24</f>
        <v>281866.17</v>
      </c>
      <c r="N22" s="14">
        <f>'שאיפה '!N24</f>
        <v>500000</v>
      </c>
      <c r="O22" s="14">
        <f>'שאיפה '!O24</f>
        <v>700000</v>
      </c>
      <c r="P22" s="14">
        <f>'שאיפה '!P24</f>
        <v>81866.169999999984</v>
      </c>
      <c r="Q22" s="14">
        <f>'שאיפה '!Q24</f>
        <v>200000</v>
      </c>
      <c r="R22" s="14">
        <f>'שאיפה '!R24</f>
        <v>0</v>
      </c>
      <c r="S22" s="14">
        <f>'שאיפה '!S24</f>
        <v>200000</v>
      </c>
      <c r="T22" s="14">
        <f>'שאיפה '!T24</f>
        <v>0</v>
      </c>
      <c r="U22" s="14">
        <f>'שאיפה '!U24</f>
        <v>500000</v>
      </c>
      <c r="V22" s="14">
        <f>'שאיפה '!V24</f>
        <v>0</v>
      </c>
      <c r="W22" s="14">
        <f>'שאיפה '!W24</f>
        <v>500000</v>
      </c>
      <c r="X22" s="14">
        <f>'שאיפה '!X24</f>
        <v>0</v>
      </c>
      <c r="Y22" s="14">
        <f>'שאיפה '!Y24</f>
        <v>0</v>
      </c>
      <c r="Z22" s="14">
        <f>'שאיפה '!Z24</f>
        <v>0</v>
      </c>
      <c r="AA22" s="101">
        <f>'שאיפה '!AA24</f>
        <v>742000</v>
      </c>
      <c r="AB22" s="55"/>
      <c r="AC22" s="55"/>
      <c r="AD22" s="55"/>
      <c r="AE22" s="57"/>
      <c r="AF22" s="57"/>
      <c r="AG22" s="57"/>
    </row>
    <row r="23" spans="1:34" s="15" customFormat="1">
      <c r="A23" s="13">
        <f t="shared" si="1"/>
        <v>16</v>
      </c>
      <c r="B23" s="13">
        <v>1974</v>
      </c>
      <c r="C23" s="13" t="s">
        <v>444</v>
      </c>
      <c r="D23" s="14">
        <f>'שאיפה '!D25</f>
        <v>500000</v>
      </c>
      <c r="E23" s="14">
        <f>'שאיפה '!E25</f>
        <v>500000</v>
      </c>
      <c r="F23" s="14">
        <f>'שאיפה '!F25</f>
        <v>0</v>
      </c>
      <c r="G23" s="14">
        <f>'שאיפה '!G25</f>
        <v>200000</v>
      </c>
      <c r="H23" s="14">
        <f>'שאיפה '!H25</f>
        <v>0</v>
      </c>
      <c r="I23" s="14">
        <f>'שאיפה '!I25</f>
        <v>0</v>
      </c>
      <c r="J23" s="14">
        <f>'שאיפה '!J25</f>
        <v>16110.71</v>
      </c>
      <c r="K23" s="14">
        <f>'שאיפה '!K25</f>
        <v>16110.71</v>
      </c>
      <c r="L23" s="14">
        <f>'שאיפה '!L25</f>
        <v>16110.71</v>
      </c>
      <c r="M23" s="14">
        <f>'שאיפה '!M25</f>
        <v>83889.290000000008</v>
      </c>
      <c r="N23" s="14">
        <f>'שאיפה '!N25</f>
        <v>0</v>
      </c>
      <c r="O23" s="14">
        <f>'שאיפה '!O25</f>
        <v>400000</v>
      </c>
      <c r="P23" s="14">
        <f>'שאיפה '!P25</f>
        <v>183889.29</v>
      </c>
      <c r="Q23" s="14">
        <f>'שאיפה '!Q25</f>
        <v>0</v>
      </c>
      <c r="R23" s="14">
        <f>'שאיפה '!R25</f>
        <v>0</v>
      </c>
      <c r="S23" s="14">
        <f>'שאיפה '!S25</f>
        <v>0</v>
      </c>
      <c r="T23" s="14">
        <f>'שאיפה '!T25</f>
        <v>100000</v>
      </c>
      <c r="U23" s="14">
        <f>'שאיפה '!U25</f>
        <v>-100000</v>
      </c>
      <c r="V23" s="14">
        <f>'שאיפה '!V25</f>
        <v>-100000</v>
      </c>
      <c r="W23" s="14">
        <f>'שאיפה '!W25</f>
        <v>0</v>
      </c>
      <c r="X23" s="14">
        <f>'שאיפה '!X25</f>
        <v>0</v>
      </c>
      <c r="Y23" s="14">
        <f>'שאיפה '!Y25</f>
        <v>0</v>
      </c>
      <c r="Z23" s="14">
        <f>'שאיפה '!Z25</f>
        <v>0</v>
      </c>
      <c r="AA23" s="101">
        <f>'שאיפה '!AA25</f>
        <v>746000</v>
      </c>
      <c r="AB23" s="55"/>
      <c r="AC23" s="55"/>
      <c r="AD23" s="55"/>
      <c r="AE23" s="57"/>
      <c r="AF23" s="57"/>
      <c r="AG23" s="57"/>
    </row>
    <row r="24" spans="1:34" s="15" customFormat="1">
      <c r="A24" s="13">
        <f t="shared" si="1"/>
        <v>17</v>
      </c>
      <c r="B24" s="13">
        <v>1989</v>
      </c>
      <c r="C24" s="13" t="s">
        <v>445</v>
      </c>
      <c r="D24" s="14">
        <f>'שאיפה '!D26</f>
        <v>860000</v>
      </c>
      <c r="E24" s="14">
        <f>'שאיפה '!E26</f>
        <v>860000</v>
      </c>
      <c r="F24" s="14">
        <f>'שאיפה '!F26</f>
        <v>0</v>
      </c>
      <c r="G24" s="14">
        <f>'שאיפה '!G26</f>
        <v>0</v>
      </c>
      <c r="H24" s="14">
        <f>'שאיפה '!H26</f>
        <v>0</v>
      </c>
      <c r="I24" s="14">
        <f>'שאיפה '!I26</f>
        <v>0</v>
      </c>
      <c r="J24" s="14">
        <f>'שאיפה '!J26</f>
        <v>0</v>
      </c>
      <c r="K24" s="14">
        <f>'שאיפה '!K26</f>
        <v>0</v>
      </c>
      <c r="L24" s="14">
        <f>'שאיפה '!L26</f>
        <v>0</v>
      </c>
      <c r="M24" s="14">
        <f>'שאיפה '!M26</f>
        <v>0</v>
      </c>
      <c r="N24" s="14">
        <f>'שאיפה '!N26</f>
        <v>860000</v>
      </c>
      <c r="O24" s="14">
        <f>'שאיפה '!O26</f>
        <v>0</v>
      </c>
      <c r="P24" s="14">
        <f>'שאיפה '!P26</f>
        <v>0</v>
      </c>
      <c r="Q24" s="14">
        <f>'שאיפה '!Q26</f>
        <v>0</v>
      </c>
      <c r="R24" s="14">
        <f>'שאיפה '!R26</f>
        <v>0</v>
      </c>
      <c r="S24" s="14">
        <f>'שאיפה '!S26</f>
        <v>0</v>
      </c>
      <c r="T24" s="14">
        <f>'שאיפה '!T26</f>
        <v>0</v>
      </c>
      <c r="U24" s="14">
        <f>'שאיפה '!U26</f>
        <v>860000</v>
      </c>
      <c r="V24" s="14">
        <f>'שאיפה '!V26</f>
        <v>660000</v>
      </c>
      <c r="W24" s="14">
        <f>'שאיפה '!W26</f>
        <v>0</v>
      </c>
      <c r="X24" s="14">
        <f>'שאיפה '!X26</f>
        <v>0</v>
      </c>
      <c r="Y24" s="14">
        <f>'שאיפה '!Y26</f>
        <v>0</v>
      </c>
      <c r="Z24" s="14">
        <f>'שאיפה '!Z26</f>
        <v>200000</v>
      </c>
      <c r="AA24" s="101">
        <f>'שאיפה '!AA26</f>
        <v>746000</v>
      </c>
      <c r="AB24" s="55"/>
      <c r="AC24" s="55"/>
      <c r="AD24" s="55"/>
      <c r="AE24" s="57"/>
      <c r="AF24" s="57"/>
      <c r="AG24" s="57"/>
    </row>
    <row r="25" spans="1:34" s="15" customFormat="1">
      <c r="A25" s="13">
        <f t="shared" si="1"/>
        <v>18</v>
      </c>
      <c r="B25" s="13">
        <v>2006</v>
      </c>
      <c r="C25" s="13" t="s">
        <v>480</v>
      </c>
      <c r="D25" s="14">
        <f>'שאיפה '!D27</f>
        <v>980000</v>
      </c>
      <c r="E25" s="14">
        <f>'שאיפה '!E27</f>
        <v>980000</v>
      </c>
      <c r="F25" s="14">
        <f>'שאיפה '!F27</f>
        <v>0</v>
      </c>
      <c r="G25" s="14">
        <f>'שאיפה '!G27</f>
        <v>0</v>
      </c>
      <c r="H25" s="14">
        <f>'שאיפה '!H27</f>
        <v>0</v>
      </c>
      <c r="I25" s="14">
        <f>'שאיפה '!I27</f>
        <v>0</v>
      </c>
      <c r="J25" s="14">
        <f>'שאיפה '!J27</f>
        <v>0</v>
      </c>
      <c r="K25" s="14">
        <f>'שאיפה '!K27</f>
        <v>0</v>
      </c>
      <c r="L25" s="14">
        <f>'שאיפה '!L27</f>
        <v>0</v>
      </c>
      <c r="M25" s="14">
        <f>'שאיפה '!M27</f>
        <v>980000</v>
      </c>
      <c r="N25" s="14">
        <f>'שאיפה '!N27</f>
        <v>0</v>
      </c>
      <c r="O25" s="14">
        <f>'שאיפה '!O27</f>
        <v>0</v>
      </c>
      <c r="P25" s="14">
        <f>'שאיפה '!P27</f>
        <v>0</v>
      </c>
      <c r="Q25" s="14">
        <f>'שאיפה '!Q27</f>
        <v>0</v>
      </c>
      <c r="R25" s="14">
        <f>'שאיפה '!R27</f>
        <v>980000</v>
      </c>
      <c r="S25" s="14">
        <f>'שאיפה '!S27</f>
        <v>980000</v>
      </c>
      <c r="T25" s="14">
        <f>'שאיפה '!T27</f>
        <v>0</v>
      </c>
      <c r="U25" s="14">
        <f>'שאיפה '!U27</f>
        <v>0</v>
      </c>
      <c r="V25" s="14">
        <f>'שאיפה '!V27</f>
        <v>0</v>
      </c>
      <c r="W25" s="14">
        <f>'שאיפה '!W27</f>
        <v>0</v>
      </c>
      <c r="X25" s="14">
        <f>'שאיפה '!X27</f>
        <v>0</v>
      </c>
      <c r="Y25" s="14">
        <f>'שאיפה '!Y27</f>
        <v>0</v>
      </c>
      <c r="Z25" s="14">
        <f>'שאיפה '!Z27</f>
        <v>0</v>
      </c>
      <c r="AA25" s="101">
        <f>'שאיפה '!AA27</f>
        <v>746000</v>
      </c>
      <c r="AB25" s="55"/>
      <c r="AC25" s="55"/>
      <c r="AD25" s="55"/>
      <c r="AE25" s="57"/>
      <c r="AF25" s="57"/>
      <c r="AG25" s="57"/>
    </row>
    <row r="26" spans="1:34" s="15" customFormat="1">
      <c r="A26" s="13">
        <f t="shared" si="1"/>
        <v>19</v>
      </c>
      <c r="B26" s="69">
        <v>2035</v>
      </c>
      <c r="C26" s="13" t="s">
        <v>481</v>
      </c>
      <c r="D26" s="14">
        <f>'שאיפה '!D28</f>
        <v>953000</v>
      </c>
      <c r="E26" s="14">
        <f>'שאיפה '!E28</f>
        <v>0</v>
      </c>
      <c r="F26" s="14">
        <f>'שאיפה '!F28</f>
        <v>953000</v>
      </c>
      <c r="G26" s="14">
        <f>'שאיפה '!G28</f>
        <v>0</v>
      </c>
      <c r="H26" s="14">
        <f>'שאיפה '!H28</f>
        <v>0</v>
      </c>
      <c r="I26" s="14">
        <f>'שאיפה '!I28</f>
        <v>0</v>
      </c>
      <c r="J26" s="14">
        <f>'שאיפה '!J28</f>
        <v>0</v>
      </c>
      <c r="K26" s="14">
        <f>'שאיפה '!K28</f>
        <v>0</v>
      </c>
      <c r="L26" s="14">
        <f>'שאיפה '!L28</f>
        <v>0</v>
      </c>
      <c r="M26" s="14">
        <f>'שאיפה '!M28</f>
        <v>0</v>
      </c>
      <c r="N26" s="14">
        <f>'שאיפה '!N28</f>
        <v>953000</v>
      </c>
      <c r="O26" s="14">
        <f>'שאיפה '!O28</f>
        <v>0</v>
      </c>
      <c r="P26" s="14">
        <f>'שאיפה '!P28</f>
        <v>0</v>
      </c>
      <c r="Q26" s="14">
        <f>'שאיפה '!Q28</f>
        <v>0</v>
      </c>
      <c r="R26" s="14">
        <f>'שאיפה '!R28</f>
        <v>0</v>
      </c>
      <c r="S26" s="14">
        <f>'שאיפה '!S28</f>
        <v>0</v>
      </c>
      <c r="T26" s="14">
        <f>'שאיפה '!T28</f>
        <v>0</v>
      </c>
      <c r="U26" s="14">
        <f>'שאיפה '!U28</f>
        <v>953000</v>
      </c>
      <c r="V26" s="14">
        <f>'שאיפה '!V28</f>
        <v>953000</v>
      </c>
      <c r="W26" s="14">
        <f>'שאיפה '!W28</f>
        <v>0</v>
      </c>
      <c r="X26" s="14">
        <f>'שאיפה '!X28</f>
        <v>0</v>
      </c>
      <c r="Y26" s="14">
        <f>'שאיפה '!Y28</f>
        <v>0</v>
      </c>
      <c r="Z26" s="14">
        <f>'שאיפה '!Z28</f>
        <v>0</v>
      </c>
      <c r="AA26" s="101">
        <f>'שאיפה '!AA28</f>
        <v>746000</v>
      </c>
      <c r="AB26" s="55"/>
      <c r="AC26" s="57"/>
      <c r="AD26" s="55"/>
      <c r="AE26" s="57"/>
      <c r="AF26" s="57"/>
      <c r="AG26" s="57"/>
    </row>
    <row r="27" spans="1:34" s="15" customFormat="1">
      <c r="A27" s="13">
        <f t="shared" si="1"/>
        <v>20</v>
      </c>
      <c r="B27" s="69">
        <v>2039</v>
      </c>
      <c r="C27" s="13" t="s">
        <v>485</v>
      </c>
      <c r="D27" s="14">
        <f>'שאיפה '!D32</f>
        <v>285000</v>
      </c>
      <c r="E27" s="14">
        <f>'שאיפה '!E32</f>
        <v>0</v>
      </c>
      <c r="F27" s="14">
        <f>'שאיפה '!F32</f>
        <v>285000</v>
      </c>
      <c r="G27" s="14">
        <f>'שאיפה '!G32</f>
        <v>0</v>
      </c>
      <c r="H27" s="14">
        <f>'שאיפה '!H32</f>
        <v>0</v>
      </c>
      <c r="I27" s="14">
        <f>'שאיפה '!I32</f>
        <v>0</v>
      </c>
      <c r="J27" s="14">
        <f>'שאיפה '!J32</f>
        <v>0</v>
      </c>
      <c r="K27" s="14">
        <f>'שאיפה '!K32</f>
        <v>0</v>
      </c>
      <c r="L27" s="14">
        <f>'שאיפה '!L32</f>
        <v>0</v>
      </c>
      <c r="M27" s="14">
        <f>'שאיפה '!M32</f>
        <v>0</v>
      </c>
      <c r="N27" s="14">
        <f>'שאיפה '!N32</f>
        <v>285000</v>
      </c>
      <c r="O27" s="14">
        <f>'שאיפה '!O32</f>
        <v>0</v>
      </c>
      <c r="P27" s="14">
        <f>'שאיפה '!P32</f>
        <v>0</v>
      </c>
      <c r="Q27" s="14">
        <f>'שאיפה '!Q32</f>
        <v>0</v>
      </c>
      <c r="R27" s="14">
        <f>'שאיפה '!R32</f>
        <v>0</v>
      </c>
      <c r="S27" s="14">
        <f>'שאיפה '!S32</f>
        <v>0</v>
      </c>
      <c r="T27" s="14">
        <f>'שאיפה '!T32</f>
        <v>0</v>
      </c>
      <c r="U27" s="14">
        <f>'שאיפה '!U32</f>
        <v>285000</v>
      </c>
      <c r="V27" s="14">
        <f>'שאיפה '!V32</f>
        <v>0</v>
      </c>
      <c r="W27" s="14">
        <f>'שאיפה '!W32</f>
        <v>285000</v>
      </c>
      <c r="X27" s="14">
        <f>'שאיפה '!X32</f>
        <v>0</v>
      </c>
      <c r="Y27" s="14">
        <f>'שאיפה '!Y32</f>
        <v>0</v>
      </c>
      <c r="Z27" s="14">
        <f>'שאיפה '!Z32</f>
        <v>0</v>
      </c>
      <c r="AA27" s="101">
        <f>'שאיפה '!AA32</f>
        <v>760000</v>
      </c>
      <c r="AB27" s="55"/>
      <c r="AC27" s="57"/>
      <c r="AD27" s="55"/>
      <c r="AE27" s="57"/>
      <c r="AF27" s="57"/>
      <c r="AG27" s="57"/>
    </row>
    <row r="28" spans="1:34" s="15" customFormat="1" ht="30">
      <c r="A28" s="13">
        <f t="shared" si="1"/>
        <v>21</v>
      </c>
      <c r="B28" s="69">
        <v>2042</v>
      </c>
      <c r="C28" s="13" t="s">
        <v>1036</v>
      </c>
      <c r="D28" s="14">
        <f>'שאיפה '!D35</f>
        <v>740000</v>
      </c>
      <c r="E28" s="14">
        <f>'שאיפה '!E35</f>
        <v>0</v>
      </c>
      <c r="F28" s="14">
        <f>'שאיפה '!F35</f>
        <v>740000</v>
      </c>
      <c r="G28" s="14">
        <f>'שאיפה '!G35</f>
        <v>0</v>
      </c>
      <c r="H28" s="14">
        <f>'שאיפה '!H35</f>
        <v>0</v>
      </c>
      <c r="I28" s="14">
        <f>'שאיפה '!I35</f>
        <v>0</v>
      </c>
      <c r="J28" s="14">
        <f>'שאיפה '!J35</f>
        <v>0</v>
      </c>
      <c r="K28" s="14">
        <f>'שאיפה '!K35</f>
        <v>0</v>
      </c>
      <c r="L28" s="14">
        <f>'שאיפה '!L35</f>
        <v>0</v>
      </c>
      <c r="M28" s="14">
        <f>'שאיפה '!M35</f>
        <v>0</v>
      </c>
      <c r="N28" s="14">
        <f>'שאיפה '!N35</f>
        <v>740000</v>
      </c>
      <c r="O28" s="14">
        <f>'שאיפה '!O35</f>
        <v>0</v>
      </c>
      <c r="P28" s="14">
        <f>'שאיפה '!P35</f>
        <v>0</v>
      </c>
      <c r="Q28" s="14">
        <f>'שאיפה '!Q35</f>
        <v>0</v>
      </c>
      <c r="R28" s="14">
        <f>'שאיפה '!R35</f>
        <v>0</v>
      </c>
      <c r="S28" s="14">
        <f>'שאיפה '!S35</f>
        <v>0</v>
      </c>
      <c r="T28" s="14">
        <f>'שאיפה '!T35</f>
        <v>0</v>
      </c>
      <c r="U28" s="14">
        <f>'שאיפה '!U35</f>
        <v>740000</v>
      </c>
      <c r="V28" s="14">
        <f>'שאיפה '!V35</f>
        <v>600000</v>
      </c>
      <c r="W28" s="14">
        <f>'שאיפה '!W35</f>
        <v>140000</v>
      </c>
      <c r="X28" s="14">
        <f>'שאיפה '!X35</f>
        <v>0</v>
      </c>
      <c r="Y28" s="14">
        <f>'שאיפה '!Y35</f>
        <v>0</v>
      </c>
      <c r="Z28" s="14">
        <f>'שאיפה '!Z35</f>
        <v>0</v>
      </c>
      <c r="AA28" s="101">
        <f>'שאיפה '!AA35</f>
        <v>746000</v>
      </c>
      <c r="AB28" s="55"/>
      <c r="AC28" s="57"/>
      <c r="AD28" s="55"/>
      <c r="AE28" s="57"/>
      <c r="AF28" s="57"/>
      <c r="AG28" s="57"/>
    </row>
    <row r="29" spans="1:34" s="149" customFormat="1">
      <c r="A29" s="81"/>
      <c r="B29" s="81">
        <v>3</v>
      </c>
      <c r="C29" s="81" t="s">
        <v>1038</v>
      </c>
      <c r="D29" s="198">
        <f>SUM(D9:D28)</f>
        <v>109803000</v>
      </c>
      <c r="E29" s="198">
        <f t="shared" ref="E29:Z29" si="2">SUM(E9:E28)</f>
        <v>101665000</v>
      </c>
      <c r="F29" s="198">
        <f t="shared" si="2"/>
        <v>8138000</v>
      </c>
      <c r="G29" s="198">
        <f t="shared" si="2"/>
        <v>68325000</v>
      </c>
      <c r="H29" s="198">
        <f t="shared" si="2"/>
        <v>59268839.279999994</v>
      </c>
      <c r="I29" s="198">
        <f t="shared" si="2"/>
        <v>0</v>
      </c>
      <c r="J29" s="198">
        <f t="shared" si="2"/>
        <v>6479254.0599999996</v>
      </c>
      <c r="K29" s="198">
        <f t="shared" si="2"/>
        <v>6479254.0599999996</v>
      </c>
      <c r="L29" s="198">
        <f t="shared" si="2"/>
        <v>65748093.339999989</v>
      </c>
      <c r="M29" s="198">
        <f t="shared" si="2"/>
        <v>3656906.6600000011</v>
      </c>
      <c r="N29" s="198">
        <f t="shared" si="2"/>
        <v>13038000</v>
      </c>
      <c r="O29" s="198">
        <f t="shared" si="2"/>
        <v>27360000</v>
      </c>
      <c r="P29" s="198">
        <f t="shared" si="2"/>
        <v>2576906.6600000011</v>
      </c>
      <c r="Q29" s="198">
        <f t="shared" si="2"/>
        <v>200000</v>
      </c>
      <c r="R29" s="198">
        <f t="shared" si="2"/>
        <v>980000</v>
      </c>
      <c r="S29" s="198">
        <f t="shared" si="2"/>
        <v>1180000</v>
      </c>
      <c r="T29" s="198">
        <f t="shared" si="2"/>
        <v>100000</v>
      </c>
      <c r="U29" s="198">
        <f t="shared" si="2"/>
        <v>12938000</v>
      </c>
      <c r="V29" s="198">
        <f t="shared" si="2"/>
        <v>11013000</v>
      </c>
      <c r="W29" s="198">
        <f t="shared" si="2"/>
        <v>1725000</v>
      </c>
      <c r="X29" s="198">
        <f t="shared" si="2"/>
        <v>0</v>
      </c>
      <c r="Y29" s="198">
        <f t="shared" si="2"/>
        <v>0</v>
      </c>
      <c r="Z29" s="198">
        <f t="shared" si="2"/>
        <v>200000</v>
      </c>
      <c r="AA29" s="763"/>
      <c r="AB29" s="55"/>
      <c r="AC29" s="765"/>
      <c r="AD29" s="766"/>
      <c r="AE29" s="766"/>
      <c r="AF29" s="767"/>
      <c r="AG29" s="767"/>
      <c r="AH29" s="766"/>
    </row>
    <row r="30" spans="1:34" s="15" customFormat="1">
      <c r="A30" s="13"/>
      <c r="B30" s="69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01"/>
      <c r="AB30" s="55"/>
      <c r="AC30" s="57"/>
      <c r="AD30" s="55"/>
      <c r="AE30" s="57"/>
      <c r="AF30" s="57"/>
      <c r="AG30" s="57"/>
    </row>
    <row r="31" spans="1:34" s="15" customFormat="1">
      <c r="A31" s="13">
        <f>A28+1</f>
        <v>22</v>
      </c>
      <c r="B31" s="13">
        <v>1192</v>
      </c>
      <c r="C31" s="13" t="s">
        <v>152</v>
      </c>
      <c r="D31" s="14">
        <f>'שאיפה '!D8</f>
        <v>1085000</v>
      </c>
      <c r="E31" s="14">
        <f>'שאיפה '!E8</f>
        <v>835000</v>
      </c>
      <c r="F31" s="14">
        <f>'שאיפה '!F8</f>
        <v>250000</v>
      </c>
      <c r="G31" s="14">
        <f>'שאיפה '!G8</f>
        <v>485000</v>
      </c>
      <c r="H31" s="14">
        <f>'שאיפה '!H8</f>
        <v>405559.85</v>
      </c>
      <c r="I31" s="14">
        <f>'שאיפה '!I8</f>
        <v>0</v>
      </c>
      <c r="J31" s="14">
        <f>'שאיפה '!J8</f>
        <v>0</v>
      </c>
      <c r="K31" s="14">
        <f>'שאיפה '!K8</f>
        <v>0</v>
      </c>
      <c r="L31" s="14">
        <f>'שאיפה '!L8</f>
        <v>405559.85</v>
      </c>
      <c r="M31" s="14">
        <f>'שאיפה '!M8</f>
        <v>79440.150000000023</v>
      </c>
      <c r="N31" s="14">
        <f>'שאיפה '!N8</f>
        <v>0</v>
      </c>
      <c r="O31" s="14">
        <f>'שאיפה '!O8</f>
        <v>600000</v>
      </c>
      <c r="P31" s="14">
        <f>'שאיפה '!P8</f>
        <v>79440.150000000023</v>
      </c>
      <c r="Q31" s="14">
        <f>'שאיפה '!Q8</f>
        <v>0</v>
      </c>
      <c r="R31" s="14">
        <f>'שאיפה '!R8</f>
        <v>0</v>
      </c>
      <c r="S31" s="14">
        <f>'שאיפה '!S8</f>
        <v>0</v>
      </c>
      <c r="T31" s="14">
        <f>'שאיפה '!T8</f>
        <v>0</v>
      </c>
      <c r="U31" s="14">
        <f>'שאיפה '!U8</f>
        <v>0</v>
      </c>
      <c r="V31" s="14">
        <f>'שאיפה '!V8</f>
        <v>0</v>
      </c>
      <c r="W31" s="14">
        <f>'שאיפה '!W8</f>
        <v>0</v>
      </c>
      <c r="X31" s="14">
        <f>'שאיפה '!X8</f>
        <v>0</v>
      </c>
      <c r="Y31" s="14">
        <f>'שאיפה '!Y8</f>
        <v>0</v>
      </c>
      <c r="Z31" s="14">
        <f>'שאיפה '!Z8</f>
        <v>0</v>
      </c>
      <c r="AA31" s="101">
        <f>'שאיפה '!AA8</f>
        <v>810000</v>
      </c>
      <c r="AB31" s="55"/>
      <c r="AC31" s="55"/>
      <c r="AD31" s="55"/>
      <c r="AE31" s="55"/>
      <c r="AF31" s="55"/>
      <c r="AG31" s="55"/>
    </row>
    <row r="32" spans="1:34" s="15" customFormat="1">
      <c r="A32" s="13">
        <f>A31+1</f>
        <v>23</v>
      </c>
      <c r="B32" s="69">
        <v>2036</v>
      </c>
      <c r="C32" s="13" t="s">
        <v>482</v>
      </c>
      <c r="D32" s="14">
        <f>'שאיפה '!D29</f>
        <v>950000</v>
      </c>
      <c r="E32" s="14">
        <f>'שאיפה '!E29</f>
        <v>0</v>
      </c>
      <c r="F32" s="14">
        <f>'שאיפה '!F29</f>
        <v>950000</v>
      </c>
      <c r="G32" s="14">
        <f>'שאיפה '!G29</f>
        <v>0</v>
      </c>
      <c r="H32" s="14">
        <f>'שאיפה '!H29</f>
        <v>0</v>
      </c>
      <c r="I32" s="14">
        <f>'שאיפה '!I29</f>
        <v>0</v>
      </c>
      <c r="J32" s="14">
        <f>'שאיפה '!J29</f>
        <v>0</v>
      </c>
      <c r="K32" s="14">
        <f>'שאיפה '!K29</f>
        <v>0</v>
      </c>
      <c r="L32" s="14">
        <f>'שאיפה '!L29</f>
        <v>0</v>
      </c>
      <c r="M32" s="14">
        <f>'שאיפה '!M29</f>
        <v>0</v>
      </c>
      <c r="N32" s="14">
        <f>'שאיפה '!N29</f>
        <v>500000</v>
      </c>
      <c r="O32" s="14">
        <f>'שאיפה '!O29</f>
        <v>450000</v>
      </c>
      <c r="P32" s="14">
        <f>'שאיפה '!P29</f>
        <v>0</v>
      </c>
      <c r="Q32" s="14">
        <f>'שאיפה '!Q29</f>
        <v>0</v>
      </c>
      <c r="R32" s="14">
        <f>'שאיפה '!R29</f>
        <v>0</v>
      </c>
      <c r="S32" s="14">
        <f>'שאיפה '!S29</f>
        <v>0</v>
      </c>
      <c r="T32" s="14">
        <f>'שאיפה '!T29</f>
        <v>0</v>
      </c>
      <c r="U32" s="14">
        <f>'שאיפה '!U29</f>
        <v>500000</v>
      </c>
      <c r="V32" s="14">
        <f>'שאיפה '!V29</f>
        <v>500000</v>
      </c>
      <c r="W32" s="14">
        <f>'שאיפה '!W29</f>
        <v>0</v>
      </c>
      <c r="X32" s="14">
        <f>'שאיפה '!X29</f>
        <v>0</v>
      </c>
      <c r="Y32" s="14">
        <f>'שאיפה '!Y29</f>
        <v>0</v>
      </c>
      <c r="Z32" s="14">
        <f>'שאיפה '!Z29</f>
        <v>0</v>
      </c>
      <c r="AA32" s="101">
        <f>'שאיפה '!AA29</f>
        <v>810000</v>
      </c>
      <c r="AB32" s="55"/>
      <c r="AC32" s="57"/>
      <c r="AD32" s="55"/>
      <c r="AE32" s="57"/>
      <c r="AF32" s="57"/>
      <c r="AG32" s="57"/>
    </row>
    <row r="33" spans="1:34" s="15" customFormat="1">
      <c r="A33" s="13">
        <f t="shared" ref="A33:A34" si="3">A32+1</f>
        <v>24</v>
      </c>
      <c r="B33" s="69">
        <v>2038</v>
      </c>
      <c r="C33" s="13" t="s">
        <v>484</v>
      </c>
      <c r="D33" s="14">
        <f>'שאיפה '!D31</f>
        <v>1500000</v>
      </c>
      <c r="E33" s="14">
        <f>'שאיפה '!E31</f>
        <v>0</v>
      </c>
      <c r="F33" s="14">
        <f>'שאיפה '!F31</f>
        <v>1500000</v>
      </c>
      <c r="G33" s="14">
        <f>'שאיפה '!G31</f>
        <v>0</v>
      </c>
      <c r="H33" s="14">
        <f>'שאיפה '!H31</f>
        <v>0</v>
      </c>
      <c r="I33" s="14">
        <f>'שאיפה '!I31</f>
        <v>0</v>
      </c>
      <c r="J33" s="14">
        <f>'שאיפה '!J31</f>
        <v>0</v>
      </c>
      <c r="K33" s="14">
        <f>'שאיפה '!K31</f>
        <v>0</v>
      </c>
      <c r="L33" s="14">
        <f>'שאיפה '!L31</f>
        <v>0</v>
      </c>
      <c r="M33" s="14">
        <f>'שאיפה '!M31</f>
        <v>0</v>
      </c>
      <c r="N33" s="14">
        <f>'שאיפה '!N31</f>
        <v>1500000</v>
      </c>
      <c r="O33" s="14">
        <f>'שאיפה '!O31</f>
        <v>0</v>
      </c>
      <c r="P33" s="14">
        <f>'שאיפה '!P31</f>
        <v>0</v>
      </c>
      <c r="Q33" s="14">
        <f>'שאיפה '!Q31</f>
        <v>0</v>
      </c>
      <c r="R33" s="14">
        <f>'שאיפה '!R31</f>
        <v>0</v>
      </c>
      <c r="S33" s="14">
        <f>'שאיפה '!S31</f>
        <v>0</v>
      </c>
      <c r="T33" s="14">
        <f>'שאיפה '!T31</f>
        <v>0</v>
      </c>
      <c r="U33" s="14">
        <f>'שאיפה '!U31</f>
        <v>1500000</v>
      </c>
      <c r="V33" s="14">
        <f>'שאיפה '!V31</f>
        <v>1500000</v>
      </c>
      <c r="W33" s="14">
        <f>'שאיפה '!W31</f>
        <v>0</v>
      </c>
      <c r="X33" s="14">
        <f>'שאיפה '!X31</f>
        <v>0</v>
      </c>
      <c r="Y33" s="14">
        <f>'שאיפה '!Y31</f>
        <v>0</v>
      </c>
      <c r="Z33" s="14">
        <f>'שאיפה '!Z31</f>
        <v>0</v>
      </c>
      <c r="AA33" s="101">
        <f>'שאיפה '!AA31</f>
        <v>810000</v>
      </c>
      <c r="AB33" s="55"/>
      <c r="AC33" s="57"/>
      <c r="AD33" s="55"/>
      <c r="AE33" s="57"/>
      <c r="AF33" s="57"/>
      <c r="AG33" s="57"/>
    </row>
    <row r="34" spans="1:34" s="15" customFormat="1">
      <c r="A34" s="13">
        <f t="shared" si="3"/>
        <v>25</v>
      </c>
      <c r="B34" s="69">
        <v>2041</v>
      </c>
      <c r="C34" s="13" t="s">
        <v>487</v>
      </c>
      <c r="D34" s="14">
        <f>'שאיפה '!D34</f>
        <v>650000</v>
      </c>
      <c r="E34" s="14">
        <f>'שאיפה '!E34</f>
        <v>0</v>
      </c>
      <c r="F34" s="14">
        <f>'שאיפה '!F34</f>
        <v>650000</v>
      </c>
      <c r="G34" s="14">
        <f>'שאיפה '!G34</f>
        <v>0</v>
      </c>
      <c r="H34" s="14">
        <f>'שאיפה '!H34</f>
        <v>0</v>
      </c>
      <c r="I34" s="14">
        <f>'שאיפה '!I34</f>
        <v>0</v>
      </c>
      <c r="J34" s="14">
        <f>'שאיפה '!J34</f>
        <v>0</v>
      </c>
      <c r="K34" s="14">
        <f>'שאיפה '!K34</f>
        <v>0</v>
      </c>
      <c r="L34" s="14">
        <f>'שאיפה '!L34</f>
        <v>0</v>
      </c>
      <c r="M34" s="14">
        <f>'שאיפה '!M34</f>
        <v>0</v>
      </c>
      <c r="N34" s="14">
        <f>'שאיפה '!N34</f>
        <v>650000</v>
      </c>
      <c r="O34" s="14">
        <f>'שאיפה '!O34</f>
        <v>0</v>
      </c>
      <c r="P34" s="14">
        <f>'שאיפה '!P34</f>
        <v>0</v>
      </c>
      <c r="Q34" s="14">
        <f>'שאיפה '!Q34</f>
        <v>0</v>
      </c>
      <c r="R34" s="14">
        <f>'שאיפה '!R34</f>
        <v>0</v>
      </c>
      <c r="S34" s="14">
        <f>'שאיפה '!S34</f>
        <v>0</v>
      </c>
      <c r="T34" s="14">
        <f>'שאיפה '!T34</f>
        <v>0</v>
      </c>
      <c r="U34" s="14">
        <f>'שאיפה '!U34</f>
        <v>650000</v>
      </c>
      <c r="V34" s="14">
        <f>'שאיפה '!V34</f>
        <v>650000</v>
      </c>
      <c r="W34" s="14">
        <f>'שאיפה '!W34</f>
        <v>0</v>
      </c>
      <c r="X34" s="14">
        <f>'שאיפה '!X34</f>
        <v>0</v>
      </c>
      <c r="Y34" s="14">
        <f>'שאיפה '!Y34</f>
        <v>0</v>
      </c>
      <c r="Z34" s="14">
        <f>'שאיפה '!Z34</f>
        <v>0</v>
      </c>
      <c r="AA34" s="101">
        <f>'שאיפה '!AA34</f>
        <v>810000</v>
      </c>
      <c r="AB34" s="55"/>
      <c r="AC34" s="57"/>
      <c r="AD34" s="55"/>
      <c r="AE34" s="57"/>
      <c r="AF34" s="57"/>
      <c r="AG34" s="57"/>
    </row>
    <row r="35" spans="1:34" s="149" customFormat="1">
      <c r="A35" s="81"/>
      <c r="B35" s="81">
        <v>6</v>
      </c>
      <c r="C35" s="81" t="s">
        <v>1040</v>
      </c>
      <c r="D35" s="198">
        <f>SUM(D31:D34)</f>
        <v>4185000</v>
      </c>
      <c r="E35" s="198">
        <f t="shared" ref="E35:Z35" si="4">SUM(E31:E34)</f>
        <v>835000</v>
      </c>
      <c r="F35" s="198">
        <f t="shared" si="4"/>
        <v>3350000</v>
      </c>
      <c r="G35" s="198">
        <f t="shared" si="4"/>
        <v>485000</v>
      </c>
      <c r="H35" s="198">
        <f t="shared" si="4"/>
        <v>405559.85</v>
      </c>
      <c r="I35" s="198">
        <f t="shared" si="4"/>
        <v>0</v>
      </c>
      <c r="J35" s="198">
        <f t="shared" si="4"/>
        <v>0</v>
      </c>
      <c r="K35" s="198">
        <f t="shared" si="4"/>
        <v>0</v>
      </c>
      <c r="L35" s="198">
        <f t="shared" si="4"/>
        <v>405559.85</v>
      </c>
      <c r="M35" s="198">
        <f t="shared" si="4"/>
        <v>79440.150000000023</v>
      </c>
      <c r="N35" s="198">
        <f t="shared" si="4"/>
        <v>2650000</v>
      </c>
      <c r="O35" s="198">
        <f t="shared" si="4"/>
        <v>1050000</v>
      </c>
      <c r="P35" s="198">
        <f t="shared" si="4"/>
        <v>79440.150000000023</v>
      </c>
      <c r="Q35" s="198">
        <f t="shared" si="4"/>
        <v>0</v>
      </c>
      <c r="R35" s="198">
        <f t="shared" si="4"/>
        <v>0</v>
      </c>
      <c r="S35" s="198">
        <f t="shared" si="4"/>
        <v>0</v>
      </c>
      <c r="T35" s="198">
        <f t="shared" si="4"/>
        <v>0</v>
      </c>
      <c r="U35" s="198">
        <f t="shared" si="4"/>
        <v>2650000</v>
      </c>
      <c r="V35" s="198">
        <f t="shared" si="4"/>
        <v>2650000</v>
      </c>
      <c r="W35" s="198">
        <f t="shared" si="4"/>
        <v>0</v>
      </c>
      <c r="X35" s="198">
        <f t="shared" si="4"/>
        <v>0</v>
      </c>
      <c r="Y35" s="198">
        <f t="shared" si="4"/>
        <v>0</v>
      </c>
      <c r="Z35" s="198">
        <f t="shared" si="4"/>
        <v>0</v>
      </c>
      <c r="AA35" s="763"/>
      <c r="AB35" s="55"/>
      <c r="AC35" s="765"/>
      <c r="AD35" s="766"/>
      <c r="AE35" s="766"/>
      <c r="AF35" s="767"/>
      <c r="AG35" s="767"/>
      <c r="AH35" s="766"/>
    </row>
    <row r="36" spans="1:34" s="15" customFormat="1">
      <c r="A36" s="13"/>
      <c r="B36" s="69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01"/>
      <c r="AB36" s="55"/>
      <c r="AC36" s="57"/>
      <c r="AD36" s="55"/>
      <c r="AE36" s="57"/>
      <c r="AF36" s="57"/>
      <c r="AG36" s="57"/>
    </row>
    <row r="37" spans="1:34" s="15" customFormat="1">
      <c r="A37" s="13">
        <f>A34+1</f>
        <v>26</v>
      </c>
      <c r="B37" s="69">
        <v>2040</v>
      </c>
      <c r="C37" s="13" t="s">
        <v>486</v>
      </c>
      <c r="D37" s="14">
        <f>'שאיפה '!D33</f>
        <v>410000</v>
      </c>
      <c r="E37" s="14">
        <f>'שאיפה '!E33</f>
        <v>0</v>
      </c>
      <c r="F37" s="14">
        <f>'שאיפה '!F33</f>
        <v>410000</v>
      </c>
      <c r="G37" s="14">
        <f>'שאיפה '!G33</f>
        <v>0</v>
      </c>
      <c r="H37" s="14">
        <f>'שאיפה '!H33</f>
        <v>0</v>
      </c>
      <c r="I37" s="14">
        <f>'שאיפה '!I33</f>
        <v>0</v>
      </c>
      <c r="J37" s="14">
        <f>'שאיפה '!J33</f>
        <v>0</v>
      </c>
      <c r="K37" s="14">
        <f>'שאיפה '!K33</f>
        <v>0</v>
      </c>
      <c r="L37" s="14">
        <f>'שאיפה '!L33</f>
        <v>0</v>
      </c>
      <c r="M37" s="14">
        <f>'שאיפה '!M33</f>
        <v>0</v>
      </c>
      <c r="N37" s="14">
        <f>'שאיפה '!N33</f>
        <v>410000</v>
      </c>
      <c r="O37" s="14">
        <f>'שאיפה '!O33</f>
        <v>0</v>
      </c>
      <c r="P37" s="14">
        <f>'שאיפה '!P33</f>
        <v>0</v>
      </c>
      <c r="Q37" s="14">
        <f>'שאיפה '!Q33</f>
        <v>0</v>
      </c>
      <c r="R37" s="14">
        <f>'שאיפה '!R33</f>
        <v>0</v>
      </c>
      <c r="S37" s="14">
        <f>'שאיפה '!S33</f>
        <v>0</v>
      </c>
      <c r="T37" s="14">
        <f>'שאיפה '!T33</f>
        <v>0</v>
      </c>
      <c r="U37" s="14">
        <f>'שאיפה '!U33</f>
        <v>410000</v>
      </c>
      <c r="V37" s="14">
        <f>'שאיפה '!V33</f>
        <v>210000</v>
      </c>
      <c r="W37" s="14">
        <f>'שאיפה '!W33</f>
        <v>200000</v>
      </c>
      <c r="X37" s="14">
        <f>'שאיפה '!X33</f>
        <v>0</v>
      </c>
      <c r="Y37" s="14">
        <f>'שאיפה '!Y33</f>
        <v>0</v>
      </c>
      <c r="Z37" s="14">
        <f>'שאיפה '!Z33</f>
        <v>0</v>
      </c>
      <c r="AA37" s="101">
        <f>'שאיפה '!AA33</f>
        <v>829000</v>
      </c>
      <c r="AB37" s="55"/>
      <c r="AC37" s="57"/>
      <c r="AD37" s="55"/>
      <c r="AE37" s="57"/>
      <c r="AF37" s="57"/>
      <c r="AG37" s="57"/>
    </row>
    <row r="38" spans="1:34" s="149" customFormat="1">
      <c r="A38" s="81"/>
      <c r="B38" s="81">
        <v>6</v>
      </c>
      <c r="C38" s="81" t="s">
        <v>1041</v>
      </c>
      <c r="D38" s="198">
        <f>SUM(D37)</f>
        <v>410000</v>
      </c>
      <c r="E38" s="198">
        <f t="shared" ref="E38:Z38" si="5">SUM(E37)</f>
        <v>0</v>
      </c>
      <c r="F38" s="198">
        <f t="shared" si="5"/>
        <v>410000</v>
      </c>
      <c r="G38" s="198">
        <f t="shared" si="5"/>
        <v>0</v>
      </c>
      <c r="H38" s="198">
        <f t="shared" si="5"/>
        <v>0</v>
      </c>
      <c r="I38" s="198">
        <f t="shared" si="5"/>
        <v>0</v>
      </c>
      <c r="J38" s="198">
        <f t="shared" si="5"/>
        <v>0</v>
      </c>
      <c r="K38" s="198">
        <f t="shared" si="5"/>
        <v>0</v>
      </c>
      <c r="L38" s="198">
        <f t="shared" si="5"/>
        <v>0</v>
      </c>
      <c r="M38" s="198">
        <f t="shared" si="5"/>
        <v>0</v>
      </c>
      <c r="N38" s="198">
        <f t="shared" si="5"/>
        <v>410000</v>
      </c>
      <c r="O38" s="198">
        <f t="shared" si="5"/>
        <v>0</v>
      </c>
      <c r="P38" s="198">
        <f t="shared" si="5"/>
        <v>0</v>
      </c>
      <c r="Q38" s="198">
        <f t="shared" si="5"/>
        <v>0</v>
      </c>
      <c r="R38" s="198">
        <f t="shared" si="5"/>
        <v>0</v>
      </c>
      <c r="S38" s="198">
        <f t="shared" si="5"/>
        <v>0</v>
      </c>
      <c r="T38" s="198">
        <f t="shared" si="5"/>
        <v>0</v>
      </c>
      <c r="U38" s="198">
        <f t="shared" si="5"/>
        <v>410000</v>
      </c>
      <c r="V38" s="198">
        <f t="shared" si="5"/>
        <v>210000</v>
      </c>
      <c r="W38" s="198">
        <f t="shared" si="5"/>
        <v>200000</v>
      </c>
      <c r="X38" s="198">
        <f t="shared" si="5"/>
        <v>0</v>
      </c>
      <c r="Y38" s="198">
        <f t="shared" si="5"/>
        <v>0</v>
      </c>
      <c r="Z38" s="198">
        <f t="shared" si="5"/>
        <v>0</v>
      </c>
      <c r="AA38" s="763"/>
      <c r="AB38" s="55"/>
      <c r="AC38" s="765"/>
      <c r="AD38" s="766"/>
      <c r="AE38" s="766"/>
      <c r="AF38" s="767"/>
      <c r="AG38" s="767"/>
      <c r="AH38" s="766"/>
    </row>
    <row r="39" spans="1:34" s="149" customFormat="1">
      <c r="A39" s="81"/>
      <c r="B39" s="81"/>
      <c r="C39" s="81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763"/>
      <c r="AB39" s="55"/>
      <c r="AC39" s="765"/>
      <c r="AD39" s="766"/>
      <c r="AE39" s="766"/>
      <c r="AF39" s="767"/>
      <c r="AG39" s="767"/>
      <c r="AH39" s="766"/>
    </row>
    <row r="40" spans="1:34" s="15" customFormat="1">
      <c r="A40" s="13">
        <f>A37+1</f>
        <v>27</v>
      </c>
      <c r="B40" s="13">
        <v>1435</v>
      </c>
      <c r="C40" s="13" t="s">
        <v>318</v>
      </c>
      <c r="D40" s="14">
        <f>'שאיפה '!D14</f>
        <v>26300000</v>
      </c>
      <c r="E40" s="14">
        <f>'שאיפה '!E14</f>
        <v>19800000</v>
      </c>
      <c r="F40" s="14">
        <f>'שאיפה '!F14</f>
        <v>6500000</v>
      </c>
      <c r="G40" s="14">
        <f>'שאיפה '!G14</f>
        <v>18774320</v>
      </c>
      <c r="H40" s="14">
        <f>'שאיפה '!H14</f>
        <v>15924296.5</v>
      </c>
      <c r="I40" s="14">
        <f>'שאיפה '!I14</f>
        <v>0</v>
      </c>
      <c r="J40" s="14">
        <f>'שאיפה '!J14</f>
        <v>2445844.85</v>
      </c>
      <c r="K40" s="14">
        <f>'שאיפה '!K14</f>
        <v>2445844.85</v>
      </c>
      <c r="L40" s="14">
        <f>'שאיפה '!L14</f>
        <v>18370141.350000001</v>
      </c>
      <c r="M40" s="14">
        <f>'שאיפה '!M14</f>
        <v>404178.64999999851</v>
      </c>
      <c r="N40" s="14">
        <f>'שאיפה '!N14</f>
        <v>3500000</v>
      </c>
      <c r="O40" s="14">
        <f>'שאיפה '!O14</f>
        <v>4025680</v>
      </c>
      <c r="P40" s="14">
        <f>'שאיפה '!P14</f>
        <v>404178.64999999851</v>
      </c>
      <c r="Q40" s="14">
        <f>'שאיפה '!Q14</f>
        <v>0</v>
      </c>
      <c r="R40" s="14">
        <f>'שאיפה '!R14</f>
        <v>0</v>
      </c>
      <c r="S40" s="14">
        <f>'שאיפה '!S14</f>
        <v>0</v>
      </c>
      <c r="T40" s="14">
        <f>'שאיפה '!T14</f>
        <v>0</v>
      </c>
      <c r="U40" s="14">
        <f>'שאיפה '!U14</f>
        <v>3500000</v>
      </c>
      <c r="V40" s="14">
        <f>'שאיפה '!V14</f>
        <v>1000000</v>
      </c>
      <c r="W40" s="14">
        <f>'שאיפה '!W14</f>
        <v>2500000</v>
      </c>
      <c r="X40" s="14">
        <f>'שאיפה '!X14</f>
        <v>0</v>
      </c>
      <c r="Y40" s="14">
        <f>'שאיפה '!Y14</f>
        <v>0</v>
      </c>
      <c r="Z40" s="14">
        <f>'שאיפה '!Z14</f>
        <v>0</v>
      </c>
      <c r="AA40" s="101">
        <f>'שאיפה '!AA14</f>
        <v>848500</v>
      </c>
      <c r="AB40" s="55"/>
      <c r="AC40" s="55"/>
      <c r="AD40" s="55"/>
      <c r="AE40" s="55"/>
      <c r="AF40" s="55"/>
      <c r="AG40" s="55"/>
    </row>
    <row r="41" spans="1:34" s="149" customFormat="1">
      <c r="A41" s="81"/>
      <c r="B41" s="81">
        <v>9</v>
      </c>
      <c r="C41" s="81" t="s">
        <v>1043</v>
      </c>
      <c r="D41" s="198">
        <f>SUM(D40)</f>
        <v>26300000</v>
      </c>
      <c r="E41" s="198">
        <f t="shared" ref="E41:Z41" si="6">SUM(E40)</f>
        <v>19800000</v>
      </c>
      <c r="F41" s="198">
        <f t="shared" si="6"/>
        <v>6500000</v>
      </c>
      <c r="G41" s="198">
        <f t="shared" si="6"/>
        <v>18774320</v>
      </c>
      <c r="H41" s="198">
        <f t="shared" si="6"/>
        <v>15924296.5</v>
      </c>
      <c r="I41" s="198">
        <f t="shared" si="6"/>
        <v>0</v>
      </c>
      <c r="J41" s="198">
        <f t="shared" si="6"/>
        <v>2445844.85</v>
      </c>
      <c r="K41" s="198">
        <f t="shared" si="6"/>
        <v>2445844.85</v>
      </c>
      <c r="L41" s="198">
        <f t="shared" si="6"/>
        <v>18370141.350000001</v>
      </c>
      <c r="M41" s="198">
        <f t="shared" si="6"/>
        <v>404178.64999999851</v>
      </c>
      <c r="N41" s="198">
        <f t="shared" si="6"/>
        <v>3500000</v>
      </c>
      <c r="O41" s="198">
        <f t="shared" si="6"/>
        <v>4025680</v>
      </c>
      <c r="P41" s="198">
        <f t="shared" si="6"/>
        <v>404178.64999999851</v>
      </c>
      <c r="Q41" s="198">
        <f t="shared" si="6"/>
        <v>0</v>
      </c>
      <c r="R41" s="198">
        <f t="shared" si="6"/>
        <v>0</v>
      </c>
      <c r="S41" s="198">
        <f t="shared" si="6"/>
        <v>0</v>
      </c>
      <c r="T41" s="198">
        <f t="shared" si="6"/>
        <v>0</v>
      </c>
      <c r="U41" s="198">
        <f t="shared" si="6"/>
        <v>3500000</v>
      </c>
      <c r="V41" s="198">
        <f t="shared" si="6"/>
        <v>1000000</v>
      </c>
      <c r="W41" s="198">
        <f t="shared" si="6"/>
        <v>2500000</v>
      </c>
      <c r="X41" s="198">
        <f t="shared" si="6"/>
        <v>0</v>
      </c>
      <c r="Y41" s="198">
        <f t="shared" si="6"/>
        <v>0</v>
      </c>
      <c r="Z41" s="198">
        <f t="shared" si="6"/>
        <v>0</v>
      </c>
      <c r="AA41" s="763"/>
      <c r="AB41" s="55"/>
      <c r="AC41" s="765"/>
      <c r="AD41" s="766"/>
      <c r="AE41" s="766"/>
      <c r="AF41" s="767"/>
      <c r="AG41" s="767"/>
      <c r="AH41" s="766"/>
    </row>
    <row r="42" spans="1:34" s="15" customFormat="1">
      <c r="A42" s="13"/>
      <c r="B42" s="13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01"/>
      <c r="AB42" s="55"/>
      <c r="AC42" s="55"/>
      <c r="AD42" s="55"/>
      <c r="AE42" s="55"/>
      <c r="AF42" s="55"/>
      <c r="AG42" s="55"/>
    </row>
    <row r="43" spans="1:34" s="15" customFormat="1">
      <c r="A43" s="13">
        <f>A40+1</f>
        <v>28</v>
      </c>
      <c r="B43" s="13">
        <v>1899</v>
      </c>
      <c r="C43" s="13" t="s">
        <v>367</v>
      </c>
      <c r="D43" s="14">
        <f>'שאיפה '!D21</f>
        <v>500000</v>
      </c>
      <c r="E43" s="14">
        <f>'שאיפה '!E21</f>
        <v>380000</v>
      </c>
      <c r="F43" s="14">
        <f>'שאיפה '!F21</f>
        <v>120000</v>
      </c>
      <c r="G43" s="14">
        <f>'שאיפה '!G21</f>
        <v>170000</v>
      </c>
      <c r="H43" s="14">
        <f>'שאיפה '!H21</f>
        <v>62946</v>
      </c>
      <c r="I43" s="14">
        <f>'שאיפה '!I21</f>
        <v>0</v>
      </c>
      <c r="J43" s="14">
        <f>'שאיפה '!J21</f>
        <v>107037.45</v>
      </c>
      <c r="K43" s="14">
        <f>'שאיפה '!K21</f>
        <v>107037.45</v>
      </c>
      <c r="L43" s="14">
        <f>'שאיפה '!L21</f>
        <v>169983.45</v>
      </c>
      <c r="M43" s="14">
        <f>'שאיפה '!M21</f>
        <v>16.549999999988358</v>
      </c>
      <c r="N43" s="14">
        <f>'שאיפה '!N21</f>
        <v>0</v>
      </c>
      <c r="O43" s="14">
        <f>'שאיפה '!O21</f>
        <v>330000</v>
      </c>
      <c r="P43" s="14">
        <f>'שאיפה '!P21</f>
        <v>16.549999999988358</v>
      </c>
      <c r="Q43" s="14">
        <f>'שאיפה '!Q21</f>
        <v>0</v>
      </c>
      <c r="R43" s="14">
        <f>'שאיפה '!R21</f>
        <v>0</v>
      </c>
      <c r="S43" s="14">
        <f>'שאיפה '!S21</f>
        <v>0</v>
      </c>
      <c r="T43" s="14">
        <f>'שאיפה '!T21</f>
        <v>0</v>
      </c>
      <c r="U43" s="14">
        <f>'שאיפה '!U21</f>
        <v>0</v>
      </c>
      <c r="V43" s="14">
        <f>'שאיפה '!V21</f>
        <v>0</v>
      </c>
      <c r="W43" s="14">
        <f>'שאיפה '!W21</f>
        <v>0</v>
      </c>
      <c r="X43" s="14">
        <f>'שאיפה '!X21</f>
        <v>0</v>
      </c>
      <c r="Y43" s="14">
        <f>'שאיפה '!Y21</f>
        <v>0</v>
      </c>
      <c r="Z43" s="14">
        <f>'שאיפה '!Z21</f>
        <v>0</v>
      </c>
      <c r="AA43" s="101">
        <f>'שאיפה '!AA21</f>
        <v>870000</v>
      </c>
      <c r="AB43" s="55"/>
      <c r="AC43" s="55"/>
      <c r="AD43" s="55"/>
      <c r="AE43" s="57"/>
      <c r="AF43" s="57"/>
      <c r="AG43" s="57"/>
    </row>
    <row r="44" spans="1:34" s="15" customFormat="1">
      <c r="A44" s="13">
        <f>A43+1</f>
        <v>29</v>
      </c>
      <c r="B44" s="69">
        <v>2037</v>
      </c>
      <c r="C44" s="13" t="s">
        <v>483</v>
      </c>
      <c r="D44" s="14">
        <f>'שאיפה '!D30</f>
        <v>5000000</v>
      </c>
      <c r="E44" s="14">
        <f>'שאיפה '!E30</f>
        <v>0</v>
      </c>
      <c r="F44" s="14">
        <f>'שאיפה '!F30</f>
        <v>5000000</v>
      </c>
      <c r="G44" s="14">
        <f>'שאיפה '!G30</f>
        <v>0</v>
      </c>
      <c r="H44" s="14">
        <f>'שאיפה '!H30</f>
        <v>0</v>
      </c>
      <c r="I44" s="14">
        <f>'שאיפה '!I30</f>
        <v>0</v>
      </c>
      <c r="J44" s="14">
        <f>'שאיפה '!J30</f>
        <v>0</v>
      </c>
      <c r="K44" s="14">
        <f>'שאיפה '!K30</f>
        <v>0</v>
      </c>
      <c r="L44" s="14">
        <f>'שאיפה '!L30</f>
        <v>0</v>
      </c>
      <c r="M44" s="14">
        <f>'שאיפה '!M30</f>
        <v>0</v>
      </c>
      <c r="N44" s="14">
        <f>'שאיפה '!N30</f>
        <v>1000000</v>
      </c>
      <c r="O44" s="14">
        <f>'שאיפה '!O30</f>
        <v>4000000</v>
      </c>
      <c r="P44" s="14">
        <f>'שאיפה '!P30</f>
        <v>0</v>
      </c>
      <c r="Q44" s="14">
        <f>'שאיפה '!Q30</f>
        <v>0</v>
      </c>
      <c r="R44" s="14">
        <f>'שאיפה '!R30</f>
        <v>0</v>
      </c>
      <c r="S44" s="14">
        <f>'שאיפה '!S30</f>
        <v>0</v>
      </c>
      <c r="T44" s="14">
        <f>'שאיפה '!T30</f>
        <v>0</v>
      </c>
      <c r="U44" s="14">
        <f>'שאיפה '!U30</f>
        <v>1000000</v>
      </c>
      <c r="V44" s="14">
        <f>'שאיפה '!V30</f>
        <v>1000000</v>
      </c>
      <c r="W44" s="14">
        <f>'שאיפה '!W30</f>
        <v>0</v>
      </c>
      <c r="X44" s="14">
        <f>'שאיפה '!X30</f>
        <v>0</v>
      </c>
      <c r="Y44" s="14">
        <f>'שאיפה '!Y30</f>
        <v>0</v>
      </c>
      <c r="Z44" s="14">
        <f>'שאיפה '!Z30</f>
        <v>0</v>
      </c>
      <c r="AA44" s="101">
        <f>'שאיפה '!AA30</f>
        <v>870000</v>
      </c>
      <c r="AB44" s="55"/>
      <c r="AC44" s="57"/>
      <c r="AD44" s="55"/>
      <c r="AE44" s="57"/>
      <c r="AF44" s="57"/>
      <c r="AG44" s="57"/>
    </row>
    <row r="45" spans="1:34" s="149" customFormat="1">
      <c r="A45" s="81"/>
      <c r="B45" s="81">
        <v>8</v>
      </c>
      <c r="C45" s="81" t="s">
        <v>1045</v>
      </c>
      <c r="D45" s="198">
        <f>SUM(D43:D44)</f>
        <v>5500000</v>
      </c>
      <c r="E45" s="198">
        <f t="shared" ref="E45:Z45" si="7">SUM(E43:E44)</f>
        <v>380000</v>
      </c>
      <c r="F45" s="198">
        <f t="shared" si="7"/>
        <v>5120000</v>
      </c>
      <c r="G45" s="198">
        <f t="shared" si="7"/>
        <v>170000</v>
      </c>
      <c r="H45" s="198">
        <f t="shared" si="7"/>
        <v>62946</v>
      </c>
      <c r="I45" s="198">
        <f t="shared" si="7"/>
        <v>0</v>
      </c>
      <c r="J45" s="198">
        <f t="shared" si="7"/>
        <v>107037.45</v>
      </c>
      <c r="K45" s="198">
        <f t="shared" si="7"/>
        <v>107037.45</v>
      </c>
      <c r="L45" s="198">
        <f t="shared" si="7"/>
        <v>169983.45</v>
      </c>
      <c r="M45" s="198">
        <f t="shared" si="7"/>
        <v>16.549999999988358</v>
      </c>
      <c r="N45" s="198">
        <f t="shared" si="7"/>
        <v>1000000</v>
      </c>
      <c r="O45" s="198">
        <f t="shared" si="7"/>
        <v>4330000</v>
      </c>
      <c r="P45" s="198">
        <f t="shared" si="7"/>
        <v>16.549999999988358</v>
      </c>
      <c r="Q45" s="198">
        <f t="shared" si="7"/>
        <v>0</v>
      </c>
      <c r="R45" s="198">
        <f t="shared" si="7"/>
        <v>0</v>
      </c>
      <c r="S45" s="198">
        <f t="shared" si="7"/>
        <v>0</v>
      </c>
      <c r="T45" s="198">
        <f t="shared" si="7"/>
        <v>0</v>
      </c>
      <c r="U45" s="198">
        <f t="shared" si="7"/>
        <v>1000000</v>
      </c>
      <c r="V45" s="198">
        <f t="shared" si="7"/>
        <v>1000000</v>
      </c>
      <c r="W45" s="198">
        <f t="shared" si="7"/>
        <v>0</v>
      </c>
      <c r="X45" s="198">
        <f t="shared" si="7"/>
        <v>0</v>
      </c>
      <c r="Y45" s="198">
        <f t="shared" si="7"/>
        <v>0</v>
      </c>
      <c r="Z45" s="198">
        <f t="shared" si="7"/>
        <v>0</v>
      </c>
      <c r="AA45" s="763"/>
      <c r="AB45" s="55"/>
      <c r="AC45" s="765"/>
      <c r="AD45" s="766"/>
      <c r="AE45" s="766"/>
      <c r="AF45" s="767"/>
      <c r="AG45" s="767"/>
      <c r="AH45" s="766"/>
    </row>
    <row r="46" spans="1:34" s="15" customFormat="1">
      <c r="A46" s="13"/>
      <c r="B46" s="69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01"/>
      <c r="AB46" s="55"/>
      <c r="AC46" s="57"/>
      <c r="AD46" s="55"/>
      <c r="AE46" s="57"/>
      <c r="AF46" s="57"/>
      <c r="AG46" s="57"/>
    </row>
    <row r="47" spans="1:34" s="15" customFormat="1">
      <c r="A47" s="13">
        <f>A44+1</f>
        <v>30</v>
      </c>
      <c r="B47" s="13">
        <v>1564</v>
      </c>
      <c r="C47" s="13" t="s">
        <v>159</v>
      </c>
      <c r="D47" s="14">
        <f>'שאיפה '!D17</f>
        <v>350000</v>
      </c>
      <c r="E47" s="14">
        <f>'שאיפה '!E17</f>
        <v>350000</v>
      </c>
      <c r="F47" s="14">
        <f>'שאיפה '!F17</f>
        <v>0</v>
      </c>
      <c r="G47" s="14">
        <f>'שאיפה '!G17</f>
        <v>350000</v>
      </c>
      <c r="H47" s="14">
        <f>'שאיפה '!H17</f>
        <v>346999.99</v>
      </c>
      <c r="I47" s="14">
        <f>'שאיפה '!I17</f>
        <v>0</v>
      </c>
      <c r="J47" s="14">
        <f>'שאיפה '!J17</f>
        <v>0</v>
      </c>
      <c r="K47" s="14">
        <f>'שאיפה '!K17</f>
        <v>0</v>
      </c>
      <c r="L47" s="14">
        <f>'שאיפה '!L17</f>
        <v>346999.99</v>
      </c>
      <c r="M47" s="14">
        <f>'שאיפה '!M17</f>
        <v>3000.0100000000093</v>
      </c>
      <c r="N47" s="14">
        <f>'שאיפה '!N17</f>
        <v>0</v>
      </c>
      <c r="O47" s="14">
        <f>'שאיפה '!O17</f>
        <v>0</v>
      </c>
      <c r="P47" s="14">
        <f>'שאיפה '!P17</f>
        <v>3000.0100000000093</v>
      </c>
      <c r="Q47" s="14">
        <f>'שאיפה '!Q17</f>
        <v>0</v>
      </c>
      <c r="R47" s="14">
        <f>'שאיפה '!R17</f>
        <v>0</v>
      </c>
      <c r="S47" s="14">
        <f>'שאיפה '!S17</f>
        <v>0</v>
      </c>
      <c r="T47" s="14">
        <f>'שאיפה '!T17</f>
        <v>0</v>
      </c>
      <c r="U47" s="14">
        <f>'שאיפה '!U17</f>
        <v>0</v>
      </c>
      <c r="V47" s="14">
        <f>'שאיפה '!V17</f>
        <v>0</v>
      </c>
      <c r="W47" s="14">
        <f>'שאיפה '!W17</f>
        <v>0</v>
      </c>
      <c r="X47" s="14">
        <f>'שאיפה '!X17</f>
        <v>0</v>
      </c>
      <c r="Y47" s="14">
        <f>'שאיפה '!Y17</f>
        <v>0</v>
      </c>
      <c r="Z47" s="14">
        <f>'שאיפה '!Z17</f>
        <v>0</v>
      </c>
      <c r="AA47" s="101">
        <f>'שאיפה '!AA17</f>
        <v>930000</v>
      </c>
      <c r="AB47" s="55"/>
      <c r="AC47" s="55"/>
      <c r="AD47" s="55"/>
      <c r="AE47" s="57"/>
      <c r="AF47" s="57"/>
      <c r="AG47" s="57"/>
    </row>
    <row r="48" spans="1:34" s="149" customFormat="1">
      <c r="A48" s="81"/>
      <c r="B48" s="81">
        <v>11</v>
      </c>
      <c r="C48" s="81" t="s">
        <v>1046</v>
      </c>
      <c r="D48" s="198">
        <f>SUM(D47)</f>
        <v>350000</v>
      </c>
      <c r="E48" s="198">
        <f t="shared" ref="E48:Z48" si="8">SUM(E47)</f>
        <v>350000</v>
      </c>
      <c r="F48" s="198">
        <f t="shared" si="8"/>
        <v>0</v>
      </c>
      <c r="G48" s="198">
        <f t="shared" si="8"/>
        <v>350000</v>
      </c>
      <c r="H48" s="198">
        <f t="shared" si="8"/>
        <v>346999.99</v>
      </c>
      <c r="I48" s="198">
        <f t="shared" si="8"/>
        <v>0</v>
      </c>
      <c r="J48" s="198">
        <f t="shared" si="8"/>
        <v>0</v>
      </c>
      <c r="K48" s="198">
        <f t="shared" si="8"/>
        <v>0</v>
      </c>
      <c r="L48" s="198">
        <f t="shared" si="8"/>
        <v>346999.99</v>
      </c>
      <c r="M48" s="198">
        <f t="shared" si="8"/>
        <v>3000.0100000000093</v>
      </c>
      <c r="N48" s="198">
        <f t="shared" si="8"/>
        <v>0</v>
      </c>
      <c r="O48" s="198">
        <f t="shared" si="8"/>
        <v>0</v>
      </c>
      <c r="P48" s="198">
        <f t="shared" si="8"/>
        <v>3000.0100000000093</v>
      </c>
      <c r="Q48" s="198">
        <f t="shared" si="8"/>
        <v>0</v>
      </c>
      <c r="R48" s="198">
        <f t="shared" si="8"/>
        <v>0</v>
      </c>
      <c r="S48" s="198">
        <f t="shared" si="8"/>
        <v>0</v>
      </c>
      <c r="T48" s="198">
        <f t="shared" si="8"/>
        <v>0</v>
      </c>
      <c r="U48" s="198">
        <f t="shared" si="8"/>
        <v>0</v>
      </c>
      <c r="V48" s="198">
        <f t="shared" si="8"/>
        <v>0</v>
      </c>
      <c r="W48" s="198">
        <f t="shared" si="8"/>
        <v>0</v>
      </c>
      <c r="X48" s="198">
        <f t="shared" si="8"/>
        <v>0</v>
      </c>
      <c r="Y48" s="198">
        <f t="shared" si="8"/>
        <v>0</v>
      </c>
      <c r="Z48" s="198">
        <f t="shared" si="8"/>
        <v>0</v>
      </c>
      <c r="AA48" s="763"/>
      <c r="AB48" s="55"/>
      <c r="AC48" s="765"/>
      <c r="AD48" s="766"/>
      <c r="AE48" s="766"/>
      <c r="AF48" s="767"/>
      <c r="AG48" s="767"/>
      <c r="AH48" s="766"/>
    </row>
    <row r="49" spans="1:33" s="15" customFormat="1">
      <c r="A49" s="13"/>
      <c r="B49" s="13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01"/>
      <c r="AB49" s="55"/>
      <c r="AC49" s="55"/>
      <c r="AD49" s="55"/>
      <c r="AE49" s="57"/>
      <c r="AF49" s="57"/>
      <c r="AG49" s="57"/>
    </row>
    <row r="50" spans="1:33" s="99" customFormat="1" ht="15.75">
      <c r="A50" s="85">
        <f>A47</f>
        <v>30</v>
      </c>
      <c r="B50" s="85"/>
      <c r="C50" s="85" t="s">
        <v>162</v>
      </c>
      <c r="D50" s="27">
        <f>D48+D45+D41+D38+D35+D29+D7</f>
        <v>146818000</v>
      </c>
      <c r="E50" s="27">
        <f t="shared" ref="E50:Z50" si="9">E48+E45+E41+E38+E35+E29+E7</f>
        <v>123300000</v>
      </c>
      <c r="F50" s="27">
        <f t="shared" si="9"/>
        <v>23518000</v>
      </c>
      <c r="G50" s="27">
        <f t="shared" si="9"/>
        <v>88374320</v>
      </c>
      <c r="H50" s="27">
        <f t="shared" si="9"/>
        <v>76008641.61999999</v>
      </c>
      <c r="I50" s="27">
        <f t="shared" si="9"/>
        <v>0</v>
      </c>
      <c r="J50" s="27">
        <f t="shared" si="9"/>
        <v>9152954.5499999989</v>
      </c>
      <c r="K50" s="27">
        <f t="shared" si="9"/>
        <v>9152954.5499999989</v>
      </c>
      <c r="L50" s="27">
        <f t="shared" si="9"/>
        <v>85161596.169999987</v>
      </c>
      <c r="M50" s="27">
        <f t="shared" si="9"/>
        <v>4292723.8299999991</v>
      </c>
      <c r="N50" s="27">
        <f t="shared" si="9"/>
        <v>20598000</v>
      </c>
      <c r="O50" s="27">
        <f t="shared" si="9"/>
        <v>36765680</v>
      </c>
      <c r="P50" s="27">
        <f t="shared" si="9"/>
        <v>3212723.8299999996</v>
      </c>
      <c r="Q50" s="27">
        <f t="shared" si="9"/>
        <v>200000</v>
      </c>
      <c r="R50" s="27">
        <f t="shared" si="9"/>
        <v>980000</v>
      </c>
      <c r="S50" s="27">
        <f t="shared" si="9"/>
        <v>1180000</v>
      </c>
      <c r="T50" s="27">
        <f t="shared" si="9"/>
        <v>100000</v>
      </c>
      <c r="U50" s="27">
        <f t="shared" si="9"/>
        <v>20498000</v>
      </c>
      <c r="V50" s="27">
        <f t="shared" si="9"/>
        <v>15873000</v>
      </c>
      <c r="W50" s="27">
        <f t="shared" si="9"/>
        <v>4425000</v>
      </c>
      <c r="X50" s="27">
        <f t="shared" si="9"/>
        <v>0</v>
      </c>
      <c r="Y50" s="27">
        <f t="shared" si="9"/>
        <v>0</v>
      </c>
      <c r="Z50" s="27">
        <f t="shared" si="9"/>
        <v>200000</v>
      </c>
      <c r="AA50" s="98"/>
      <c r="AB50" s="55"/>
      <c r="AC50" s="63"/>
      <c r="AD50" s="62"/>
      <c r="AE50" s="62"/>
      <c r="AF50" s="62"/>
      <c r="AG50" s="62"/>
    </row>
    <row r="51" spans="1:33" s="16" customFormat="1">
      <c r="A51" s="19"/>
      <c r="B51" s="19"/>
      <c r="C51" s="19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4"/>
      <c r="AB51" s="55"/>
      <c r="AC51" s="58"/>
      <c r="AD51" s="58"/>
      <c r="AE51" s="58"/>
      <c r="AF51" s="58"/>
      <c r="AG51" s="58"/>
    </row>
    <row r="52" spans="1:33" s="106" customFormat="1" ht="15.75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55"/>
      <c r="AC52" s="62"/>
      <c r="AD52" s="62"/>
      <c r="AE52" s="62"/>
      <c r="AF52" s="62"/>
      <c r="AG52" s="62"/>
    </row>
    <row r="53" spans="1:33" s="104" customFormat="1" ht="16.5" customHeight="1">
      <c r="D53" s="41"/>
      <c r="E53" s="41"/>
      <c r="F53" s="41"/>
      <c r="G53" s="41"/>
      <c r="H53" s="41"/>
      <c r="I53" s="41"/>
      <c r="J53" s="41"/>
      <c r="K53" s="41"/>
      <c r="L53" s="31"/>
      <c r="M53" s="31"/>
      <c r="N53" s="41"/>
      <c r="O53" s="41"/>
      <c r="P53" s="211"/>
      <c r="Q53" s="41"/>
      <c r="R53" s="41"/>
      <c r="S53" s="41"/>
      <c r="T53" s="41"/>
      <c r="U53" s="41"/>
      <c r="V53" s="41"/>
      <c r="W53" s="41"/>
      <c r="X53" s="41"/>
      <c r="Y53" s="41"/>
      <c r="Z53" s="41"/>
      <c r="AB53" s="55"/>
      <c r="AC53" s="108"/>
      <c r="AD53" s="108"/>
      <c r="AE53" s="108"/>
      <c r="AF53" s="108"/>
      <c r="AG53" s="108"/>
    </row>
    <row r="55" spans="1:33">
      <c r="U55" s="31"/>
      <c r="V55" s="105"/>
      <c r="W55" s="105"/>
      <c r="X55" s="105"/>
      <c r="Y55" s="105"/>
      <c r="Z55" s="212"/>
    </row>
    <row r="56" spans="1:33">
      <c r="U56" s="31"/>
      <c r="V56" s="105"/>
      <c r="W56" s="105"/>
      <c r="X56" s="105"/>
      <c r="Y56" s="105"/>
      <c r="Z56" s="212"/>
    </row>
    <row r="57" spans="1:33">
      <c r="U57" s="31"/>
      <c r="V57" s="105"/>
      <c r="W57" s="105"/>
      <c r="X57" s="105"/>
      <c r="Y57" s="105"/>
      <c r="Z57" s="212"/>
    </row>
    <row r="58" spans="1:33">
      <c r="U58" s="31"/>
      <c r="V58" s="105"/>
      <c r="W58" s="105"/>
      <c r="X58" s="105"/>
      <c r="Y58" s="105"/>
      <c r="Z58" s="212"/>
    </row>
    <row r="59" spans="1:33">
      <c r="U59" s="42"/>
      <c r="V59" s="105"/>
      <c r="W59" s="105"/>
      <c r="X59" s="105"/>
      <c r="Y59" s="105"/>
      <c r="Z59" s="212"/>
    </row>
    <row r="60" spans="1:33">
      <c r="A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1:33">
      <c r="A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U61" s="42"/>
      <c r="W61" s="105"/>
      <c r="Z61" s="212"/>
    </row>
    <row r="62" spans="1:33">
      <c r="A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U62" s="42"/>
      <c r="W62" s="105"/>
      <c r="Z62" s="212"/>
    </row>
    <row r="63" spans="1:33">
      <c r="A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O63" s="29"/>
      <c r="U63" s="42"/>
      <c r="W63" s="105"/>
      <c r="Z63" s="212"/>
    </row>
    <row r="64" spans="1:33">
      <c r="A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U64" s="42"/>
      <c r="W64" s="105"/>
      <c r="Z64" s="212"/>
    </row>
    <row r="65" spans="1:26">
      <c r="A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U65" s="42"/>
      <c r="W65" s="105"/>
      <c r="Z65" s="212"/>
    </row>
    <row r="66" spans="1:26">
      <c r="A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U66" s="42"/>
      <c r="W66" s="105"/>
      <c r="Z66" s="212"/>
    </row>
    <row r="67" spans="1:26">
      <c r="A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U67" s="42"/>
      <c r="W67" s="105"/>
      <c r="Z67" s="212"/>
    </row>
    <row r="68" spans="1:26">
      <c r="A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U68" s="42"/>
      <c r="W68" s="105"/>
      <c r="Z68" s="212"/>
    </row>
    <row r="69" spans="1:26">
      <c r="A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U69" s="42"/>
      <c r="W69" s="105"/>
      <c r="Z69" s="212"/>
    </row>
    <row r="70" spans="1:26">
      <c r="A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R70" s="29"/>
      <c r="S70" s="29"/>
    </row>
    <row r="71" spans="1:26">
      <c r="A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26">
      <c r="A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  <row r="75" spans="1:26">
      <c r="A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O75" s="31" t="s">
        <v>188</v>
      </c>
      <c r="R75" s="31" t="s">
        <v>188</v>
      </c>
      <c r="S75" s="31" t="s">
        <v>365</v>
      </c>
    </row>
    <row r="76" spans="1:26">
      <c r="A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O76" s="31" t="s">
        <v>364</v>
      </c>
      <c r="Q76" s="31">
        <v>25000</v>
      </c>
      <c r="R76" s="31">
        <v>160000</v>
      </c>
    </row>
    <row r="77" spans="1:26">
      <c r="A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R77" s="31" t="e">
        <f>#REF!</f>
        <v>#REF!</v>
      </c>
      <c r="S77" s="31" t="s">
        <v>373</v>
      </c>
    </row>
    <row r="78" spans="1:26">
      <c r="A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31" t="e">
        <f>SUM(R76:R77)</f>
        <v>#REF!</v>
      </c>
      <c r="S78" s="29"/>
      <c r="T78" s="29"/>
    </row>
  </sheetData>
  <sheetProtection formatCells="0" formatColumns="0" formatRows="0" insertColumns="0" insertRows="0" insertHyperlinks="0" deleteColumns="0" deleteRows="0" sort="0" autoFilter="0" pivotTables="0"/>
  <sortState ref="A9:AG28">
    <sortCondition ref="B9:B28"/>
  </sortState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7"/>
  <sheetViews>
    <sheetView rightToLeft="1" topLeftCell="A3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A3" s="708"/>
      <c r="C3" s="710" t="s">
        <v>489</v>
      </c>
      <c r="D3" s="708"/>
      <c r="E3" s="708"/>
      <c r="F3" s="708"/>
      <c r="G3" s="708"/>
      <c r="H3" s="708"/>
      <c r="I3" s="708"/>
      <c r="J3" s="708"/>
      <c r="K3" s="708"/>
      <c r="L3" s="708"/>
    </row>
    <row r="4" spans="1:17" ht="20.25">
      <c r="A4" s="708"/>
      <c r="C4" s="710"/>
      <c r="D4" s="708"/>
      <c r="E4" s="708"/>
      <c r="F4" s="708"/>
      <c r="G4" s="708"/>
      <c r="H4" s="708"/>
      <c r="I4" s="708"/>
      <c r="J4" s="708"/>
      <c r="K4" s="708"/>
      <c r="L4" s="708"/>
    </row>
    <row r="5" spans="1:17" ht="15.75">
      <c r="A5" s="708"/>
      <c r="C5" s="708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7" ht="16.5" thickBot="1">
      <c r="A7" s="708"/>
      <c r="B7" s="711" t="s">
        <v>455</v>
      </c>
      <c r="C7" s="708" t="s">
        <v>997</v>
      </c>
      <c r="D7" s="708"/>
      <c r="E7" s="708"/>
      <c r="F7" s="712">
        <f>'רשות החופים'!U39</f>
        <v>2734000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1152</v>
      </c>
      <c r="D9" s="708"/>
      <c r="F9" s="736">
        <f>'רשות החופים'!A39</f>
        <v>33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F10" s="714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/>
      <c r="C11" s="708"/>
      <c r="D11" s="708"/>
      <c r="F11" s="714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B12" s="711" t="s">
        <v>455</v>
      </c>
      <c r="C12" s="708" t="s">
        <v>972</v>
      </c>
      <c r="D12" s="708"/>
      <c r="E12" s="708"/>
      <c r="F12" s="708"/>
      <c r="G12" s="708"/>
      <c r="H12" s="708"/>
      <c r="I12" s="708"/>
      <c r="J12" s="708"/>
      <c r="K12" s="708"/>
      <c r="L12" s="708"/>
    </row>
    <row r="13" spans="1:17" ht="16.5" thickBot="1"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D14" s="737" t="s">
        <v>973</v>
      </c>
      <c r="E14" s="738" t="s">
        <v>974</v>
      </c>
      <c r="F14" s="739" t="s">
        <v>987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14</v>
      </c>
      <c r="E15" s="740">
        <f>'רשות החופים'!W39</f>
        <v>2130000</v>
      </c>
      <c r="F15" s="749">
        <f>E15/$E$17</f>
        <v>0.77907827359180692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184</v>
      </c>
      <c r="E16" s="740">
        <f>'רשות החופים'!Z39</f>
        <v>604000</v>
      </c>
      <c r="F16" s="749">
        <f>E16/$E$17</f>
        <v>0.22092172640819313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6.5" thickBot="1">
      <c r="C17" s="711"/>
      <c r="D17" s="718" t="s">
        <v>208</v>
      </c>
      <c r="E17" s="742">
        <f>SUM(E15:E16)</f>
        <v>2734000</v>
      </c>
      <c r="F17" s="326">
        <f>SUM(F15:F16)</f>
        <v>1</v>
      </c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C18" s="711"/>
      <c r="D18" s="714"/>
      <c r="E18" s="752"/>
      <c r="F18" s="756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C19" s="711"/>
      <c r="D19" s="714"/>
      <c r="E19" s="752"/>
      <c r="F19" s="756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C20" s="711"/>
      <c r="D20" s="714"/>
      <c r="E20" s="752"/>
      <c r="F20" s="756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B21" s="711" t="s">
        <v>455</v>
      </c>
      <c r="C21" s="708" t="s">
        <v>1084</v>
      </c>
      <c r="D21" s="708"/>
      <c r="F21" s="708"/>
      <c r="H21" s="717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B22" s="711"/>
      <c r="C22" s="708"/>
      <c r="D22" s="708"/>
      <c r="E22" s="708"/>
      <c r="F22" s="708"/>
      <c r="G22" s="708"/>
      <c r="H22" s="708"/>
      <c r="I22" s="708"/>
      <c r="J22" s="708"/>
      <c r="K22" s="708"/>
      <c r="L22" s="708"/>
      <c r="M22" s="708"/>
      <c r="N22" s="708"/>
      <c r="O22" s="708"/>
      <c r="P22" s="708"/>
      <c r="Q22" s="708"/>
    </row>
    <row r="24" spans="2:17" ht="15.75">
      <c r="B24" s="711"/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2:17" ht="15.75">
      <c r="C25" s="708"/>
      <c r="D25" s="708"/>
      <c r="E25" s="708"/>
      <c r="F25" s="708"/>
      <c r="H25" s="708"/>
      <c r="I25" s="708"/>
      <c r="J25" s="708"/>
      <c r="K25" s="708"/>
      <c r="L25" s="708"/>
    </row>
    <row r="26" spans="2:17" ht="15.75">
      <c r="B26" s="711"/>
      <c r="C26" s="708"/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</row>
    <row r="27" spans="2:17" ht="15.75">
      <c r="B27" s="711"/>
      <c r="C27" s="708"/>
      <c r="D27" s="708"/>
      <c r="E27" s="708"/>
      <c r="F27" s="708"/>
      <c r="G27" s="708"/>
      <c r="H27" s="708"/>
      <c r="I27" s="708"/>
      <c r="J27" s="708"/>
      <c r="K27" s="708"/>
      <c r="L27" s="708"/>
      <c r="M27" s="708"/>
      <c r="N27" s="708"/>
      <c r="O27" s="708"/>
      <c r="P27" s="708"/>
      <c r="Q27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4"/>
  <sheetViews>
    <sheetView rightToLeft="1" topLeftCell="A13" zoomScaleNormal="100" workbookViewId="0">
      <selection activeCell="T10" sqref="T10"/>
    </sheetView>
  </sheetViews>
  <sheetFormatPr defaultRowHeight="14.25"/>
  <cols>
    <col min="1" max="2" width="4.140625" style="274" customWidth="1"/>
    <col min="3" max="3" width="33" style="274" customWidth="1"/>
    <col min="4" max="4" width="10.7109375" style="274" customWidth="1"/>
    <col min="5" max="5" width="12.140625" style="274" customWidth="1"/>
    <col min="6" max="6" width="11" style="274" customWidth="1"/>
    <col min="7" max="7" width="10.42578125" style="274" customWidth="1"/>
    <col min="8" max="8" width="7.85546875" style="274" customWidth="1"/>
    <col min="9" max="16384" width="9.140625" style="274"/>
  </cols>
  <sheetData>
    <row r="2" spans="1:15" s="286" customFormat="1" ht="18.75">
      <c r="A2" s="284" t="s">
        <v>550</v>
      </c>
      <c r="B2" s="284"/>
      <c r="C2" s="285" t="s">
        <v>633</v>
      </c>
      <c r="D2" s="284"/>
      <c r="E2" s="284"/>
      <c r="F2" s="284"/>
      <c r="G2" s="284"/>
    </row>
    <row r="3" spans="1:15" ht="15.75">
      <c r="A3" s="276"/>
      <c r="B3" s="276"/>
      <c r="C3" s="277"/>
      <c r="D3" s="276"/>
      <c r="E3" s="276"/>
      <c r="F3" s="276"/>
      <c r="G3" s="276"/>
    </row>
    <row r="4" spans="1:15" ht="15.75">
      <c r="C4" s="276" t="s">
        <v>634</v>
      </c>
      <c r="D4" s="276"/>
      <c r="E4" s="276"/>
      <c r="F4" s="276"/>
      <c r="G4" s="276"/>
    </row>
    <row r="5" spans="1:15" ht="15.75">
      <c r="C5" s="276" t="s">
        <v>966</v>
      </c>
      <c r="E5" s="276"/>
      <c r="F5" s="281"/>
      <c r="G5" s="276"/>
      <c r="H5" s="276"/>
      <c r="I5" s="276"/>
      <c r="J5" s="276"/>
      <c r="K5" s="276"/>
      <c r="L5" s="276"/>
      <c r="M5" s="276"/>
      <c r="N5" s="276"/>
      <c r="O5" s="276"/>
    </row>
    <row r="6" spans="1:15" ht="15.75">
      <c r="C6" s="276"/>
      <c r="D6" s="281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</row>
    <row r="7" spans="1:15" ht="15.75">
      <c r="C7" s="276" t="s">
        <v>551</v>
      </c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</row>
    <row r="8" spans="1:15" ht="15.75"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</row>
    <row r="9" spans="1:15" ht="15.75">
      <c r="B9" s="279" t="s">
        <v>455</v>
      </c>
      <c r="C9" s="276" t="s">
        <v>13</v>
      </c>
      <c r="D9" s="287">
        <v>163255</v>
      </c>
      <c r="F9" s="276"/>
      <c r="G9" s="276"/>
      <c r="H9" s="276"/>
      <c r="I9" s="276"/>
      <c r="J9" s="276"/>
      <c r="K9" s="276"/>
      <c r="L9" s="276"/>
      <c r="M9" s="276"/>
      <c r="N9" s="276"/>
      <c r="O9" s="276"/>
    </row>
    <row r="10" spans="1:15" ht="15.75">
      <c r="B10" s="279" t="s">
        <v>455</v>
      </c>
      <c r="C10" s="276" t="s">
        <v>14</v>
      </c>
      <c r="D10" s="287">
        <v>35000</v>
      </c>
      <c r="F10" s="276"/>
      <c r="G10" s="276"/>
      <c r="H10" s="276"/>
      <c r="I10" s="276"/>
      <c r="J10" s="276"/>
      <c r="K10" s="276"/>
      <c r="L10" s="276"/>
      <c r="M10" s="276"/>
      <c r="N10" s="276"/>
      <c r="O10" s="276"/>
    </row>
    <row r="11" spans="1:15" ht="15.75" hidden="1">
      <c r="B11" s="279" t="s">
        <v>455</v>
      </c>
      <c r="C11" s="276" t="s">
        <v>552</v>
      </c>
      <c r="D11" s="287"/>
      <c r="F11" s="276"/>
      <c r="G11" s="276"/>
      <c r="H11" s="276"/>
      <c r="I11" s="276"/>
      <c r="J11" s="276"/>
      <c r="K11" s="276"/>
      <c r="L11" s="276"/>
      <c r="M11" s="276"/>
      <c r="N11" s="276"/>
      <c r="O11" s="276"/>
    </row>
    <row r="12" spans="1:15" ht="18">
      <c r="B12" s="279" t="s">
        <v>455</v>
      </c>
      <c r="C12" s="276" t="s">
        <v>553</v>
      </c>
      <c r="D12" s="288">
        <v>236366</v>
      </c>
      <c r="F12" s="276"/>
      <c r="G12" s="276"/>
      <c r="H12" s="276"/>
      <c r="I12" s="276"/>
      <c r="J12" s="276"/>
      <c r="K12" s="276"/>
      <c r="L12" s="276"/>
      <c r="M12" s="276"/>
      <c r="N12" s="276"/>
      <c r="O12" s="276"/>
    </row>
    <row r="13" spans="1:15" ht="18">
      <c r="C13" s="278" t="s">
        <v>208</v>
      </c>
      <c r="D13" s="289">
        <f>SUM(D9:D12)</f>
        <v>434621</v>
      </c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</row>
    <row r="14" spans="1:15" ht="15.75"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</row>
    <row r="15" spans="1:15" ht="15.75">
      <c r="B15" s="276"/>
      <c r="C15" s="276" t="s">
        <v>635</v>
      </c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</row>
    <row r="16" spans="1:15" ht="15.75"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</row>
    <row r="17" spans="1:15" ht="47.25">
      <c r="C17" s="290" t="s">
        <v>554</v>
      </c>
      <c r="D17" s="291" t="s">
        <v>13</v>
      </c>
      <c r="E17" s="291" t="s">
        <v>14</v>
      </c>
      <c r="F17" s="291" t="s">
        <v>555</v>
      </c>
      <c r="G17" s="291" t="s">
        <v>208</v>
      </c>
      <c r="H17" s="276"/>
      <c r="I17" s="276"/>
      <c r="J17" s="276"/>
      <c r="K17" s="276"/>
      <c r="L17" s="276"/>
      <c r="M17" s="276"/>
      <c r="N17" s="276"/>
      <c r="O17" s="276"/>
    </row>
    <row r="18" spans="1:15" ht="31.5" customHeight="1">
      <c r="C18" s="292" t="s">
        <v>556</v>
      </c>
      <c r="D18" s="293">
        <v>163255</v>
      </c>
      <c r="E18" s="293">
        <v>35000</v>
      </c>
      <c r="F18" s="293">
        <v>236366</v>
      </c>
      <c r="G18" s="293">
        <f>SUM(D18:F18)</f>
        <v>434621</v>
      </c>
      <c r="H18" s="276"/>
      <c r="I18" s="276"/>
      <c r="J18" s="276"/>
      <c r="K18" s="276"/>
      <c r="L18" s="276"/>
      <c r="M18" s="276"/>
      <c r="N18" s="276"/>
      <c r="O18" s="276"/>
    </row>
    <row r="19" spans="1:15" ht="31.5" customHeight="1">
      <c r="C19" s="292" t="s">
        <v>911</v>
      </c>
      <c r="D19" s="293">
        <f>'ריכוז אגפים תוכנית 2017'!AM18/1000</f>
        <v>113650.27499999999</v>
      </c>
      <c r="E19" s="293">
        <f>'ריכוז אגפים תוכנית 2017'!AN18/1000</f>
        <v>30112.088</v>
      </c>
      <c r="F19" s="293">
        <f>'ריכוז אגפים תוכנית 2017'!AO18/1000</f>
        <v>38140.231</v>
      </c>
      <c r="G19" s="293">
        <f>SUM(D19:F19)</f>
        <v>181902.59399999998</v>
      </c>
      <c r="H19" s="276"/>
      <c r="I19" s="276"/>
      <c r="J19" s="276"/>
      <c r="K19" s="276"/>
      <c r="L19" s="276"/>
      <c r="M19" s="276"/>
      <c r="N19" s="276"/>
      <c r="O19" s="276"/>
    </row>
    <row r="20" spans="1:15" ht="31.5" customHeight="1">
      <c r="C20" s="292" t="s">
        <v>557</v>
      </c>
      <c r="D20" s="293">
        <f>D19/D18*100</f>
        <v>69.615187896235938</v>
      </c>
      <c r="E20" s="293">
        <f>E19/E18*100</f>
        <v>86.034537142857133</v>
      </c>
      <c r="F20" s="293">
        <f>F19/F18*100</f>
        <v>16.136090216020918</v>
      </c>
      <c r="G20" s="293">
        <f>G19/G18*100</f>
        <v>41.853153437132576</v>
      </c>
      <c r="H20" s="276"/>
      <c r="I20" s="276"/>
      <c r="J20" s="276"/>
      <c r="K20" s="276"/>
      <c r="L20" s="276"/>
      <c r="M20" s="276"/>
      <c r="N20" s="276"/>
      <c r="O20" s="276"/>
    </row>
    <row r="21" spans="1:15" ht="31.5" customHeight="1">
      <c r="C21" s="294" t="s">
        <v>912</v>
      </c>
      <c r="D21" s="293">
        <f>'ריכוז תקציבים מעבר לתוכנית 2017'!AK102/1000</f>
        <v>25356.844000000001</v>
      </c>
      <c r="E21" s="293">
        <f>'ריכוז תקציבים מעבר לתוכנית 2017'!AL102/1000</f>
        <v>3276.47</v>
      </c>
      <c r="F21" s="293">
        <f>'ריכוז תקציבים מעבר לתוכנית 2017'!AM102/1000</f>
        <v>26324.468000000001</v>
      </c>
      <c r="G21" s="293">
        <f>SUM(D21:F21)</f>
        <v>54957.782000000007</v>
      </c>
      <c r="H21" s="276"/>
      <c r="I21" s="276"/>
      <c r="J21" s="276"/>
      <c r="K21" s="276"/>
      <c r="L21" s="276"/>
      <c r="M21" s="276"/>
      <c r="N21" s="276"/>
      <c r="O21" s="276"/>
    </row>
    <row r="22" spans="1:15" ht="31.5" customHeight="1">
      <c r="C22" s="292" t="s">
        <v>558</v>
      </c>
      <c r="D22" s="293">
        <f>D19+D21</f>
        <v>139007.11900000001</v>
      </c>
      <c r="E22" s="293">
        <f>E19+E21</f>
        <v>33388.557999999997</v>
      </c>
      <c r="F22" s="293">
        <f>F19+F21</f>
        <v>64464.699000000001</v>
      </c>
      <c r="G22" s="293">
        <f>G19+G21</f>
        <v>236860.37599999999</v>
      </c>
      <c r="H22" s="276"/>
      <c r="I22" s="276"/>
      <c r="J22" s="276"/>
      <c r="K22" s="276"/>
      <c r="L22" s="276"/>
      <c r="M22" s="276"/>
      <c r="N22" s="276"/>
      <c r="O22" s="276"/>
    </row>
    <row r="23" spans="1:15" ht="31.5" customHeight="1">
      <c r="C23" s="292" t="s">
        <v>557</v>
      </c>
      <c r="D23" s="293">
        <f>D22/D18*100</f>
        <v>85.147235306728746</v>
      </c>
      <c r="E23" s="293">
        <f>E22/E18*100</f>
        <v>95.395879999999991</v>
      </c>
      <c r="F23" s="293">
        <f>F22/F18*100</f>
        <v>27.273253767462325</v>
      </c>
      <c r="G23" s="293">
        <f>G22/G18*100</f>
        <v>54.49814343991661</v>
      </c>
      <c r="J23" s="276"/>
      <c r="K23" s="276"/>
      <c r="L23" s="276"/>
      <c r="M23" s="276"/>
      <c r="N23" s="276"/>
      <c r="O23" s="276"/>
    </row>
    <row r="24" spans="1:15" ht="15.75"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</row>
    <row r="25" spans="1:15" ht="15.75">
      <c r="C25" s="671" t="s">
        <v>1135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5" ht="15.75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</row>
    <row r="27" spans="1:15" ht="15.75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</row>
    <row r="28" spans="1:15" ht="15.75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</row>
    <row r="29" spans="1:15" ht="15.75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</row>
    <row r="30" spans="1:15" ht="15.75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</row>
    <row r="31" spans="1:15" ht="15.75">
      <c r="A31" s="276"/>
      <c r="B31" s="276"/>
      <c r="C31" s="279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</row>
    <row r="32" spans="1:15" ht="15.75">
      <c r="A32" s="276"/>
      <c r="B32" s="276"/>
      <c r="C32" s="279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</row>
    <row r="33" spans="1:15" ht="15.75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</row>
    <row r="34" spans="1:15" ht="15.75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</row>
    <row r="35" spans="1:15" ht="15.75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</row>
    <row r="36" spans="1:15" ht="15.75">
      <c r="A36" s="283"/>
      <c r="B36" s="283"/>
      <c r="C36" s="283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</row>
    <row r="37" spans="1:15" ht="15.75">
      <c r="A37" s="283"/>
      <c r="B37" s="283"/>
      <c r="C37" s="283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</row>
    <row r="38" spans="1:15" ht="15.75">
      <c r="A38" s="283"/>
      <c r="B38" s="283"/>
      <c r="C38" s="283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</row>
    <row r="39" spans="1:15" ht="15.75">
      <c r="A39" s="283"/>
      <c r="B39" s="283"/>
      <c r="C39" s="283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</row>
    <row r="40" spans="1:15" ht="15.75">
      <c r="A40" s="283"/>
      <c r="B40" s="283"/>
      <c r="C40" s="283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</row>
    <row r="41" spans="1:15" ht="15.75">
      <c r="A41" s="283"/>
      <c r="B41" s="283"/>
      <c r="C41" s="283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</row>
    <row r="42" spans="1:15" ht="15.75">
      <c r="A42" s="283"/>
      <c r="B42" s="283"/>
      <c r="C42" s="283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</row>
    <row r="43" spans="1:15" ht="15.75"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</row>
    <row r="44" spans="1:15" ht="15.75"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1"/>
  <sheetViews>
    <sheetView showZeros="0" rightToLeft="1" zoomScaleNormal="100" workbookViewId="0">
      <pane xSplit="3" ySplit="4" topLeftCell="D3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customWidth="1"/>
    <col min="6" max="6" width="10.5703125" style="3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1.140625" style="31" customWidth="1"/>
    <col min="13" max="13" width="10.5703125" style="31" customWidth="1"/>
    <col min="14" max="14" width="10.42578125" style="31" customWidth="1"/>
    <col min="15" max="15" width="9.28515625" style="31" customWidth="1"/>
    <col min="16" max="17" width="11.140625" style="31" hidden="1" customWidth="1"/>
    <col min="18" max="19" width="12" style="31" hidden="1" customWidth="1"/>
    <col min="20" max="20" width="11.140625" style="31" hidden="1" customWidth="1"/>
    <col min="21" max="21" width="10" style="29" customWidth="1"/>
    <col min="22" max="22" width="10.28515625" style="29" hidden="1" customWidth="1"/>
    <col min="23" max="23" width="11.28515625" style="29" customWidth="1"/>
    <col min="24" max="25" width="5.28515625" style="29" hidden="1" customWidth="1"/>
    <col min="26" max="26" width="10.85546875" style="758" customWidth="1"/>
    <col min="27" max="27" width="7.85546875" style="29" hidden="1" customWidth="1"/>
    <col min="28" max="28" width="2.7109375" style="55" customWidth="1"/>
    <col min="29" max="29" width="7.5703125" style="82" bestFit="1" customWidth="1"/>
    <col min="30" max="31" width="9.140625" style="37" customWidth="1"/>
    <col min="32" max="32" width="1.5703125" style="37" customWidth="1"/>
    <col min="33" max="34" width="9.140625" style="37" customWidth="1"/>
    <col min="35" max="16384" width="9.140625" style="29"/>
  </cols>
  <sheetData>
    <row r="2" spans="1:34" ht="18.75">
      <c r="A2" s="194" t="s">
        <v>489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C2" s="29"/>
      <c r="AD2" s="29"/>
      <c r="AE2" s="29"/>
      <c r="AF2" s="29"/>
      <c r="AG2" s="29"/>
      <c r="AH2" s="29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1" t="s">
        <v>184</v>
      </c>
      <c r="AA4" s="93" t="s">
        <v>16</v>
      </c>
      <c r="AB4" s="55"/>
      <c r="AC4" s="111"/>
    </row>
    <row r="5" spans="1:34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55"/>
      <c r="AC5" s="112"/>
      <c r="AD5" s="57"/>
      <c r="AE5" s="57"/>
      <c r="AF5" s="57"/>
      <c r="AG5" s="57"/>
      <c r="AH5" s="57"/>
    </row>
    <row r="6" spans="1:34" s="15" customFormat="1">
      <c r="A6" s="13">
        <f>A5+1</f>
        <v>1</v>
      </c>
      <c r="B6" s="13">
        <v>1630</v>
      </c>
      <c r="C6" s="13" t="s">
        <v>115</v>
      </c>
      <c r="D6" s="14">
        <v>960000</v>
      </c>
      <c r="E6" s="14">
        <v>960000</v>
      </c>
      <c r="F6" s="14">
        <f>D6-E6</f>
        <v>0</v>
      </c>
      <c r="G6" s="14">
        <v>530000</v>
      </c>
      <c r="H6" s="14">
        <v>365765</v>
      </c>
      <c r="I6" s="14"/>
      <c r="J6" s="14">
        <v>1170</v>
      </c>
      <c r="K6" s="14">
        <f t="shared" ref="K6:K38" si="0">I6+J6</f>
        <v>1170</v>
      </c>
      <c r="L6" s="14">
        <f t="shared" ref="L6:L38" si="1">H6+K6</f>
        <v>366935</v>
      </c>
      <c r="M6" s="14">
        <f t="shared" ref="M6:M38" si="2">P6+S6</f>
        <v>163065</v>
      </c>
      <c r="N6" s="14">
        <v>430000</v>
      </c>
      <c r="O6" s="14">
        <f t="shared" ref="O6:O38" si="3">D6-L6-M6-N6</f>
        <v>0</v>
      </c>
      <c r="P6" s="14">
        <f t="shared" ref="P6:P38" si="4">G6-L6</f>
        <v>163065</v>
      </c>
      <c r="Q6" s="14"/>
      <c r="R6" s="14"/>
      <c r="S6" s="14">
        <f t="shared" ref="S6:S32" si="5">SUM(Q6:R6)</f>
        <v>0</v>
      </c>
      <c r="T6" s="14">
        <f t="shared" ref="T6:T38" si="6">P6-M6+S6</f>
        <v>0</v>
      </c>
      <c r="U6" s="14">
        <f t="shared" ref="U6:U38" si="7">N6-T6</f>
        <v>430000</v>
      </c>
      <c r="V6" s="14"/>
      <c r="W6" s="14">
        <f t="shared" ref="W6:W31" si="8">U6-V6-Y6-AB6</f>
        <v>430000</v>
      </c>
      <c r="X6" s="14"/>
      <c r="Y6" s="14"/>
      <c r="Z6" s="14"/>
      <c r="AA6" s="101">
        <v>747000</v>
      </c>
      <c r="AB6" s="55"/>
      <c r="AC6" s="112"/>
      <c r="AD6" s="55"/>
      <c r="AE6" s="57"/>
      <c r="AF6" s="57"/>
      <c r="AG6" s="57"/>
      <c r="AH6" s="57"/>
    </row>
    <row r="7" spans="1:34" s="15" customFormat="1">
      <c r="A7" s="13">
        <f>A6+1</f>
        <v>2</v>
      </c>
      <c r="B7" s="13">
        <v>1634</v>
      </c>
      <c r="C7" s="13" t="s">
        <v>116</v>
      </c>
      <c r="D7" s="14">
        <v>50000</v>
      </c>
      <c r="E7" s="14">
        <v>50000</v>
      </c>
      <c r="F7" s="14">
        <f t="shared" ref="F7:F38" si="9">D7-E7</f>
        <v>0</v>
      </c>
      <c r="G7" s="14">
        <v>50000</v>
      </c>
      <c r="H7" s="14">
        <v>36036</v>
      </c>
      <c r="I7" s="14"/>
      <c r="J7" s="14">
        <v>13964</v>
      </c>
      <c r="K7" s="14">
        <f t="shared" si="0"/>
        <v>13964</v>
      </c>
      <c r="L7" s="14">
        <f t="shared" si="1"/>
        <v>50000</v>
      </c>
      <c r="M7" s="14">
        <f t="shared" si="2"/>
        <v>0</v>
      </c>
      <c r="N7" s="14"/>
      <c r="O7" s="14">
        <f t="shared" si="3"/>
        <v>0</v>
      </c>
      <c r="P7" s="14">
        <f t="shared" si="4"/>
        <v>0</v>
      </c>
      <c r="Q7" s="14"/>
      <c r="R7" s="14"/>
      <c r="S7" s="14">
        <f t="shared" si="5"/>
        <v>0</v>
      </c>
      <c r="T7" s="14">
        <f t="shared" si="6"/>
        <v>0</v>
      </c>
      <c r="U7" s="14">
        <f t="shared" si="7"/>
        <v>0</v>
      </c>
      <c r="V7" s="14"/>
      <c r="W7" s="14">
        <f t="shared" si="8"/>
        <v>0</v>
      </c>
      <c r="X7" s="14"/>
      <c r="Y7" s="14"/>
      <c r="Z7" s="14"/>
      <c r="AA7" s="101">
        <v>747000</v>
      </c>
      <c r="AB7" s="55"/>
      <c r="AC7" s="112">
        <v>0</v>
      </c>
      <c r="AD7" s="55"/>
      <c r="AE7" s="57"/>
      <c r="AF7" s="57"/>
      <c r="AG7" s="57"/>
      <c r="AH7" s="57"/>
    </row>
    <row r="8" spans="1:34" s="15" customFormat="1">
      <c r="A8" s="13">
        <f>A7+1</f>
        <v>3</v>
      </c>
      <c r="B8" s="13">
        <v>1683</v>
      </c>
      <c r="C8" s="13" t="s">
        <v>117</v>
      </c>
      <c r="D8" s="14">
        <v>2300000</v>
      </c>
      <c r="E8" s="14">
        <v>2300000</v>
      </c>
      <c r="F8" s="14">
        <f t="shared" si="9"/>
        <v>0</v>
      </c>
      <c r="G8" s="14">
        <v>2300000</v>
      </c>
      <c r="H8" s="14">
        <v>2297137.69</v>
      </c>
      <c r="I8" s="14"/>
      <c r="J8" s="14">
        <v>2119.5</v>
      </c>
      <c r="K8" s="14">
        <f t="shared" si="0"/>
        <v>2119.5</v>
      </c>
      <c r="L8" s="14">
        <f t="shared" si="1"/>
        <v>2299257.19</v>
      </c>
      <c r="M8" s="14">
        <f t="shared" si="2"/>
        <v>742.81000000005588</v>
      </c>
      <c r="N8" s="14"/>
      <c r="O8" s="14">
        <f t="shared" si="3"/>
        <v>0</v>
      </c>
      <c r="P8" s="14">
        <f t="shared" si="4"/>
        <v>742.81000000005588</v>
      </c>
      <c r="Q8" s="14"/>
      <c r="R8" s="14"/>
      <c r="S8" s="14">
        <f t="shared" si="5"/>
        <v>0</v>
      </c>
      <c r="T8" s="14">
        <f t="shared" si="6"/>
        <v>0</v>
      </c>
      <c r="U8" s="14">
        <f t="shared" si="7"/>
        <v>0</v>
      </c>
      <c r="V8" s="14"/>
      <c r="W8" s="14">
        <f t="shared" si="8"/>
        <v>0</v>
      </c>
      <c r="X8" s="14"/>
      <c r="Y8" s="14"/>
      <c r="Z8" s="14"/>
      <c r="AA8" s="101">
        <v>747000</v>
      </c>
      <c r="AB8" s="55"/>
      <c r="AC8" s="112"/>
      <c r="AD8" s="55"/>
      <c r="AE8" s="57"/>
      <c r="AF8" s="57"/>
      <c r="AG8" s="57"/>
      <c r="AH8" s="57"/>
    </row>
    <row r="9" spans="1:34" s="15" customFormat="1">
      <c r="A9" s="13">
        <f t="shared" ref="A9:A38" si="10">A8+1</f>
        <v>4</v>
      </c>
      <c r="B9" s="13">
        <v>1684</v>
      </c>
      <c r="C9" s="13" t="s">
        <v>118</v>
      </c>
      <c r="D9" s="14">
        <v>200000</v>
      </c>
      <c r="E9" s="14">
        <v>400000</v>
      </c>
      <c r="F9" s="14">
        <f t="shared" si="9"/>
        <v>-200000</v>
      </c>
      <c r="G9" s="14">
        <v>200000</v>
      </c>
      <c r="H9" s="14">
        <v>167693.70000000001</v>
      </c>
      <c r="I9" s="14"/>
      <c r="J9" s="14">
        <v>32306.3</v>
      </c>
      <c r="K9" s="14">
        <f t="shared" si="0"/>
        <v>32306.3</v>
      </c>
      <c r="L9" s="14">
        <f t="shared" si="1"/>
        <v>200000</v>
      </c>
      <c r="M9" s="14">
        <f t="shared" si="2"/>
        <v>0</v>
      </c>
      <c r="N9" s="14"/>
      <c r="O9" s="14">
        <f t="shared" si="3"/>
        <v>0</v>
      </c>
      <c r="P9" s="14">
        <f t="shared" si="4"/>
        <v>0</v>
      </c>
      <c r="Q9" s="14"/>
      <c r="R9" s="14"/>
      <c r="S9" s="14">
        <f t="shared" si="5"/>
        <v>0</v>
      </c>
      <c r="T9" s="14">
        <f t="shared" si="6"/>
        <v>0</v>
      </c>
      <c r="U9" s="14">
        <f t="shared" si="7"/>
        <v>0</v>
      </c>
      <c r="V9" s="14"/>
      <c r="W9" s="14">
        <f t="shared" si="8"/>
        <v>0</v>
      </c>
      <c r="X9" s="14"/>
      <c r="Y9" s="14"/>
      <c r="Z9" s="14"/>
      <c r="AA9" s="101">
        <v>747000</v>
      </c>
      <c r="AB9" s="55"/>
      <c r="AC9" s="112"/>
      <c r="AD9" s="55"/>
      <c r="AE9" s="57"/>
      <c r="AF9" s="57"/>
      <c r="AG9" s="57"/>
      <c r="AH9" s="57"/>
    </row>
    <row r="10" spans="1:34" s="15" customFormat="1">
      <c r="A10" s="13">
        <f t="shared" si="10"/>
        <v>5</v>
      </c>
      <c r="B10" s="13">
        <v>1700</v>
      </c>
      <c r="C10" s="13" t="s">
        <v>412</v>
      </c>
      <c r="D10" s="14">
        <v>72000</v>
      </c>
      <c r="E10" s="14">
        <v>72000</v>
      </c>
      <c r="F10" s="14">
        <f t="shared" si="9"/>
        <v>0</v>
      </c>
      <c r="G10" s="14">
        <v>72000</v>
      </c>
      <c r="H10" s="14">
        <v>56971</v>
      </c>
      <c r="I10" s="14"/>
      <c r="J10" s="14"/>
      <c r="K10" s="14">
        <f t="shared" si="0"/>
        <v>0</v>
      </c>
      <c r="L10" s="14">
        <f t="shared" si="1"/>
        <v>56971</v>
      </c>
      <c r="M10" s="14">
        <f t="shared" si="2"/>
        <v>15029</v>
      </c>
      <c r="N10" s="14"/>
      <c r="O10" s="14">
        <f t="shared" si="3"/>
        <v>0</v>
      </c>
      <c r="P10" s="14">
        <f t="shared" si="4"/>
        <v>15029</v>
      </c>
      <c r="Q10" s="14"/>
      <c r="R10" s="14"/>
      <c r="S10" s="14">
        <f t="shared" si="5"/>
        <v>0</v>
      </c>
      <c r="T10" s="14">
        <f t="shared" si="6"/>
        <v>0</v>
      </c>
      <c r="U10" s="14">
        <f t="shared" si="7"/>
        <v>0</v>
      </c>
      <c r="V10" s="14"/>
      <c r="W10" s="14">
        <f t="shared" si="8"/>
        <v>0</v>
      </c>
      <c r="X10" s="14"/>
      <c r="Y10" s="14"/>
      <c r="Z10" s="14"/>
      <c r="AA10" s="101">
        <v>747000</v>
      </c>
      <c r="AB10" s="55"/>
      <c r="AC10" s="112"/>
      <c r="AD10" s="55"/>
      <c r="AE10" s="57"/>
      <c r="AF10" s="57"/>
      <c r="AG10" s="57"/>
      <c r="AH10" s="57"/>
    </row>
    <row r="11" spans="1:34" s="15" customFormat="1">
      <c r="A11" s="13">
        <f t="shared" si="10"/>
        <v>6</v>
      </c>
      <c r="B11" s="13">
        <v>1780</v>
      </c>
      <c r="C11" s="13" t="s">
        <v>119</v>
      </c>
      <c r="D11" s="14">
        <v>70000</v>
      </c>
      <c r="E11" s="14">
        <v>70000</v>
      </c>
      <c r="F11" s="14">
        <f t="shared" si="9"/>
        <v>0</v>
      </c>
      <c r="G11" s="14">
        <v>70000</v>
      </c>
      <c r="H11" s="14">
        <v>70000</v>
      </c>
      <c r="I11" s="14"/>
      <c r="J11" s="14"/>
      <c r="K11" s="14">
        <f t="shared" si="0"/>
        <v>0</v>
      </c>
      <c r="L11" s="14">
        <f t="shared" si="1"/>
        <v>70000</v>
      </c>
      <c r="M11" s="14">
        <f t="shared" si="2"/>
        <v>0</v>
      </c>
      <c r="N11" s="14"/>
      <c r="O11" s="14">
        <f t="shared" si="3"/>
        <v>0</v>
      </c>
      <c r="P11" s="14">
        <f t="shared" si="4"/>
        <v>0</v>
      </c>
      <c r="Q11" s="14"/>
      <c r="R11" s="14"/>
      <c r="S11" s="14">
        <f t="shared" si="5"/>
        <v>0</v>
      </c>
      <c r="T11" s="14">
        <f t="shared" si="6"/>
        <v>0</v>
      </c>
      <c r="U11" s="14">
        <f t="shared" si="7"/>
        <v>0</v>
      </c>
      <c r="V11" s="14"/>
      <c r="W11" s="14">
        <f t="shared" si="8"/>
        <v>0</v>
      </c>
      <c r="X11" s="14"/>
      <c r="Y11" s="14"/>
      <c r="Z11" s="14"/>
      <c r="AA11" s="101">
        <v>747000</v>
      </c>
      <c r="AB11" s="55"/>
      <c r="AC11" s="112">
        <v>0</v>
      </c>
      <c r="AD11" s="55"/>
      <c r="AE11" s="57"/>
      <c r="AF11" s="57"/>
      <c r="AG11" s="57"/>
      <c r="AH11" s="57"/>
    </row>
    <row r="12" spans="1:34" s="15" customFormat="1">
      <c r="A12" s="13">
        <f t="shared" si="10"/>
        <v>7</v>
      </c>
      <c r="B12" s="13">
        <v>1781</v>
      </c>
      <c r="C12" s="13" t="s">
        <v>319</v>
      </c>
      <c r="D12" s="14">
        <v>160000</v>
      </c>
      <c r="E12" s="14">
        <v>160000</v>
      </c>
      <c r="F12" s="14">
        <f t="shared" si="9"/>
        <v>0</v>
      </c>
      <c r="G12" s="14">
        <v>160000</v>
      </c>
      <c r="H12" s="14">
        <v>160000</v>
      </c>
      <c r="I12" s="14"/>
      <c r="J12" s="14"/>
      <c r="K12" s="14">
        <f t="shared" si="0"/>
        <v>0</v>
      </c>
      <c r="L12" s="14">
        <f t="shared" si="1"/>
        <v>160000</v>
      </c>
      <c r="M12" s="14">
        <f t="shared" si="2"/>
        <v>0</v>
      </c>
      <c r="N12" s="14"/>
      <c r="O12" s="14">
        <f t="shared" si="3"/>
        <v>0</v>
      </c>
      <c r="P12" s="14">
        <f t="shared" si="4"/>
        <v>0</v>
      </c>
      <c r="Q12" s="14"/>
      <c r="R12" s="14"/>
      <c r="S12" s="14">
        <f t="shared" si="5"/>
        <v>0</v>
      </c>
      <c r="T12" s="14">
        <f t="shared" si="6"/>
        <v>0</v>
      </c>
      <c r="U12" s="14">
        <f t="shared" si="7"/>
        <v>0</v>
      </c>
      <c r="V12" s="14"/>
      <c r="W12" s="14">
        <f t="shared" si="8"/>
        <v>0</v>
      </c>
      <c r="X12" s="14"/>
      <c r="Y12" s="14"/>
      <c r="Z12" s="14"/>
      <c r="AA12" s="101">
        <v>747000</v>
      </c>
      <c r="AB12" s="55"/>
      <c r="AC12" s="112">
        <v>0</v>
      </c>
      <c r="AD12" s="55"/>
      <c r="AE12" s="57"/>
      <c r="AF12" s="57"/>
      <c r="AG12" s="57"/>
      <c r="AH12" s="57"/>
    </row>
    <row r="13" spans="1:34" s="15" customFormat="1">
      <c r="A13" s="13">
        <f t="shared" si="10"/>
        <v>8</v>
      </c>
      <c r="B13" s="13">
        <v>1782</v>
      </c>
      <c r="C13" s="13" t="s">
        <v>120</v>
      </c>
      <c r="D13" s="14">
        <v>85000</v>
      </c>
      <c r="E13" s="14">
        <v>85000</v>
      </c>
      <c r="F13" s="14">
        <f t="shared" si="9"/>
        <v>0</v>
      </c>
      <c r="G13" s="14">
        <v>85000</v>
      </c>
      <c r="H13" s="14">
        <v>75700</v>
      </c>
      <c r="I13" s="14"/>
      <c r="J13" s="14"/>
      <c r="K13" s="14">
        <f t="shared" si="0"/>
        <v>0</v>
      </c>
      <c r="L13" s="14">
        <f t="shared" si="1"/>
        <v>75700</v>
      </c>
      <c r="M13" s="14">
        <f t="shared" si="2"/>
        <v>9300</v>
      </c>
      <c r="N13" s="14"/>
      <c r="O13" s="14">
        <f t="shared" si="3"/>
        <v>0</v>
      </c>
      <c r="P13" s="14">
        <f t="shared" si="4"/>
        <v>9300</v>
      </c>
      <c r="Q13" s="14"/>
      <c r="R13" s="14"/>
      <c r="S13" s="14">
        <f t="shared" si="5"/>
        <v>0</v>
      </c>
      <c r="T13" s="14">
        <f t="shared" si="6"/>
        <v>0</v>
      </c>
      <c r="U13" s="14">
        <f t="shared" si="7"/>
        <v>0</v>
      </c>
      <c r="V13" s="14"/>
      <c r="W13" s="14">
        <f t="shared" si="8"/>
        <v>0</v>
      </c>
      <c r="X13" s="14"/>
      <c r="Y13" s="14"/>
      <c r="Z13" s="14"/>
      <c r="AA13" s="101">
        <v>747000</v>
      </c>
      <c r="AB13" s="55"/>
      <c r="AC13" s="112"/>
      <c r="AD13" s="55"/>
      <c r="AE13" s="57"/>
      <c r="AF13" s="57"/>
      <c r="AG13" s="57"/>
      <c r="AH13" s="57"/>
    </row>
    <row r="14" spans="1:34" s="15" customFormat="1">
      <c r="A14" s="13">
        <f t="shared" si="10"/>
        <v>9</v>
      </c>
      <c r="B14" s="13">
        <v>1783</v>
      </c>
      <c r="C14" s="13" t="s">
        <v>320</v>
      </c>
      <c r="D14" s="14">
        <v>127000</v>
      </c>
      <c r="E14" s="14">
        <v>127000</v>
      </c>
      <c r="F14" s="14">
        <f t="shared" si="9"/>
        <v>0</v>
      </c>
      <c r="G14" s="14">
        <v>127000</v>
      </c>
      <c r="H14" s="14">
        <v>124436.8</v>
      </c>
      <c r="I14" s="14"/>
      <c r="J14" s="14"/>
      <c r="K14" s="14">
        <f t="shared" si="0"/>
        <v>0</v>
      </c>
      <c r="L14" s="14">
        <f t="shared" si="1"/>
        <v>124436.8</v>
      </c>
      <c r="M14" s="14">
        <f t="shared" si="2"/>
        <v>2563.1999999999971</v>
      </c>
      <c r="N14" s="14"/>
      <c r="O14" s="14">
        <f t="shared" si="3"/>
        <v>0</v>
      </c>
      <c r="P14" s="14">
        <f t="shared" si="4"/>
        <v>2563.1999999999971</v>
      </c>
      <c r="Q14" s="14"/>
      <c r="R14" s="14"/>
      <c r="S14" s="14">
        <f t="shared" si="5"/>
        <v>0</v>
      </c>
      <c r="T14" s="14">
        <f t="shared" si="6"/>
        <v>0</v>
      </c>
      <c r="U14" s="14">
        <f t="shared" si="7"/>
        <v>0</v>
      </c>
      <c r="V14" s="14"/>
      <c r="W14" s="14">
        <f t="shared" si="8"/>
        <v>0</v>
      </c>
      <c r="X14" s="14"/>
      <c r="Y14" s="14"/>
      <c r="Z14" s="14"/>
      <c r="AA14" s="101">
        <v>747000</v>
      </c>
      <c r="AB14" s="55"/>
      <c r="AC14" s="112"/>
      <c r="AD14" s="55"/>
      <c r="AE14" s="57"/>
      <c r="AF14" s="57"/>
      <c r="AG14" s="57"/>
      <c r="AH14" s="57"/>
    </row>
    <row r="15" spans="1:34" s="15" customFormat="1">
      <c r="A15" s="13">
        <f t="shared" si="10"/>
        <v>10</v>
      </c>
      <c r="B15" s="13">
        <v>1862</v>
      </c>
      <c r="C15" s="13" t="s">
        <v>443</v>
      </c>
      <c r="D15" s="14">
        <v>2200000</v>
      </c>
      <c r="E15" s="14">
        <v>2200000</v>
      </c>
      <c r="F15" s="14">
        <f t="shared" si="9"/>
        <v>0</v>
      </c>
      <c r="G15" s="14">
        <v>2200000</v>
      </c>
      <c r="H15" s="14">
        <v>1960799.36</v>
      </c>
      <c r="I15" s="14"/>
      <c r="J15" s="14">
        <v>219769.23</v>
      </c>
      <c r="K15" s="14">
        <f t="shared" si="0"/>
        <v>219769.23</v>
      </c>
      <c r="L15" s="14">
        <f t="shared" si="1"/>
        <v>2180568.5900000003</v>
      </c>
      <c r="M15" s="14">
        <f t="shared" si="2"/>
        <v>19431.409999999683</v>
      </c>
      <c r="N15" s="14"/>
      <c r="O15" s="14">
        <f t="shared" si="3"/>
        <v>0</v>
      </c>
      <c r="P15" s="14">
        <f t="shared" si="4"/>
        <v>19431.409999999683</v>
      </c>
      <c r="Q15" s="14"/>
      <c r="R15" s="14"/>
      <c r="S15" s="14">
        <f t="shared" si="5"/>
        <v>0</v>
      </c>
      <c r="T15" s="14">
        <f t="shared" si="6"/>
        <v>0</v>
      </c>
      <c r="U15" s="14">
        <f t="shared" si="7"/>
        <v>0</v>
      </c>
      <c r="V15" s="14"/>
      <c r="W15" s="14">
        <f t="shared" si="8"/>
        <v>0</v>
      </c>
      <c r="X15" s="14"/>
      <c r="Y15" s="14"/>
      <c r="Z15" s="14"/>
      <c r="AA15" s="101">
        <v>747000</v>
      </c>
      <c r="AB15" s="55"/>
      <c r="AC15" s="112"/>
      <c r="AD15" s="55"/>
      <c r="AE15" s="57"/>
      <c r="AF15" s="57"/>
      <c r="AG15" s="57"/>
      <c r="AH15" s="57"/>
    </row>
    <row r="16" spans="1:34" s="15" customFormat="1">
      <c r="A16" s="13">
        <f t="shared" si="10"/>
        <v>11</v>
      </c>
      <c r="B16" s="13">
        <v>1863</v>
      </c>
      <c r="C16" s="13" t="s">
        <v>321</v>
      </c>
      <c r="D16" s="14">
        <v>70000</v>
      </c>
      <c r="E16" s="14">
        <v>70000</v>
      </c>
      <c r="F16" s="14">
        <f t="shared" si="9"/>
        <v>0</v>
      </c>
      <c r="G16" s="14">
        <v>70000</v>
      </c>
      <c r="H16" s="14">
        <v>4625</v>
      </c>
      <c r="I16" s="14"/>
      <c r="J16" s="14"/>
      <c r="K16" s="14">
        <f t="shared" si="0"/>
        <v>0</v>
      </c>
      <c r="L16" s="14">
        <f t="shared" si="1"/>
        <v>4625</v>
      </c>
      <c r="M16" s="14">
        <f t="shared" si="2"/>
        <v>65375</v>
      </c>
      <c r="N16" s="14"/>
      <c r="O16" s="14">
        <f t="shared" si="3"/>
        <v>0</v>
      </c>
      <c r="P16" s="14">
        <f t="shared" si="4"/>
        <v>65375</v>
      </c>
      <c r="Q16" s="14"/>
      <c r="R16" s="14"/>
      <c r="S16" s="14">
        <f t="shared" si="5"/>
        <v>0</v>
      </c>
      <c r="T16" s="14">
        <f t="shared" si="6"/>
        <v>0</v>
      </c>
      <c r="U16" s="14">
        <f t="shared" si="7"/>
        <v>0</v>
      </c>
      <c r="V16" s="14"/>
      <c r="W16" s="14">
        <f t="shared" si="8"/>
        <v>0</v>
      </c>
      <c r="X16" s="14"/>
      <c r="Y16" s="14"/>
      <c r="Z16" s="14"/>
      <c r="AA16" s="101">
        <v>747000</v>
      </c>
      <c r="AB16" s="55"/>
      <c r="AC16" s="112"/>
      <c r="AD16" s="55"/>
      <c r="AE16" s="57"/>
      <c r="AF16" s="57"/>
      <c r="AG16" s="57"/>
      <c r="AH16" s="57"/>
    </row>
    <row r="17" spans="1:34" s="15" customFormat="1">
      <c r="A17" s="13">
        <f t="shared" si="10"/>
        <v>12</v>
      </c>
      <c r="B17" s="13">
        <v>1864</v>
      </c>
      <c r="C17" s="13" t="s">
        <v>490</v>
      </c>
      <c r="D17" s="14">
        <v>1500000</v>
      </c>
      <c r="E17" s="14">
        <v>1500000</v>
      </c>
      <c r="F17" s="14">
        <f t="shared" si="9"/>
        <v>0</v>
      </c>
      <c r="G17" s="14">
        <v>100000</v>
      </c>
      <c r="H17" s="14">
        <v>57304.54</v>
      </c>
      <c r="I17" s="14"/>
      <c r="J17" s="14">
        <v>42695.45</v>
      </c>
      <c r="K17" s="14">
        <f t="shared" si="0"/>
        <v>42695.45</v>
      </c>
      <c r="L17" s="14">
        <f t="shared" si="1"/>
        <v>99999.989999999991</v>
      </c>
      <c r="M17" s="14">
        <f t="shared" si="2"/>
        <v>1.0000000009313226E-2</v>
      </c>
      <c r="N17" s="14">
        <v>200000</v>
      </c>
      <c r="O17" s="14">
        <f t="shared" si="3"/>
        <v>1200000</v>
      </c>
      <c r="P17" s="14">
        <f t="shared" si="4"/>
        <v>1.0000000009313226E-2</v>
      </c>
      <c r="Q17" s="14"/>
      <c r="R17" s="14"/>
      <c r="S17" s="14">
        <f t="shared" si="5"/>
        <v>0</v>
      </c>
      <c r="T17" s="14">
        <f t="shared" si="6"/>
        <v>0</v>
      </c>
      <c r="U17" s="14">
        <f t="shared" si="7"/>
        <v>200000</v>
      </c>
      <c r="V17" s="14"/>
      <c r="W17" s="14">
        <f t="shared" si="8"/>
        <v>200000</v>
      </c>
      <c r="X17" s="14"/>
      <c r="Y17" s="14"/>
      <c r="Z17" s="14"/>
      <c r="AA17" s="101">
        <v>747000</v>
      </c>
      <c r="AB17" s="55"/>
      <c r="AC17" s="112"/>
      <c r="AD17" s="55"/>
      <c r="AE17" s="57"/>
      <c r="AF17" s="57"/>
      <c r="AG17" s="57"/>
      <c r="AH17" s="57"/>
    </row>
    <row r="18" spans="1:34" s="15" customFormat="1">
      <c r="A18" s="13">
        <f t="shared" si="10"/>
        <v>13</v>
      </c>
      <c r="B18" s="13">
        <v>1876</v>
      </c>
      <c r="C18" s="13" t="s">
        <v>323</v>
      </c>
      <c r="D18" s="14">
        <v>30000</v>
      </c>
      <c r="E18" s="14">
        <v>30000</v>
      </c>
      <c r="F18" s="14">
        <f t="shared" si="9"/>
        <v>0</v>
      </c>
      <c r="G18" s="14">
        <v>30000</v>
      </c>
      <c r="H18" s="14">
        <v>29999.97</v>
      </c>
      <c r="I18" s="14"/>
      <c r="J18" s="14"/>
      <c r="K18" s="14">
        <f t="shared" si="0"/>
        <v>0</v>
      </c>
      <c r="L18" s="14">
        <f t="shared" si="1"/>
        <v>29999.97</v>
      </c>
      <c r="M18" s="14">
        <f t="shared" si="2"/>
        <v>2.9999999998835847E-2</v>
      </c>
      <c r="N18" s="14"/>
      <c r="O18" s="14">
        <f t="shared" si="3"/>
        <v>0</v>
      </c>
      <c r="P18" s="14">
        <f t="shared" si="4"/>
        <v>2.9999999998835847E-2</v>
      </c>
      <c r="Q18" s="14"/>
      <c r="R18" s="14"/>
      <c r="S18" s="14">
        <f t="shared" si="5"/>
        <v>0</v>
      </c>
      <c r="T18" s="14">
        <f t="shared" si="6"/>
        <v>0</v>
      </c>
      <c r="U18" s="14">
        <f t="shared" si="7"/>
        <v>0</v>
      </c>
      <c r="V18" s="14"/>
      <c r="W18" s="14">
        <f t="shared" si="8"/>
        <v>0</v>
      </c>
      <c r="X18" s="14"/>
      <c r="Y18" s="14"/>
      <c r="Z18" s="14"/>
      <c r="AA18" s="101">
        <v>747000</v>
      </c>
      <c r="AB18" s="55"/>
      <c r="AC18" s="112"/>
      <c r="AD18" s="55"/>
      <c r="AE18" s="57"/>
      <c r="AF18" s="57"/>
      <c r="AG18" s="57"/>
      <c r="AH18" s="57"/>
    </row>
    <row r="19" spans="1:34" s="15" customFormat="1">
      <c r="A19" s="13">
        <f t="shared" si="10"/>
        <v>14</v>
      </c>
      <c r="B19" s="13">
        <v>1877</v>
      </c>
      <c r="C19" s="13" t="s">
        <v>324</v>
      </c>
      <c r="D19" s="14">
        <v>85000</v>
      </c>
      <c r="E19" s="14">
        <v>85000</v>
      </c>
      <c r="F19" s="14">
        <f t="shared" si="9"/>
        <v>0</v>
      </c>
      <c r="G19" s="14">
        <v>85000</v>
      </c>
      <c r="H19" s="14">
        <v>75703</v>
      </c>
      <c r="I19" s="14"/>
      <c r="J19" s="14"/>
      <c r="K19" s="14">
        <f t="shared" si="0"/>
        <v>0</v>
      </c>
      <c r="L19" s="14">
        <f t="shared" si="1"/>
        <v>75703</v>
      </c>
      <c r="M19" s="14">
        <f t="shared" si="2"/>
        <v>9297</v>
      </c>
      <c r="N19" s="14"/>
      <c r="O19" s="14">
        <f t="shared" si="3"/>
        <v>0</v>
      </c>
      <c r="P19" s="14">
        <f t="shared" si="4"/>
        <v>9297</v>
      </c>
      <c r="Q19" s="14"/>
      <c r="R19" s="14"/>
      <c r="S19" s="14">
        <f t="shared" si="5"/>
        <v>0</v>
      </c>
      <c r="T19" s="14">
        <f t="shared" si="6"/>
        <v>0</v>
      </c>
      <c r="U19" s="14">
        <f t="shared" si="7"/>
        <v>0</v>
      </c>
      <c r="V19" s="14"/>
      <c r="W19" s="14">
        <f t="shared" si="8"/>
        <v>0</v>
      </c>
      <c r="X19" s="14"/>
      <c r="Y19" s="14"/>
      <c r="Z19" s="14"/>
      <c r="AA19" s="101">
        <v>747000</v>
      </c>
      <c r="AB19" s="55"/>
      <c r="AC19" s="112"/>
      <c r="AD19" s="55"/>
      <c r="AE19" s="57"/>
      <c r="AF19" s="57"/>
      <c r="AG19" s="57"/>
      <c r="AH19" s="57"/>
    </row>
    <row r="20" spans="1:34" s="15" customFormat="1">
      <c r="A20" s="13">
        <f t="shared" si="10"/>
        <v>15</v>
      </c>
      <c r="B20" s="13">
        <v>1878</v>
      </c>
      <c r="C20" s="13" t="s">
        <v>325</v>
      </c>
      <c r="D20" s="14">
        <v>20000</v>
      </c>
      <c r="E20" s="14">
        <v>20000</v>
      </c>
      <c r="F20" s="14">
        <f t="shared" si="9"/>
        <v>0</v>
      </c>
      <c r="G20" s="14">
        <v>20000</v>
      </c>
      <c r="H20" s="14">
        <v>19999.990000000002</v>
      </c>
      <c r="I20" s="14"/>
      <c r="J20" s="14"/>
      <c r="K20" s="14">
        <f t="shared" si="0"/>
        <v>0</v>
      </c>
      <c r="L20" s="14">
        <f t="shared" si="1"/>
        <v>19999.990000000002</v>
      </c>
      <c r="M20" s="14">
        <f t="shared" si="2"/>
        <v>9.9999999983992893E-3</v>
      </c>
      <c r="N20" s="14"/>
      <c r="O20" s="14">
        <f t="shared" si="3"/>
        <v>0</v>
      </c>
      <c r="P20" s="14">
        <f t="shared" si="4"/>
        <v>9.9999999983992893E-3</v>
      </c>
      <c r="Q20" s="14"/>
      <c r="R20" s="14"/>
      <c r="S20" s="14">
        <f t="shared" si="5"/>
        <v>0</v>
      </c>
      <c r="T20" s="14">
        <f t="shared" si="6"/>
        <v>0</v>
      </c>
      <c r="U20" s="14">
        <f t="shared" si="7"/>
        <v>0</v>
      </c>
      <c r="V20" s="14"/>
      <c r="W20" s="14">
        <f t="shared" si="8"/>
        <v>0</v>
      </c>
      <c r="X20" s="14"/>
      <c r="Y20" s="14"/>
      <c r="Z20" s="14"/>
      <c r="AA20" s="101">
        <v>747000</v>
      </c>
      <c r="AB20" s="55"/>
      <c r="AC20" s="112"/>
      <c r="AD20" s="55"/>
      <c r="AE20" s="57"/>
      <c r="AF20" s="57"/>
      <c r="AG20" s="57"/>
      <c r="AH20" s="57"/>
    </row>
    <row r="21" spans="1:34" s="15" customFormat="1">
      <c r="A21" s="13">
        <f t="shared" si="10"/>
        <v>16</v>
      </c>
      <c r="B21" s="13">
        <v>1879</v>
      </c>
      <c r="C21" s="13" t="s">
        <v>326</v>
      </c>
      <c r="D21" s="14">
        <v>48000</v>
      </c>
      <c r="E21" s="14">
        <v>48000</v>
      </c>
      <c r="F21" s="14">
        <f t="shared" si="9"/>
        <v>0</v>
      </c>
      <c r="G21" s="14">
        <v>48000</v>
      </c>
      <c r="H21" s="14">
        <v>36272.89</v>
      </c>
      <c r="I21" s="14"/>
      <c r="J21" s="14">
        <v>7897.5</v>
      </c>
      <c r="K21" s="14">
        <f t="shared" si="0"/>
        <v>7897.5</v>
      </c>
      <c r="L21" s="14">
        <f t="shared" si="1"/>
        <v>44170.39</v>
      </c>
      <c r="M21" s="14">
        <f t="shared" si="2"/>
        <v>3829.6100000000006</v>
      </c>
      <c r="N21" s="14"/>
      <c r="O21" s="14">
        <f t="shared" si="3"/>
        <v>0</v>
      </c>
      <c r="P21" s="14">
        <f t="shared" si="4"/>
        <v>3829.6100000000006</v>
      </c>
      <c r="Q21" s="14"/>
      <c r="R21" s="14"/>
      <c r="S21" s="14">
        <f t="shared" si="5"/>
        <v>0</v>
      </c>
      <c r="T21" s="14">
        <f t="shared" si="6"/>
        <v>0</v>
      </c>
      <c r="U21" s="14">
        <f t="shared" si="7"/>
        <v>0</v>
      </c>
      <c r="V21" s="14"/>
      <c r="W21" s="14">
        <f t="shared" si="8"/>
        <v>0</v>
      </c>
      <c r="X21" s="14"/>
      <c r="Y21" s="14"/>
      <c r="Z21" s="14"/>
      <c r="AA21" s="101">
        <v>747000</v>
      </c>
      <c r="AB21" s="55"/>
      <c r="AC21" s="112"/>
      <c r="AD21" s="55"/>
      <c r="AE21" s="57"/>
      <c r="AF21" s="57"/>
      <c r="AG21" s="57"/>
      <c r="AH21" s="57"/>
    </row>
    <row r="22" spans="1:34" s="15" customFormat="1">
      <c r="A22" s="13">
        <f t="shared" si="10"/>
        <v>17</v>
      </c>
      <c r="B22" s="13">
        <v>1880</v>
      </c>
      <c r="C22" s="13" t="s">
        <v>327</v>
      </c>
      <c r="D22" s="14">
        <v>85000</v>
      </c>
      <c r="E22" s="14">
        <v>85000</v>
      </c>
      <c r="F22" s="14">
        <f t="shared" si="9"/>
        <v>0</v>
      </c>
      <c r="G22" s="14">
        <v>85000</v>
      </c>
      <c r="H22" s="14">
        <v>85001</v>
      </c>
      <c r="I22" s="14"/>
      <c r="J22" s="14"/>
      <c r="K22" s="14">
        <f t="shared" si="0"/>
        <v>0</v>
      </c>
      <c r="L22" s="14">
        <f t="shared" si="1"/>
        <v>85001</v>
      </c>
      <c r="M22" s="14">
        <f t="shared" si="2"/>
        <v>-1</v>
      </c>
      <c r="N22" s="14"/>
      <c r="O22" s="14">
        <f t="shared" si="3"/>
        <v>0</v>
      </c>
      <c r="P22" s="14">
        <f t="shared" si="4"/>
        <v>-1</v>
      </c>
      <c r="Q22" s="14"/>
      <c r="R22" s="14"/>
      <c r="S22" s="14">
        <f t="shared" si="5"/>
        <v>0</v>
      </c>
      <c r="T22" s="14">
        <f t="shared" si="6"/>
        <v>0</v>
      </c>
      <c r="U22" s="14">
        <f t="shared" si="7"/>
        <v>0</v>
      </c>
      <c r="V22" s="14"/>
      <c r="W22" s="14">
        <f t="shared" si="8"/>
        <v>0</v>
      </c>
      <c r="X22" s="14"/>
      <c r="Y22" s="14"/>
      <c r="Z22" s="14"/>
      <c r="AA22" s="101">
        <v>747000</v>
      </c>
      <c r="AB22" s="55"/>
      <c r="AC22" s="112"/>
      <c r="AD22" s="55"/>
      <c r="AE22" s="57"/>
      <c r="AF22" s="57"/>
      <c r="AG22" s="57"/>
      <c r="AH22" s="57"/>
    </row>
    <row r="23" spans="1:34" s="15" customFormat="1">
      <c r="A23" s="13">
        <f t="shared" si="10"/>
        <v>18</v>
      </c>
      <c r="B23" s="13">
        <v>1881</v>
      </c>
      <c r="C23" s="13" t="s">
        <v>320</v>
      </c>
      <c r="D23" s="14">
        <v>100000</v>
      </c>
      <c r="E23" s="14">
        <v>100000</v>
      </c>
      <c r="F23" s="14">
        <f t="shared" si="9"/>
        <v>0</v>
      </c>
      <c r="G23" s="14">
        <v>100000</v>
      </c>
      <c r="H23" s="14">
        <v>42475.94</v>
      </c>
      <c r="I23" s="14"/>
      <c r="J23" s="14">
        <v>8350.6</v>
      </c>
      <c r="K23" s="14">
        <f t="shared" si="0"/>
        <v>8350.6</v>
      </c>
      <c r="L23" s="14">
        <f t="shared" si="1"/>
        <v>50826.54</v>
      </c>
      <c r="M23" s="14">
        <f t="shared" si="2"/>
        <v>49173.46</v>
      </c>
      <c r="N23" s="14"/>
      <c r="O23" s="14">
        <f t="shared" si="3"/>
        <v>0</v>
      </c>
      <c r="P23" s="14">
        <f t="shared" si="4"/>
        <v>49173.46</v>
      </c>
      <c r="Q23" s="14"/>
      <c r="R23" s="14"/>
      <c r="S23" s="14">
        <f t="shared" si="5"/>
        <v>0</v>
      </c>
      <c r="T23" s="14">
        <f t="shared" si="6"/>
        <v>0</v>
      </c>
      <c r="U23" s="14">
        <f t="shared" si="7"/>
        <v>0</v>
      </c>
      <c r="V23" s="14"/>
      <c r="W23" s="14">
        <f t="shared" si="8"/>
        <v>0</v>
      </c>
      <c r="X23" s="14"/>
      <c r="Y23" s="14"/>
      <c r="Z23" s="14"/>
      <c r="AA23" s="101">
        <v>747000</v>
      </c>
      <c r="AB23" s="55"/>
      <c r="AC23" s="112"/>
      <c r="AD23" s="55"/>
      <c r="AE23" s="57"/>
      <c r="AF23" s="57"/>
      <c r="AG23" s="57"/>
      <c r="AH23" s="57"/>
    </row>
    <row r="24" spans="1:34" s="15" customFormat="1">
      <c r="A24" s="13">
        <f t="shared" si="10"/>
        <v>19</v>
      </c>
      <c r="B24" s="13">
        <v>1923</v>
      </c>
      <c r="C24" s="13" t="s">
        <v>328</v>
      </c>
      <c r="D24" s="14">
        <v>350000</v>
      </c>
      <c r="E24" s="14">
        <v>350000</v>
      </c>
      <c r="F24" s="14">
        <f t="shared" si="9"/>
        <v>0</v>
      </c>
      <c r="G24" s="14">
        <v>350000</v>
      </c>
      <c r="H24" s="14">
        <v>321353.59999999998</v>
      </c>
      <c r="I24" s="14"/>
      <c r="J24" s="14">
        <v>28646.28</v>
      </c>
      <c r="K24" s="14">
        <f t="shared" si="0"/>
        <v>28646.28</v>
      </c>
      <c r="L24" s="14">
        <f t="shared" si="1"/>
        <v>349999.88</v>
      </c>
      <c r="M24" s="14">
        <f t="shared" si="2"/>
        <v>0.11999999999534339</v>
      </c>
      <c r="N24" s="14"/>
      <c r="O24" s="14">
        <f t="shared" si="3"/>
        <v>0</v>
      </c>
      <c r="P24" s="14">
        <f t="shared" si="4"/>
        <v>0.11999999999534339</v>
      </c>
      <c r="Q24" s="14"/>
      <c r="R24" s="14"/>
      <c r="S24" s="14">
        <f t="shared" si="5"/>
        <v>0</v>
      </c>
      <c r="T24" s="14">
        <f t="shared" si="6"/>
        <v>0</v>
      </c>
      <c r="U24" s="14">
        <f t="shared" si="7"/>
        <v>0</v>
      </c>
      <c r="V24" s="14"/>
      <c r="W24" s="14">
        <f t="shared" si="8"/>
        <v>0</v>
      </c>
      <c r="X24" s="14"/>
      <c r="Y24" s="14"/>
      <c r="Z24" s="14"/>
      <c r="AA24" s="101">
        <v>747000</v>
      </c>
      <c r="AB24" s="55"/>
      <c r="AC24" s="112"/>
      <c r="AD24" s="55"/>
      <c r="AE24" s="57"/>
      <c r="AF24" s="57"/>
      <c r="AG24" s="57"/>
      <c r="AH24" s="57"/>
    </row>
    <row r="25" spans="1:34" s="15" customFormat="1">
      <c r="A25" s="13">
        <f t="shared" si="10"/>
        <v>20</v>
      </c>
      <c r="B25" s="13">
        <v>1928</v>
      </c>
      <c r="C25" s="13" t="s">
        <v>371</v>
      </c>
      <c r="D25" s="14">
        <v>100000</v>
      </c>
      <c r="E25" s="14">
        <v>100000</v>
      </c>
      <c r="F25" s="14">
        <f t="shared" si="9"/>
        <v>0</v>
      </c>
      <c r="G25" s="14">
        <v>100000</v>
      </c>
      <c r="H25" s="14">
        <v>95823.38</v>
      </c>
      <c r="I25" s="14"/>
      <c r="J25" s="14"/>
      <c r="K25" s="14">
        <f t="shared" si="0"/>
        <v>0</v>
      </c>
      <c r="L25" s="14">
        <f t="shared" si="1"/>
        <v>95823.38</v>
      </c>
      <c r="M25" s="14">
        <f t="shared" si="2"/>
        <v>4176.6199999999953</v>
      </c>
      <c r="N25" s="14"/>
      <c r="O25" s="14">
        <f t="shared" si="3"/>
        <v>0</v>
      </c>
      <c r="P25" s="14">
        <f t="shared" si="4"/>
        <v>4176.6199999999953</v>
      </c>
      <c r="Q25" s="14"/>
      <c r="R25" s="14"/>
      <c r="S25" s="14">
        <f t="shared" si="5"/>
        <v>0</v>
      </c>
      <c r="T25" s="14">
        <f t="shared" si="6"/>
        <v>0</v>
      </c>
      <c r="U25" s="14">
        <f t="shared" si="7"/>
        <v>0</v>
      </c>
      <c r="V25" s="14"/>
      <c r="W25" s="14">
        <f t="shared" si="8"/>
        <v>0</v>
      </c>
      <c r="X25" s="14"/>
      <c r="Y25" s="14"/>
      <c r="Z25" s="14"/>
      <c r="AA25" s="101">
        <v>747000</v>
      </c>
      <c r="AB25" s="55"/>
      <c r="AC25" s="112"/>
      <c r="AD25" s="55"/>
      <c r="AE25" s="57"/>
      <c r="AF25" s="57"/>
      <c r="AG25" s="57"/>
      <c r="AH25" s="57"/>
    </row>
    <row r="26" spans="1:34" s="15" customFormat="1">
      <c r="A26" s="13">
        <f t="shared" si="10"/>
        <v>21</v>
      </c>
      <c r="B26" s="13">
        <v>1988</v>
      </c>
      <c r="C26" s="13" t="s">
        <v>447</v>
      </c>
      <c r="D26" s="14">
        <v>30000</v>
      </c>
      <c r="E26" s="14">
        <v>30000</v>
      </c>
      <c r="F26" s="14">
        <f t="shared" si="9"/>
        <v>0</v>
      </c>
      <c r="G26" s="14">
        <v>30000</v>
      </c>
      <c r="H26" s="14">
        <v>0</v>
      </c>
      <c r="I26" s="14"/>
      <c r="J26" s="14"/>
      <c r="K26" s="14">
        <f t="shared" si="0"/>
        <v>0</v>
      </c>
      <c r="L26" s="14">
        <f t="shared" si="1"/>
        <v>0</v>
      </c>
      <c r="M26" s="14">
        <f t="shared" si="2"/>
        <v>30000</v>
      </c>
      <c r="N26" s="14"/>
      <c r="O26" s="14">
        <f t="shared" si="3"/>
        <v>0</v>
      </c>
      <c r="P26" s="14">
        <f t="shared" si="4"/>
        <v>30000</v>
      </c>
      <c r="Q26" s="14"/>
      <c r="R26" s="14"/>
      <c r="S26" s="14">
        <f t="shared" si="5"/>
        <v>0</v>
      </c>
      <c r="T26" s="14">
        <f t="shared" si="6"/>
        <v>0</v>
      </c>
      <c r="U26" s="14">
        <f t="shared" si="7"/>
        <v>0</v>
      </c>
      <c r="V26" s="14"/>
      <c r="W26" s="14">
        <f t="shared" si="8"/>
        <v>0</v>
      </c>
      <c r="X26" s="14"/>
      <c r="Y26" s="14"/>
      <c r="Z26" s="14"/>
      <c r="AA26" s="101">
        <v>747000</v>
      </c>
      <c r="AB26" s="55"/>
      <c r="AC26" s="112"/>
      <c r="AD26" s="55"/>
      <c r="AE26" s="57"/>
      <c r="AF26" s="57"/>
      <c r="AG26" s="57"/>
      <c r="AH26" s="57"/>
    </row>
    <row r="27" spans="1:34" s="15" customFormat="1">
      <c r="A27" s="13">
        <f t="shared" si="10"/>
        <v>22</v>
      </c>
      <c r="B27" s="13">
        <v>1994</v>
      </c>
      <c r="C27" s="13" t="s">
        <v>448</v>
      </c>
      <c r="D27" s="14">
        <v>112000</v>
      </c>
      <c r="E27" s="14">
        <v>112000</v>
      </c>
      <c r="F27" s="14">
        <f t="shared" si="9"/>
        <v>0</v>
      </c>
      <c r="G27" s="14">
        <v>112000</v>
      </c>
      <c r="H27" s="14">
        <v>0</v>
      </c>
      <c r="I27" s="14"/>
      <c r="J27" s="14">
        <v>56160</v>
      </c>
      <c r="K27" s="14">
        <f t="shared" si="0"/>
        <v>56160</v>
      </c>
      <c r="L27" s="14">
        <f t="shared" si="1"/>
        <v>56160</v>
      </c>
      <c r="M27" s="14">
        <f t="shared" si="2"/>
        <v>55840</v>
      </c>
      <c r="N27" s="14"/>
      <c r="O27" s="14">
        <f t="shared" si="3"/>
        <v>0</v>
      </c>
      <c r="P27" s="14">
        <f t="shared" si="4"/>
        <v>55840</v>
      </c>
      <c r="Q27" s="14"/>
      <c r="R27" s="14"/>
      <c r="S27" s="14">
        <f t="shared" si="5"/>
        <v>0</v>
      </c>
      <c r="T27" s="14">
        <f t="shared" si="6"/>
        <v>0</v>
      </c>
      <c r="U27" s="14">
        <f t="shared" si="7"/>
        <v>0</v>
      </c>
      <c r="V27" s="14"/>
      <c r="W27" s="14">
        <f t="shared" si="8"/>
        <v>0</v>
      </c>
      <c r="X27" s="14"/>
      <c r="Y27" s="14"/>
      <c r="Z27" s="14"/>
      <c r="AA27" s="101">
        <v>747000</v>
      </c>
      <c r="AB27" s="55"/>
      <c r="AC27" s="112"/>
      <c r="AD27" s="55"/>
      <c r="AE27" s="57"/>
      <c r="AF27" s="57"/>
      <c r="AG27" s="57"/>
      <c r="AH27" s="57"/>
    </row>
    <row r="28" spans="1:34" s="15" customFormat="1">
      <c r="A28" s="13">
        <f t="shared" si="10"/>
        <v>23</v>
      </c>
      <c r="B28" s="13">
        <v>1995</v>
      </c>
      <c r="C28" s="13" t="s">
        <v>449</v>
      </c>
      <c r="D28" s="14">
        <v>170000</v>
      </c>
      <c r="E28" s="14">
        <v>170000</v>
      </c>
      <c r="F28" s="14">
        <f t="shared" si="9"/>
        <v>0</v>
      </c>
      <c r="G28" s="14">
        <v>170000</v>
      </c>
      <c r="H28" s="14">
        <v>0</v>
      </c>
      <c r="I28" s="14"/>
      <c r="J28" s="14"/>
      <c r="K28" s="14">
        <f t="shared" si="0"/>
        <v>0</v>
      </c>
      <c r="L28" s="14">
        <f t="shared" si="1"/>
        <v>0</v>
      </c>
      <c r="M28" s="14">
        <f t="shared" si="2"/>
        <v>170000</v>
      </c>
      <c r="N28" s="14"/>
      <c r="O28" s="14">
        <f t="shared" si="3"/>
        <v>0</v>
      </c>
      <c r="P28" s="14">
        <f t="shared" si="4"/>
        <v>170000</v>
      </c>
      <c r="Q28" s="14"/>
      <c r="R28" s="14"/>
      <c r="S28" s="14">
        <f t="shared" si="5"/>
        <v>0</v>
      </c>
      <c r="T28" s="14">
        <f t="shared" si="6"/>
        <v>0</v>
      </c>
      <c r="U28" s="14">
        <f t="shared" si="7"/>
        <v>0</v>
      </c>
      <c r="V28" s="14"/>
      <c r="W28" s="14">
        <f t="shared" si="8"/>
        <v>0</v>
      </c>
      <c r="X28" s="14"/>
      <c r="Y28" s="14"/>
      <c r="Z28" s="14"/>
      <c r="AA28" s="101">
        <v>747000</v>
      </c>
      <c r="AB28" s="55"/>
      <c r="AC28" s="112"/>
      <c r="AD28" s="55"/>
      <c r="AE28" s="57"/>
      <c r="AF28" s="57"/>
      <c r="AG28" s="57"/>
      <c r="AH28" s="57"/>
    </row>
    <row r="29" spans="1:34" s="15" customFormat="1">
      <c r="A29" s="13">
        <f t="shared" si="10"/>
        <v>24</v>
      </c>
      <c r="B29" s="13">
        <v>1996</v>
      </c>
      <c r="C29" s="13" t="s">
        <v>450</v>
      </c>
      <c r="D29" s="14">
        <v>45000</v>
      </c>
      <c r="E29" s="14">
        <v>45000</v>
      </c>
      <c r="F29" s="14">
        <f t="shared" si="9"/>
        <v>0</v>
      </c>
      <c r="G29" s="14">
        <v>45000</v>
      </c>
      <c r="H29" s="14">
        <v>0</v>
      </c>
      <c r="I29" s="14"/>
      <c r="J29" s="14"/>
      <c r="K29" s="14">
        <f t="shared" si="0"/>
        <v>0</v>
      </c>
      <c r="L29" s="14">
        <f t="shared" si="1"/>
        <v>0</v>
      </c>
      <c r="M29" s="14">
        <f t="shared" si="2"/>
        <v>45000</v>
      </c>
      <c r="N29" s="14"/>
      <c r="O29" s="14">
        <f t="shared" si="3"/>
        <v>0</v>
      </c>
      <c r="P29" s="14">
        <f t="shared" si="4"/>
        <v>45000</v>
      </c>
      <c r="Q29" s="14"/>
      <c r="R29" s="14"/>
      <c r="S29" s="14">
        <f t="shared" si="5"/>
        <v>0</v>
      </c>
      <c r="T29" s="14">
        <f t="shared" si="6"/>
        <v>0</v>
      </c>
      <c r="U29" s="14">
        <f t="shared" si="7"/>
        <v>0</v>
      </c>
      <c r="V29" s="14"/>
      <c r="W29" s="14">
        <f t="shared" si="8"/>
        <v>0</v>
      </c>
      <c r="X29" s="14"/>
      <c r="Y29" s="14"/>
      <c r="Z29" s="14"/>
      <c r="AA29" s="101">
        <v>747000</v>
      </c>
      <c r="AB29" s="55"/>
      <c r="AC29" s="112"/>
      <c r="AD29" s="55"/>
      <c r="AE29" s="57"/>
      <c r="AF29" s="57"/>
      <c r="AG29" s="57"/>
      <c r="AH29" s="57"/>
    </row>
    <row r="30" spans="1:34" s="15" customFormat="1">
      <c r="A30" s="13">
        <f t="shared" si="10"/>
        <v>25</v>
      </c>
      <c r="B30" s="13">
        <v>1997</v>
      </c>
      <c r="C30" s="13" t="s">
        <v>451</v>
      </c>
      <c r="D30" s="14">
        <v>40000</v>
      </c>
      <c r="E30" s="14">
        <v>40000</v>
      </c>
      <c r="F30" s="14">
        <f t="shared" si="9"/>
        <v>0</v>
      </c>
      <c r="G30" s="14">
        <v>40000</v>
      </c>
      <c r="H30" s="14">
        <v>0</v>
      </c>
      <c r="I30" s="14"/>
      <c r="J30" s="14"/>
      <c r="K30" s="14">
        <f t="shared" si="0"/>
        <v>0</v>
      </c>
      <c r="L30" s="14">
        <f t="shared" si="1"/>
        <v>0</v>
      </c>
      <c r="M30" s="14">
        <f t="shared" si="2"/>
        <v>40000</v>
      </c>
      <c r="N30" s="14"/>
      <c r="O30" s="14">
        <f t="shared" si="3"/>
        <v>0</v>
      </c>
      <c r="P30" s="14">
        <f t="shared" si="4"/>
        <v>40000</v>
      </c>
      <c r="Q30" s="14"/>
      <c r="R30" s="14"/>
      <c r="S30" s="14">
        <f t="shared" si="5"/>
        <v>0</v>
      </c>
      <c r="T30" s="14">
        <f t="shared" si="6"/>
        <v>0</v>
      </c>
      <c r="U30" s="14">
        <f t="shared" si="7"/>
        <v>0</v>
      </c>
      <c r="V30" s="14"/>
      <c r="W30" s="14">
        <f t="shared" si="8"/>
        <v>0</v>
      </c>
      <c r="X30" s="14"/>
      <c r="Y30" s="14"/>
      <c r="Z30" s="14"/>
      <c r="AA30" s="101">
        <v>747000</v>
      </c>
      <c r="AB30" s="55"/>
      <c r="AC30" s="112"/>
      <c r="AD30" s="55"/>
      <c r="AE30" s="57"/>
      <c r="AF30" s="57"/>
      <c r="AG30" s="57"/>
      <c r="AH30" s="57"/>
    </row>
    <row r="31" spans="1:34" s="15" customFormat="1">
      <c r="A31" s="13">
        <f t="shared" si="10"/>
        <v>26</v>
      </c>
      <c r="B31" s="69">
        <v>2043</v>
      </c>
      <c r="C31" s="214" t="s">
        <v>491</v>
      </c>
      <c r="D31" s="14">
        <v>3600000</v>
      </c>
      <c r="E31" s="14"/>
      <c r="F31" s="14">
        <f t="shared" si="9"/>
        <v>3600000</v>
      </c>
      <c r="G31" s="14">
        <v>0</v>
      </c>
      <c r="H31" s="14">
        <v>0</v>
      </c>
      <c r="I31" s="14">
        <v>0</v>
      </c>
      <c r="J31" s="14"/>
      <c r="K31" s="14">
        <f t="shared" si="0"/>
        <v>0</v>
      </c>
      <c r="L31" s="14">
        <f t="shared" si="1"/>
        <v>0</v>
      </c>
      <c r="M31" s="14">
        <f t="shared" si="2"/>
        <v>0</v>
      </c>
      <c r="N31" s="14">
        <f>1200000+300000</f>
        <v>1500000</v>
      </c>
      <c r="O31" s="14">
        <f t="shared" si="3"/>
        <v>2100000</v>
      </c>
      <c r="P31" s="14">
        <f t="shared" si="4"/>
        <v>0</v>
      </c>
      <c r="Q31" s="14"/>
      <c r="R31" s="14"/>
      <c r="S31" s="14">
        <f t="shared" si="5"/>
        <v>0</v>
      </c>
      <c r="T31" s="14">
        <f t="shared" si="6"/>
        <v>0</v>
      </c>
      <c r="U31" s="14">
        <f t="shared" si="7"/>
        <v>1500000</v>
      </c>
      <c r="V31" s="14"/>
      <c r="W31" s="14">
        <f t="shared" si="8"/>
        <v>1500000</v>
      </c>
      <c r="X31" s="14"/>
      <c r="Y31" s="14"/>
      <c r="Z31" s="14"/>
      <c r="AA31" s="101">
        <v>747000</v>
      </c>
      <c r="AB31" s="55"/>
      <c r="AC31" s="112"/>
      <c r="AD31" s="57"/>
      <c r="AE31" s="55"/>
      <c r="AF31" s="57"/>
      <c r="AG31" s="57"/>
      <c r="AH31" s="57"/>
    </row>
    <row r="32" spans="1:34" s="15" customFormat="1">
      <c r="A32" s="13">
        <f t="shared" si="10"/>
        <v>27</v>
      </c>
      <c r="B32" s="69">
        <v>2044</v>
      </c>
      <c r="C32" s="214" t="s">
        <v>492</v>
      </c>
      <c r="D32" s="215">
        <v>105000</v>
      </c>
      <c r="E32" s="14"/>
      <c r="F32" s="14">
        <f t="shared" si="9"/>
        <v>105000</v>
      </c>
      <c r="G32" s="14">
        <v>0</v>
      </c>
      <c r="H32" s="14">
        <v>0</v>
      </c>
      <c r="I32" s="14">
        <v>0</v>
      </c>
      <c r="J32" s="14"/>
      <c r="K32" s="14">
        <f t="shared" si="0"/>
        <v>0</v>
      </c>
      <c r="L32" s="14">
        <f t="shared" si="1"/>
        <v>0</v>
      </c>
      <c r="M32" s="14">
        <f t="shared" si="2"/>
        <v>0</v>
      </c>
      <c r="N32" s="14">
        <v>105000</v>
      </c>
      <c r="O32" s="14">
        <f t="shared" si="3"/>
        <v>0</v>
      </c>
      <c r="P32" s="14">
        <f t="shared" si="4"/>
        <v>0</v>
      </c>
      <c r="Q32" s="14"/>
      <c r="R32" s="215">
        <f>105000-105000</f>
        <v>0</v>
      </c>
      <c r="S32" s="14">
        <f t="shared" si="5"/>
        <v>0</v>
      </c>
      <c r="T32" s="14">
        <f t="shared" si="6"/>
        <v>0</v>
      </c>
      <c r="U32" s="14">
        <f t="shared" si="7"/>
        <v>105000</v>
      </c>
      <c r="V32" s="14"/>
      <c r="W32" s="14"/>
      <c r="X32" s="14"/>
      <c r="Y32" s="14"/>
      <c r="Z32" s="14">
        <f>U32</f>
        <v>105000</v>
      </c>
      <c r="AA32" s="101">
        <v>747000</v>
      </c>
      <c r="AB32" s="55"/>
      <c r="AC32" s="112"/>
      <c r="AD32" s="57"/>
      <c r="AE32" s="55"/>
      <c r="AF32" s="57"/>
      <c r="AG32" s="57"/>
      <c r="AH32" s="57"/>
    </row>
    <row r="33" spans="1:34" s="15" customFormat="1">
      <c r="A33" s="13">
        <f t="shared" si="10"/>
        <v>28</v>
      </c>
      <c r="B33" s="69">
        <v>2045</v>
      </c>
      <c r="C33" s="214" t="s">
        <v>493</v>
      </c>
      <c r="D33" s="215">
        <f>100000+105000</f>
        <v>205000</v>
      </c>
      <c r="E33" s="14"/>
      <c r="F33" s="14">
        <f t="shared" si="9"/>
        <v>205000</v>
      </c>
      <c r="G33" s="14">
        <v>0</v>
      </c>
      <c r="H33" s="14">
        <v>0</v>
      </c>
      <c r="I33" s="14">
        <v>0</v>
      </c>
      <c r="J33" s="14"/>
      <c r="K33" s="14">
        <f t="shared" si="0"/>
        <v>0</v>
      </c>
      <c r="L33" s="14">
        <f t="shared" si="1"/>
        <v>0</v>
      </c>
      <c r="M33" s="14">
        <f t="shared" si="2"/>
        <v>0</v>
      </c>
      <c r="N33" s="14">
        <v>205000</v>
      </c>
      <c r="O33" s="14">
        <f t="shared" si="3"/>
        <v>0</v>
      </c>
      <c r="P33" s="14">
        <f t="shared" si="4"/>
        <v>0</v>
      </c>
      <c r="Q33" s="14"/>
      <c r="R33" s="215">
        <f>100000+105000-205000</f>
        <v>0</v>
      </c>
      <c r="S33" s="14">
        <f t="shared" ref="S33:S38" si="11">SUM(Q33:R33)</f>
        <v>0</v>
      </c>
      <c r="T33" s="14">
        <f t="shared" si="6"/>
        <v>0</v>
      </c>
      <c r="U33" s="14">
        <f t="shared" si="7"/>
        <v>205000</v>
      </c>
      <c r="V33" s="14"/>
      <c r="W33" s="14"/>
      <c r="X33" s="14"/>
      <c r="Y33" s="14"/>
      <c r="Z33" s="14">
        <f t="shared" ref="Z33:Z38" si="12">U33</f>
        <v>205000</v>
      </c>
      <c r="AA33" s="101">
        <v>747000</v>
      </c>
      <c r="AB33" s="55"/>
      <c r="AC33" s="112"/>
      <c r="AD33" s="57"/>
      <c r="AE33" s="55"/>
      <c r="AF33" s="57"/>
      <c r="AG33" s="57"/>
      <c r="AH33" s="57"/>
    </row>
    <row r="34" spans="1:34" s="15" customFormat="1">
      <c r="A34" s="13">
        <f t="shared" si="10"/>
        <v>29</v>
      </c>
      <c r="B34" s="69">
        <v>2046</v>
      </c>
      <c r="C34" s="214" t="s">
        <v>494</v>
      </c>
      <c r="D34" s="215">
        <v>30000</v>
      </c>
      <c r="E34" s="14"/>
      <c r="F34" s="14">
        <f t="shared" si="9"/>
        <v>30000</v>
      </c>
      <c r="G34" s="14">
        <v>0</v>
      </c>
      <c r="H34" s="14">
        <v>0</v>
      </c>
      <c r="I34" s="14"/>
      <c r="J34" s="14"/>
      <c r="K34" s="14">
        <f t="shared" si="0"/>
        <v>0</v>
      </c>
      <c r="L34" s="14">
        <f t="shared" si="1"/>
        <v>0</v>
      </c>
      <c r="M34" s="14">
        <f t="shared" si="2"/>
        <v>0</v>
      </c>
      <c r="N34" s="14">
        <v>30000</v>
      </c>
      <c r="O34" s="14">
        <f t="shared" si="3"/>
        <v>0</v>
      </c>
      <c r="P34" s="14">
        <f t="shared" si="4"/>
        <v>0</v>
      </c>
      <c r="Q34" s="14"/>
      <c r="R34" s="215">
        <f>30000-30000</f>
        <v>0</v>
      </c>
      <c r="S34" s="14">
        <f t="shared" si="11"/>
        <v>0</v>
      </c>
      <c r="T34" s="14">
        <f t="shared" si="6"/>
        <v>0</v>
      </c>
      <c r="U34" s="14">
        <f t="shared" si="7"/>
        <v>30000</v>
      </c>
      <c r="V34" s="14"/>
      <c r="W34" s="14"/>
      <c r="X34" s="14"/>
      <c r="Y34" s="14"/>
      <c r="Z34" s="14">
        <f t="shared" si="12"/>
        <v>30000</v>
      </c>
      <c r="AA34" s="101">
        <v>747000</v>
      </c>
      <c r="AB34" s="55"/>
      <c r="AC34" s="112"/>
      <c r="AD34" s="57"/>
      <c r="AE34" s="55"/>
      <c r="AF34" s="57"/>
      <c r="AG34" s="57"/>
      <c r="AH34" s="57"/>
    </row>
    <row r="35" spans="1:34" s="15" customFormat="1">
      <c r="A35" s="13">
        <f t="shared" si="10"/>
        <v>30</v>
      </c>
      <c r="B35" s="69">
        <v>2047</v>
      </c>
      <c r="C35" s="214" t="s">
        <v>495</v>
      </c>
      <c r="D35" s="215">
        <v>170000</v>
      </c>
      <c r="E35" s="14"/>
      <c r="F35" s="14">
        <f t="shared" si="9"/>
        <v>170000</v>
      </c>
      <c r="G35" s="14">
        <v>0</v>
      </c>
      <c r="H35" s="14">
        <v>0</v>
      </c>
      <c r="I35" s="14">
        <v>0</v>
      </c>
      <c r="J35" s="14"/>
      <c r="K35" s="14">
        <f t="shared" si="0"/>
        <v>0</v>
      </c>
      <c r="L35" s="14">
        <f t="shared" si="1"/>
        <v>0</v>
      </c>
      <c r="M35" s="14">
        <f t="shared" si="2"/>
        <v>0</v>
      </c>
      <c r="N35" s="14">
        <v>170000</v>
      </c>
      <c r="O35" s="14">
        <f t="shared" si="3"/>
        <v>0</v>
      </c>
      <c r="P35" s="14">
        <f t="shared" si="4"/>
        <v>0</v>
      </c>
      <c r="Q35" s="14"/>
      <c r="R35" s="215">
        <f>170000-170000</f>
        <v>0</v>
      </c>
      <c r="S35" s="14">
        <f t="shared" si="11"/>
        <v>0</v>
      </c>
      <c r="T35" s="14">
        <f t="shared" si="6"/>
        <v>0</v>
      </c>
      <c r="U35" s="14">
        <f t="shared" si="7"/>
        <v>170000</v>
      </c>
      <c r="V35" s="14"/>
      <c r="W35" s="14"/>
      <c r="X35" s="14"/>
      <c r="Y35" s="14"/>
      <c r="Z35" s="14">
        <f t="shared" si="12"/>
        <v>170000</v>
      </c>
      <c r="AA35" s="101">
        <v>747000</v>
      </c>
      <c r="AB35" s="55"/>
      <c r="AC35" s="112"/>
      <c r="AD35" s="57"/>
      <c r="AE35" s="55"/>
      <c r="AF35" s="57"/>
      <c r="AG35" s="57"/>
      <c r="AH35" s="57"/>
    </row>
    <row r="36" spans="1:34" s="15" customFormat="1">
      <c r="A36" s="13">
        <f t="shared" si="10"/>
        <v>31</v>
      </c>
      <c r="B36" s="69">
        <v>2048</v>
      </c>
      <c r="C36" s="214" t="s">
        <v>496</v>
      </c>
      <c r="D36" s="215">
        <v>45000</v>
      </c>
      <c r="E36" s="14"/>
      <c r="F36" s="14">
        <f t="shared" si="9"/>
        <v>45000</v>
      </c>
      <c r="G36" s="14">
        <v>0</v>
      </c>
      <c r="H36" s="14">
        <v>0</v>
      </c>
      <c r="I36" s="14"/>
      <c r="J36" s="14"/>
      <c r="K36" s="14">
        <f t="shared" si="0"/>
        <v>0</v>
      </c>
      <c r="L36" s="14">
        <f t="shared" si="1"/>
        <v>0</v>
      </c>
      <c r="M36" s="14">
        <f t="shared" si="2"/>
        <v>0</v>
      </c>
      <c r="N36" s="14">
        <v>45000</v>
      </c>
      <c r="O36" s="14">
        <f t="shared" si="3"/>
        <v>0</v>
      </c>
      <c r="P36" s="14">
        <f t="shared" si="4"/>
        <v>0</v>
      </c>
      <c r="Q36" s="14"/>
      <c r="R36" s="215">
        <f>45000-45000</f>
        <v>0</v>
      </c>
      <c r="S36" s="14">
        <f t="shared" si="11"/>
        <v>0</v>
      </c>
      <c r="T36" s="14">
        <f t="shared" si="6"/>
        <v>0</v>
      </c>
      <c r="U36" s="14">
        <f t="shared" si="7"/>
        <v>45000</v>
      </c>
      <c r="V36" s="14"/>
      <c r="W36" s="14"/>
      <c r="X36" s="14"/>
      <c r="Y36" s="14"/>
      <c r="Z36" s="14">
        <f t="shared" si="12"/>
        <v>45000</v>
      </c>
      <c r="AA36" s="101">
        <v>747000</v>
      </c>
      <c r="AB36" s="55"/>
      <c r="AC36" s="112"/>
      <c r="AD36" s="57"/>
      <c r="AE36" s="55"/>
      <c r="AF36" s="57"/>
      <c r="AG36" s="57"/>
      <c r="AH36" s="57"/>
    </row>
    <row r="37" spans="1:34" s="15" customFormat="1">
      <c r="A37" s="13">
        <f t="shared" si="10"/>
        <v>32</v>
      </c>
      <c r="B37" s="69">
        <v>2049</v>
      </c>
      <c r="C37" s="214" t="s">
        <v>497</v>
      </c>
      <c r="D37" s="215">
        <v>24500</v>
      </c>
      <c r="E37" s="14"/>
      <c r="F37" s="14">
        <f t="shared" si="9"/>
        <v>24500</v>
      </c>
      <c r="G37" s="14">
        <v>0</v>
      </c>
      <c r="H37" s="14">
        <v>0</v>
      </c>
      <c r="I37" s="14">
        <v>0</v>
      </c>
      <c r="J37" s="14"/>
      <c r="K37" s="14">
        <f t="shared" si="0"/>
        <v>0</v>
      </c>
      <c r="L37" s="14">
        <f t="shared" si="1"/>
        <v>0</v>
      </c>
      <c r="M37" s="14">
        <f t="shared" si="2"/>
        <v>0</v>
      </c>
      <c r="N37" s="14">
        <v>24500</v>
      </c>
      <c r="O37" s="14">
        <f t="shared" si="3"/>
        <v>0</v>
      </c>
      <c r="P37" s="14">
        <f t="shared" si="4"/>
        <v>0</v>
      </c>
      <c r="Q37" s="14"/>
      <c r="R37" s="215">
        <f>24500-24500</f>
        <v>0</v>
      </c>
      <c r="S37" s="14">
        <f t="shared" si="11"/>
        <v>0</v>
      </c>
      <c r="T37" s="14">
        <f t="shared" si="6"/>
        <v>0</v>
      </c>
      <c r="U37" s="14">
        <f t="shared" si="7"/>
        <v>24500</v>
      </c>
      <c r="V37" s="14"/>
      <c r="W37" s="14"/>
      <c r="X37" s="14"/>
      <c r="Y37" s="14"/>
      <c r="Z37" s="14">
        <f t="shared" si="12"/>
        <v>24500</v>
      </c>
      <c r="AA37" s="101">
        <v>747000</v>
      </c>
      <c r="AB37" s="55"/>
      <c r="AC37" s="112"/>
      <c r="AD37" s="57"/>
      <c r="AE37" s="55"/>
      <c r="AF37" s="57"/>
      <c r="AG37" s="57"/>
      <c r="AH37" s="57"/>
    </row>
    <row r="38" spans="1:34" s="15" customFormat="1">
      <c r="A38" s="13">
        <f t="shared" si="10"/>
        <v>33</v>
      </c>
      <c r="B38" s="69">
        <v>2050</v>
      </c>
      <c r="C38" s="214" t="s">
        <v>498</v>
      </c>
      <c r="D38" s="215">
        <v>24500</v>
      </c>
      <c r="E38" s="14"/>
      <c r="F38" s="14">
        <f t="shared" si="9"/>
        <v>24500</v>
      </c>
      <c r="G38" s="14">
        <v>0</v>
      </c>
      <c r="H38" s="14">
        <v>0</v>
      </c>
      <c r="I38" s="14"/>
      <c r="J38" s="14"/>
      <c r="K38" s="14">
        <f t="shared" si="0"/>
        <v>0</v>
      </c>
      <c r="L38" s="14">
        <f t="shared" si="1"/>
        <v>0</v>
      </c>
      <c r="M38" s="14">
        <f t="shared" si="2"/>
        <v>0</v>
      </c>
      <c r="N38" s="14">
        <v>24500</v>
      </c>
      <c r="O38" s="14">
        <f t="shared" si="3"/>
        <v>0</v>
      </c>
      <c r="P38" s="14">
        <f t="shared" si="4"/>
        <v>0</v>
      </c>
      <c r="Q38" s="14"/>
      <c r="R38" s="215">
        <f>24500-24500</f>
        <v>0</v>
      </c>
      <c r="S38" s="14">
        <f t="shared" si="11"/>
        <v>0</v>
      </c>
      <c r="T38" s="14">
        <f t="shared" si="6"/>
        <v>0</v>
      </c>
      <c r="U38" s="14">
        <f t="shared" si="7"/>
        <v>24500</v>
      </c>
      <c r="V38" s="14"/>
      <c r="W38" s="14"/>
      <c r="X38" s="14"/>
      <c r="Y38" s="14"/>
      <c r="Z38" s="14">
        <f t="shared" si="12"/>
        <v>24500</v>
      </c>
      <c r="AA38" s="101">
        <v>747000</v>
      </c>
      <c r="AB38" s="55"/>
      <c r="AC38" s="112"/>
      <c r="AD38" s="57"/>
      <c r="AE38" s="55"/>
      <c r="AF38" s="57"/>
      <c r="AG38" s="57"/>
      <c r="AH38" s="57"/>
    </row>
    <row r="39" spans="1:34" s="99" customFormat="1" ht="15.75">
      <c r="A39" s="85">
        <f>A38</f>
        <v>33</v>
      </c>
      <c r="B39" s="85" t="s">
        <v>82</v>
      </c>
      <c r="C39" s="85" t="s">
        <v>969</v>
      </c>
      <c r="D39" s="27">
        <f t="shared" ref="D39:Z39" si="13">SUM(D6:D38)</f>
        <v>13213000</v>
      </c>
      <c r="E39" s="27">
        <f t="shared" si="13"/>
        <v>9209000</v>
      </c>
      <c r="F39" s="27">
        <f t="shared" si="13"/>
        <v>4004000</v>
      </c>
      <c r="G39" s="27">
        <f t="shared" si="13"/>
        <v>7179000</v>
      </c>
      <c r="H39" s="27">
        <f t="shared" si="13"/>
        <v>6083098.8599999994</v>
      </c>
      <c r="I39" s="27">
        <f t="shared" si="13"/>
        <v>0</v>
      </c>
      <c r="J39" s="27">
        <f t="shared" si="13"/>
        <v>413078.86</v>
      </c>
      <c r="K39" s="27">
        <f t="shared" si="13"/>
        <v>413078.86</v>
      </c>
      <c r="L39" s="27">
        <f t="shared" si="13"/>
        <v>6496177.7199999997</v>
      </c>
      <c r="M39" s="27">
        <f t="shared" si="13"/>
        <v>682822.2799999998</v>
      </c>
      <c r="N39" s="27">
        <f t="shared" si="13"/>
        <v>2734000</v>
      </c>
      <c r="O39" s="27">
        <f t="shared" si="13"/>
        <v>3300000</v>
      </c>
      <c r="P39" s="27">
        <f t="shared" si="13"/>
        <v>682822.2799999998</v>
      </c>
      <c r="Q39" s="27">
        <f t="shared" si="13"/>
        <v>0</v>
      </c>
      <c r="R39" s="27">
        <f t="shared" si="13"/>
        <v>0</v>
      </c>
      <c r="S39" s="27">
        <f t="shared" si="13"/>
        <v>0</v>
      </c>
      <c r="T39" s="27">
        <f t="shared" si="13"/>
        <v>0</v>
      </c>
      <c r="U39" s="27">
        <f t="shared" si="13"/>
        <v>2734000</v>
      </c>
      <c r="V39" s="27">
        <f t="shared" si="13"/>
        <v>0</v>
      </c>
      <c r="W39" s="27">
        <f t="shared" si="13"/>
        <v>2130000</v>
      </c>
      <c r="X39" s="27">
        <f t="shared" si="13"/>
        <v>0</v>
      </c>
      <c r="Y39" s="27">
        <f t="shared" si="13"/>
        <v>0</v>
      </c>
      <c r="Z39" s="27">
        <f t="shared" si="13"/>
        <v>604000</v>
      </c>
      <c r="AA39" s="126"/>
      <c r="AB39" s="55">
        <f>SUM(AB6:AB30)</f>
        <v>0</v>
      </c>
      <c r="AC39" s="113"/>
      <c r="AD39" s="106"/>
      <c r="AE39" s="106"/>
      <c r="AF39" s="106"/>
      <c r="AG39" s="106"/>
      <c r="AH39" s="106"/>
    </row>
    <row r="40" spans="1:34" s="15" customFormat="1" ht="15.75">
      <c r="A40" s="13"/>
      <c r="B40" s="13"/>
      <c r="C40" s="85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01"/>
      <c r="AB40" s="55"/>
      <c r="AC40" s="112"/>
      <c r="AD40" s="57"/>
      <c r="AE40" s="57"/>
      <c r="AF40" s="57"/>
      <c r="AG40" s="57"/>
      <c r="AH40" s="57"/>
    </row>
    <row r="41" spans="1:34">
      <c r="U41" s="42"/>
      <c r="V41" s="105"/>
      <c r="W41" s="105"/>
      <c r="X41" s="105"/>
      <c r="Y41" s="105"/>
      <c r="Z41" s="757"/>
    </row>
    <row r="42" spans="1:34">
      <c r="U42" s="42"/>
      <c r="V42" s="105"/>
      <c r="W42" s="105"/>
      <c r="X42" s="105"/>
      <c r="Y42" s="105"/>
      <c r="Z42" s="757"/>
    </row>
    <row r="43" spans="1:34">
      <c r="A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</row>
    <row r="44" spans="1:34">
      <c r="A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U44" s="42"/>
      <c r="W44" s="105"/>
      <c r="Z44" s="757"/>
    </row>
    <row r="45" spans="1:34">
      <c r="A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U45" s="42"/>
      <c r="W45" s="105"/>
      <c r="Z45" s="757"/>
    </row>
    <row r="46" spans="1:34">
      <c r="A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O46" s="29"/>
      <c r="U46" s="42"/>
      <c r="W46" s="105"/>
      <c r="Z46" s="757"/>
    </row>
    <row r="47" spans="1:34">
      <c r="A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U47" s="42"/>
      <c r="W47" s="105"/>
      <c r="Z47" s="757"/>
    </row>
    <row r="48" spans="1:34">
      <c r="A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U48" s="42"/>
      <c r="W48" s="105"/>
      <c r="Z48" s="757"/>
    </row>
    <row r="49" spans="1:26">
      <c r="A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U49" s="42"/>
      <c r="W49" s="105"/>
      <c r="Z49" s="757"/>
    </row>
    <row r="50" spans="1:26">
      <c r="A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U50" s="42"/>
      <c r="W50" s="105"/>
      <c r="Z50" s="757"/>
    </row>
    <row r="51" spans="1:26">
      <c r="A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U51" s="42"/>
      <c r="W51" s="105"/>
      <c r="Z51" s="757"/>
    </row>
    <row r="52" spans="1:26">
      <c r="A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U52" s="42"/>
      <c r="W52" s="105"/>
      <c r="Z52" s="757"/>
    </row>
    <row r="53" spans="1:26">
      <c r="A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R53" s="29"/>
      <c r="S53" s="29"/>
    </row>
    <row r="54" spans="1:26">
      <c r="A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26">
      <c r="A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8" spans="1:26">
      <c r="A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O58" s="31" t="s">
        <v>188</v>
      </c>
      <c r="R58" s="31" t="s">
        <v>188</v>
      </c>
      <c r="S58" s="31" t="s">
        <v>365</v>
      </c>
    </row>
    <row r="59" spans="1:26">
      <c r="A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O59" s="31" t="s">
        <v>364</v>
      </c>
      <c r="Q59" s="31">
        <v>25000</v>
      </c>
      <c r="R59" s="31">
        <v>160000</v>
      </c>
    </row>
    <row r="60" spans="1:26">
      <c r="A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R60" s="31" t="e">
        <f>#REF!</f>
        <v>#REF!</v>
      </c>
      <c r="S60" s="31" t="s">
        <v>373</v>
      </c>
    </row>
    <row r="61" spans="1:26">
      <c r="A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31" t="e">
        <f>SUM(R59:R60)</f>
        <v>#REF!</v>
      </c>
      <c r="S61" s="29"/>
      <c r="T61" s="29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1"/>
  <sheetViews>
    <sheetView showZeros="0" rightToLeft="1" zoomScaleNormal="100" workbookViewId="0">
      <pane xSplit="3" ySplit="4" topLeftCell="D28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hidden="1" customWidth="1"/>
    <col min="6" max="6" width="10.5703125" style="31" hidden="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1.140625" style="31" customWidth="1"/>
    <col min="13" max="13" width="10.5703125" style="31" customWidth="1"/>
    <col min="14" max="14" width="10.42578125" style="31" customWidth="1"/>
    <col min="15" max="15" width="9.28515625" style="31" customWidth="1"/>
    <col min="16" max="17" width="11.140625" style="31" hidden="1" customWidth="1"/>
    <col min="18" max="19" width="12" style="31" hidden="1" customWidth="1"/>
    <col min="20" max="20" width="11.140625" style="31" hidden="1" customWidth="1"/>
    <col min="21" max="21" width="10" style="29" customWidth="1"/>
    <col min="22" max="22" width="10.28515625" style="29" customWidth="1"/>
    <col min="23" max="23" width="9.5703125" style="29" customWidth="1"/>
    <col min="24" max="25" width="5.28515625" style="29" customWidth="1"/>
    <col min="26" max="26" width="10" style="758" customWidth="1"/>
    <col min="27" max="27" width="7.85546875" style="29" customWidth="1"/>
    <col min="28" max="28" width="2.7109375" style="31" customWidth="1"/>
    <col min="29" max="29" width="7.5703125" style="82" bestFit="1" customWidth="1"/>
    <col min="30" max="31" width="9.140625" style="37" customWidth="1"/>
    <col min="32" max="32" width="1.5703125" style="37" customWidth="1"/>
    <col min="33" max="34" width="9.140625" style="37" customWidth="1"/>
    <col min="35" max="16384" width="9.140625" style="29"/>
  </cols>
  <sheetData>
    <row r="2" spans="1:34" ht="18.75">
      <c r="A2" s="194" t="s">
        <v>489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B2" s="194"/>
      <c r="AC2" s="29"/>
      <c r="AD2" s="29"/>
      <c r="AE2" s="29"/>
      <c r="AF2" s="29"/>
      <c r="AG2" s="29"/>
      <c r="AH2" s="29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0" t="s">
        <v>184</v>
      </c>
      <c r="AA4" s="93" t="s">
        <v>16</v>
      </c>
      <c r="AB4" s="213"/>
      <c r="AC4" s="111"/>
    </row>
    <row r="5" spans="1:34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22"/>
      <c r="AC5" s="112"/>
      <c r="AD5" s="57"/>
      <c r="AE5" s="57"/>
      <c r="AF5" s="57"/>
      <c r="AG5" s="57"/>
      <c r="AH5" s="57"/>
    </row>
    <row r="6" spans="1:34" s="15" customFormat="1">
      <c r="A6" s="13">
        <f>A5+1</f>
        <v>1</v>
      </c>
      <c r="B6" s="13">
        <v>1630</v>
      </c>
      <c r="C6" s="13" t="s">
        <v>115</v>
      </c>
      <c r="D6" s="14">
        <f>'רשות החופים'!D6</f>
        <v>960000</v>
      </c>
      <c r="E6" s="14">
        <f>'רשות החופים'!E6</f>
        <v>960000</v>
      </c>
      <c r="F6" s="14">
        <f>'רשות החופים'!F6</f>
        <v>0</v>
      </c>
      <c r="G6" s="14">
        <f>'רשות החופים'!G6</f>
        <v>530000</v>
      </c>
      <c r="H6" s="14">
        <f>'רשות החופים'!H6</f>
        <v>365765</v>
      </c>
      <c r="I6" s="14">
        <f>'רשות החופים'!I6</f>
        <v>0</v>
      </c>
      <c r="J6" s="14">
        <f>'רשות החופים'!J6</f>
        <v>1170</v>
      </c>
      <c r="K6" s="14">
        <f>'רשות החופים'!K6</f>
        <v>1170</v>
      </c>
      <c r="L6" s="14">
        <f>'רשות החופים'!L6</f>
        <v>366935</v>
      </c>
      <c r="M6" s="14">
        <f>'רשות החופים'!M6</f>
        <v>163065</v>
      </c>
      <c r="N6" s="14">
        <f>'רשות החופים'!N6</f>
        <v>430000</v>
      </c>
      <c r="O6" s="14">
        <f>'רשות החופים'!O6</f>
        <v>0</v>
      </c>
      <c r="P6" s="14">
        <f>'רשות החופים'!P6</f>
        <v>163065</v>
      </c>
      <c r="Q6" s="14">
        <f>'רשות החופים'!Q6</f>
        <v>0</v>
      </c>
      <c r="R6" s="14">
        <f>'רשות החופים'!R6</f>
        <v>0</v>
      </c>
      <c r="S6" s="14">
        <f>'רשות החופים'!S6</f>
        <v>0</v>
      </c>
      <c r="T6" s="14">
        <f>'רשות החופים'!T6</f>
        <v>0</v>
      </c>
      <c r="U6" s="14">
        <f>'רשות החופים'!U6</f>
        <v>430000</v>
      </c>
      <c r="V6" s="14">
        <f>'רשות החופים'!V6</f>
        <v>0</v>
      </c>
      <c r="W6" s="14">
        <f>'רשות החופים'!W6</f>
        <v>430000</v>
      </c>
      <c r="X6" s="14">
        <f>'רשות החופים'!X6</f>
        <v>0</v>
      </c>
      <c r="Y6" s="14">
        <f>'רשות החופים'!Y6</f>
        <v>0</v>
      </c>
      <c r="Z6" s="14">
        <f>'רשות החופים'!Z6</f>
        <v>0</v>
      </c>
      <c r="AA6" s="101">
        <f>'רשות החופים'!AA6</f>
        <v>747000</v>
      </c>
      <c r="AB6" s="22"/>
      <c r="AC6" s="112"/>
      <c r="AD6" s="55"/>
      <c r="AE6" s="57"/>
      <c r="AF6" s="57"/>
      <c r="AG6" s="57"/>
      <c r="AH6" s="57"/>
    </row>
    <row r="7" spans="1:34" s="15" customFormat="1">
      <c r="A7" s="13">
        <f>A6+1</f>
        <v>2</v>
      </c>
      <c r="B7" s="13">
        <v>1634</v>
      </c>
      <c r="C7" s="13" t="s">
        <v>116</v>
      </c>
      <c r="D7" s="14">
        <f>'רשות החופים'!D7</f>
        <v>50000</v>
      </c>
      <c r="E7" s="14">
        <f>'רשות החופים'!E7</f>
        <v>50000</v>
      </c>
      <c r="F7" s="14">
        <f>'רשות החופים'!F7</f>
        <v>0</v>
      </c>
      <c r="G7" s="14">
        <f>'רשות החופים'!G7</f>
        <v>50000</v>
      </c>
      <c r="H7" s="14">
        <f>'רשות החופים'!H7</f>
        <v>36036</v>
      </c>
      <c r="I7" s="14">
        <f>'רשות החופים'!I7</f>
        <v>0</v>
      </c>
      <c r="J7" s="14">
        <f>'רשות החופים'!J7</f>
        <v>13964</v>
      </c>
      <c r="K7" s="14">
        <f>'רשות החופים'!K7</f>
        <v>13964</v>
      </c>
      <c r="L7" s="14">
        <f>'רשות החופים'!L7</f>
        <v>50000</v>
      </c>
      <c r="M7" s="14">
        <f>'רשות החופים'!M7</f>
        <v>0</v>
      </c>
      <c r="N7" s="14">
        <f>'רשות החופים'!N7</f>
        <v>0</v>
      </c>
      <c r="O7" s="14">
        <f>'רשות החופים'!O7</f>
        <v>0</v>
      </c>
      <c r="P7" s="14">
        <f>'רשות החופים'!P7</f>
        <v>0</v>
      </c>
      <c r="Q7" s="14">
        <f>'רשות החופים'!Q7</f>
        <v>0</v>
      </c>
      <c r="R7" s="14">
        <f>'רשות החופים'!R7</f>
        <v>0</v>
      </c>
      <c r="S7" s="14">
        <f>'רשות החופים'!S7</f>
        <v>0</v>
      </c>
      <c r="T7" s="14">
        <f>'רשות החופים'!T7</f>
        <v>0</v>
      </c>
      <c r="U7" s="14">
        <f>'רשות החופים'!U7</f>
        <v>0</v>
      </c>
      <c r="V7" s="14">
        <f>'רשות החופים'!V7</f>
        <v>0</v>
      </c>
      <c r="W7" s="14">
        <f>'רשות החופים'!W7</f>
        <v>0</v>
      </c>
      <c r="X7" s="14">
        <f>'רשות החופים'!X7</f>
        <v>0</v>
      </c>
      <c r="Y7" s="14">
        <f>'רשות החופים'!Y7</f>
        <v>0</v>
      </c>
      <c r="Z7" s="14">
        <f>'רשות החופים'!Z7</f>
        <v>0</v>
      </c>
      <c r="AA7" s="101">
        <f>'רשות החופים'!AA7</f>
        <v>747000</v>
      </c>
      <c r="AB7" s="22"/>
      <c r="AC7" s="112">
        <v>0</v>
      </c>
      <c r="AD7" s="55"/>
      <c r="AE7" s="57"/>
      <c r="AF7" s="57"/>
      <c r="AG7" s="57"/>
      <c r="AH7" s="57"/>
    </row>
    <row r="8" spans="1:34" s="15" customFormat="1">
      <c r="A8" s="13">
        <f>A7+1</f>
        <v>3</v>
      </c>
      <c r="B8" s="13">
        <v>1683</v>
      </c>
      <c r="C8" s="13" t="s">
        <v>117</v>
      </c>
      <c r="D8" s="14">
        <f>'רשות החופים'!D8</f>
        <v>2300000</v>
      </c>
      <c r="E8" s="14">
        <f>'רשות החופים'!E8</f>
        <v>2300000</v>
      </c>
      <c r="F8" s="14">
        <f>'רשות החופים'!F8</f>
        <v>0</v>
      </c>
      <c r="G8" s="14">
        <f>'רשות החופים'!G8</f>
        <v>2300000</v>
      </c>
      <c r="H8" s="14">
        <f>'רשות החופים'!H8</f>
        <v>2297137.69</v>
      </c>
      <c r="I8" s="14">
        <f>'רשות החופים'!I8</f>
        <v>0</v>
      </c>
      <c r="J8" s="14">
        <f>'רשות החופים'!J8</f>
        <v>2119.5</v>
      </c>
      <c r="K8" s="14">
        <f>'רשות החופים'!K8</f>
        <v>2119.5</v>
      </c>
      <c r="L8" s="14">
        <f>'רשות החופים'!L8</f>
        <v>2299257.19</v>
      </c>
      <c r="M8" s="14">
        <f>'רשות החופים'!M8</f>
        <v>742.81000000005588</v>
      </c>
      <c r="N8" s="14">
        <f>'רשות החופים'!N8</f>
        <v>0</v>
      </c>
      <c r="O8" s="14">
        <f>'רשות החופים'!O8</f>
        <v>0</v>
      </c>
      <c r="P8" s="14">
        <f>'רשות החופים'!P8</f>
        <v>742.81000000005588</v>
      </c>
      <c r="Q8" s="14">
        <f>'רשות החופים'!Q8</f>
        <v>0</v>
      </c>
      <c r="R8" s="14">
        <f>'רשות החופים'!R8</f>
        <v>0</v>
      </c>
      <c r="S8" s="14">
        <f>'רשות החופים'!S8</f>
        <v>0</v>
      </c>
      <c r="T8" s="14">
        <f>'רשות החופים'!T8</f>
        <v>0</v>
      </c>
      <c r="U8" s="14">
        <f>'רשות החופים'!U8</f>
        <v>0</v>
      </c>
      <c r="V8" s="14">
        <f>'רשות החופים'!V8</f>
        <v>0</v>
      </c>
      <c r="W8" s="14">
        <f>'רשות החופים'!W8</f>
        <v>0</v>
      </c>
      <c r="X8" s="14">
        <f>'רשות החופים'!X8</f>
        <v>0</v>
      </c>
      <c r="Y8" s="14">
        <f>'רשות החופים'!Y8</f>
        <v>0</v>
      </c>
      <c r="Z8" s="14">
        <f>'רשות החופים'!Z8</f>
        <v>0</v>
      </c>
      <c r="AA8" s="101">
        <f>'רשות החופים'!AA8</f>
        <v>747000</v>
      </c>
      <c r="AB8" s="22"/>
      <c r="AC8" s="112"/>
      <c r="AD8" s="55"/>
      <c r="AE8" s="57"/>
      <c r="AF8" s="57"/>
      <c r="AG8" s="57"/>
      <c r="AH8" s="57"/>
    </row>
    <row r="9" spans="1:34" s="15" customFormat="1">
      <c r="A9" s="13">
        <f t="shared" ref="A9:A38" si="0">A8+1</f>
        <v>4</v>
      </c>
      <c r="B9" s="13">
        <v>1684</v>
      </c>
      <c r="C9" s="13" t="s">
        <v>118</v>
      </c>
      <c r="D9" s="14">
        <f>'רשות החופים'!D9</f>
        <v>200000</v>
      </c>
      <c r="E9" s="14">
        <f>'רשות החופים'!E9</f>
        <v>400000</v>
      </c>
      <c r="F9" s="14">
        <f>'רשות החופים'!F9</f>
        <v>-200000</v>
      </c>
      <c r="G9" s="14">
        <f>'רשות החופים'!G9</f>
        <v>200000</v>
      </c>
      <c r="H9" s="14">
        <f>'רשות החופים'!H9</f>
        <v>167693.70000000001</v>
      </c>
      <c r="I9" s="14">
        <f>'רשות החופים'!I9</f>
        <v>0</v>
      </c>
      <c r="J9" s="14">
        <f>'רשות החופים'!J9</f>
        <v>32306.3</v>
      </c>
      <c r="K9" s="14">
        <f>'רשות החופים'!K9</f>
        <v>32306.3</v>
      </c>
      <c r="L9" s="14">
        <f>'רשות החופים'!L9</f>
        <v>200000</v>
      </c>
      <c r="M9" s="14">
        <f>'רשות החופים'!M9</f>
        <v>0</v>
      </c>
      <c r="N9" s="14">
        <f>'רשות החופים'!N9</f>
        <v>0</v>
      </c>
      <c r="O9" s="14">
        <f>'רשות החופים'!O9</f>
        <v>0</v>
      </c>
      <c r="P9" s="14">
        <f>'רשות החופים'!P9</f>
        <v>0</v>
      </c>
      <c r="Q9" s="14">
        <f>'רשות החופים'!Q9</f>
        <v>0</v>
      </c>
      <c r="R9" s="14">
        <f>'רשות החופים'!R9</f>
        <v>0</v>
      </c>
      <c r="S9" s="14">
        <f>'רשות החופים'!S9</f>
        <v>0</v>
      </c>
      <c r="T9" s="14">
        <f>'רשות החופים'!T9</f>
        <v>0</v>
      </c>
      <c r="U9" s="14">
        <f>'רשות החופים'!U9</f>
        <v>0</v>
      </c>
      <c r="V9" s="14">
        <f>'רשות החופים'!V9</f>
        <v>0</v>
      </c>
      <c r="W9" s="14">
        <f>'רשות החופים'!W9</f>
        <v>0</v>
      </c>
      <c r="X9" s="14">
        <f>'רשות החופים'!X9</f>
        <v>0</v>
      </c>
      <c r="Y9" s="14">
        <f>'רשות החופים'!Y9</f>
        <v>0</v>
      </c>
      <c r="Z9" s="14">
        <f>'רשות החופים'!Z9</f>
        <v>0</v>
      </c>
      <c r="AA9" s="101">
        <f>'רשות החופים'!AA9</f>
        <v>747000</v>
      </c>
      <c r="AB9" s="22"/>
      <c r="AC9" s="112"/>
      <c r="AD9" s="55"/>
      <c r="AE9" s="57"/>
      <c r="AF9" s="57"/>
      <c r="AG9" s="57"/>
      <c r="AH9" s="57"/>
    </row>
    <row r="10" spans="1:34" s="15" customFormat="1">
      <c r="A10" s="13">
        <f t="shared" si="0"/>
        <v>5</v>
      </c>
      <c r="B10" s="13">
        <v>1700</v>
      </c>
      <c r="C10" s="13" t="s">
        <v>412</v>
      </c>
      <c r="D10" s="14">
        <f>'רשות החופים'!D10</f>
        <v>72000</v>
      </c>
      <c r="E10" s="14">
        <f>'רשות החופים'!E10</f>
        <v>72000</v>
      </c>
      <c r="F10" s="14">
        <f>'רשות החופים'!F10</f>
        <v>0</v>
      </c>
      <c r="G10" s="14">
        <f>'רשות החופים'!G10</f>
        <v>72000</v>
      </c>
      <c r="H10" s="14">
        <f>'רשות החופים'!H10</f>
        <v>56971</v>
      </c>
      <c r="I10" s="14">
        <f>'רשות החופים'!I10</f>
        <v>0</v>
      </c>
      <c r="J10" s="14">
        <f>'רשות החופים'!J10</f>
        <v>0</v>
      </c>
      <c r="K10" s="14">
        <f>'רשות החופים'!K10</f>
        <v>0</v>
      </c>
      <c r="L10" s="14">
        <f>'רשות החופים'!L10</f>
        <v>56971</v>
      </c>
      <c r="M10" s="14">
        <f>'רשות החופים'!M10</f>
        <v>15029</v>
      </c>
      <c r="N10" s="14">
        <f>'רשות החופים'!N10</f>
        <v>0</v>
      </c>
      <c r="O10" s="14">
        <f>'רשות החופים'!O10</f>
        <v>0</v>
      </c>
      <c r="P10" s="14">
        <f>'רשות החופים'!P10</f>
        <v>15029</v>
      </c>
      <c r="Q10" s="14">
        <f>'רשות החופים'!Q10</f>
        <v>0</v>
      </c>
      <c r="R10" s="14">
        <f>'רשות החופים'!R10</f>
        <v>0</v>
      </c>
      <c r="S10" s="14">
        <f>'רשות החופים'!S10</f>
        <v>0</v>
      </c>
      <c r="T10" s="14">
        <f>'רשות החופים'!T10</f>
        <v>0</v>
      </c>
      <c r="U10" s="14">
        <f>'רשות החופים'!U10</f>
        <v>0</v>
      </c>
      <c r="V10" s="14">
        <f>'רשות החופים'!V10</f>
        <v>0</v>
      </c>
      <c r="W10" s="14">
        <f>'רשות החופים'!W10</f>
        <v>0</v>
      </c>
      <c r="X10" s="14">
        <f>'רשות החופים'!X10</f>
        <v>0</v>
      </c>
      <c r="Y10" s="14">
        <f>'רשות החופים'!Y10</f>
        <v>0</v>
      </c>
      <c r="Z10" s="14">
        <f>'רשות החופים'!Z10</f>
        <v>0</v>
      </c>
      <c r="AA10" s="101">
        <f>'רשות החופים'!AA10</f>
        <v>747000</v>
      </c>
      <c r="AB10" s="22"/>
      <c r="AC10" s="112"/>
      <c r="AD10" s="55"/>
      <c r="AE10" s="57"/>
      <c r="AF10" s="57"/>
      <c r="AG10" s="57"/>
      <c r="AH10" s="57"/>
    </row>
    <row r="11" spans="1:34" s="15" customFormat="1">
      <c r="A11" s="13">
        <f t="shared" si="0"/>
        <v>6</v>
      </c>
      <c r="B11" s="13">
        <v>1780</v>
      </c>
      <c r="C11" s="13" t="s">
        <v>119</v>
      </c>
      <c r="D11" s="14">
        <f>'רשות החופים'!D11</f>
        <v>70000</v>
      </c>
      <c r="E11" s="14">
        <f>'רשות החופים'!E11</f>
        <v>70000</v>
      </c>
      <c r="F11" s="14">
        <f>'רשות החופים'!F11</f>
        <v>0</v>
      </c>
      <c r="G11" s="14">
        <f>'רשות החופים'!G11</f>
        <v>70000</v>
      </c>
      <c r="H11" s="14">
        <f>'רשות החופים'!H11</f>
        <v>70000</v>
      </c>
      <c r="I11" s="14">
        <f>'רשות החופים'!I11</f>
        <v>0</v>
      </c>
      <c r="J11" s="14">
        <f>'רשות החופים'!J11</f>
        <v>0</v>
      </c>
      <c r="K11" s="14">
        <f>'רשות החופים'!K11</f>
        <v>0</v>
      </c>
      <c r="L11" s="14">
        <f>'רשות החופים'!L11</f>
        <v>70000</v>
      </c>
      <c r="M11" s="14">
        <f>'רשות החופים'!M11</f>
        <v>0</v>
      </c>
      <c r="N11" s="14">
        <f>'רשות החופים'!N11</f>
        <v>0</v>
      </c>
      <c r="O11" s="14">
        <f>'רשות החופים'!O11</f>
        <v>0</v>
      </c>
      <c r="P11" s="14">
        <f>'רשות החופים'!P11</f>
        <v>0</v>
      </c>
      <c r="Q11" s="14">
        <f>'רשות החופים'!Q11</f>
        <v>0</v>
      </c>
      <c r="R11" s="14">
        <f>'רשות החופים'!R11</f>
        <v>0</v>
      </c>
      <c r="S11" s="14">
        <f>'רשות החופים'!S11</f>
        <v>0</v>
      </c>
      <c r="T11" s="14">
        <f>'רשות החופים'!T11</f>
        <v>0</v>
      </c>
      <c r="U11" s="14">
        <f>'רשות החופים'!U11</f>
        <v>0</v>
      </c>
      <c r="V11" s="14">
        <f>'רשות החופים'!V11</f>
        <v>0</v>
      </c>
      <c r="W11" s="14">
        <f>'רשות החופים'!W11</f>
        <v>0</v>
      </c>
      <c r="X11" s="14">
        <f>'רשות החופים'!X11</f>
        <v>0</v>
      </c>
      <c r="Y11" s="14">
        <f>'רשות החופים'!Y11</f>
        <v>0</v>
      </c>
      <c r="Z11" s="14">
        <f>'רשות החופים'!Z11</f>
        <v>0</v>
      </c>
      <c r="AA11" s="101">
        <f>'רשות החופים'!AA11</f>
        <v>747000</v>
      </c>
      <c r="AB11" s="22"/>
      <c r="AC11" s="112">
        <v>0</v>
      </c>
      <c r="AD11" s="55"/>
      <c r="AE11" s="57"/>
      <c r="AF11" s="57"/>
      <c r="AG11" s="57"/>
      <c r="AH11" s="57"/>
    </row>
    <row r="12" spans="1:34" s="15" customFormat="1">
      <c r="A12" s="13">
        <f t="shared" si="0"/>
        <v>7</v>
      </c>
      <c r="B12" s="13">
        <v>1781</v>
      </c>
      <c r="C12" s="13" t="s">
        <v>319</v>
      </c>
      <c r="D12" s="14">
        <f>'רשות החופים'!D12</f>
        <v>160000</v>
      </c>
      <c r="E12" s="14">
        <f>'רשות החופים'!E12</f>
        <v>160000</v>
      </c>
      <c r="F12" s="14">
        <f>'רשות החופים'!F12</f>
        <v>0</v>
      </c>
      <c r="G12" s="14">
        <f>'רשות החופים'!G12</f>
        <v>160000</v>
      </c>
      <c r="H12" s="14">
        <f>'רשות החופים'!H12</f>
        <v>160000</v>
      </c>
      <c r="I12" s="14">
        <f>'רשות החופים'!I12</f>
        <v>0</v>
      </c>
      <c r="J12" s="14">
        <f>'רשות החופים'!J12</f>
        <v>0</v>
      </c>
      <c r="K12" s="14">
        <f>'רשות החופים'!K12</f>
        <v>0</v>
      </c>
      <c r="L12" s="14">
        <f>'רשות החופים'!L12</f>
        <v>160000</v>
      </c>
      <c r="M12" s="14">
        <f>'רשות החופים'!M12</f>
        <v>0</v>
      </c>
      <c r="N12" s="14">
        <f>'רשות החופים'!N12</f>
        <v>0</v>
      </c>
      <c r="O12" s="14">
        <f>'רשות החופים'!O12</f>
        <v>0</v>
      </c>
      <c r="P12" s="14">
        <f>'רשות החופים'!P12</f>
        <v>0</v>
      </c>
      <c r="Q12" s="14">
        <f>'רשות החופים'!Q12</f>
        <v>0</v>
      </c>
      <c r="R12" s="14">
        <f>'רשות החופים'!R12</f>
        <v>0</v>
      </c>
      <c r="S12" s="14">
        <f>'רשות החופים'!S12</f>
        <v>0</v>
      </c>
      <c r="T12" s="14">
        <f>'רשות החופים'!T12</f>
        <v>0</v>
      </c>
      <c r="U12" s="14">
        <f>'רשות החופים'!U12</f>
        <v>0</v>
      </c>
      <c r="V12" s="14">
        <f>'רשות החופים'!V12</f>
        <v>0</v>
      </c>
      <c r="W12" s="14">
        <f>'רשות החופים'!W12</f>
        <v>0</v>
      </c>
      <c r="X12" s="14">
        <f>'רשות החופים'!X12</f>
        <v>0</v>
      </c>
      <c r="Y12" s="14">
        <f>'רשות החופים'!Y12</f>
        <v>0</v>
      </c>
      <c r="Z12" s="14">
        <f>'רשות החופים'!Z12</f>
        <v>0</v>
      </c>
      <c r="AA12" s="101">
        <f>'רשות החופים'!AA12</f>
        <v>747000</v>
      </c>
      <c r="AB12" s="22"/>
      <c r="AC12" s="112">
        <v>0</v>
      </c>
      <c r="AD12" s="55"/>
      <c r="AE12" s="57"/>
      <c r="AF12" s="57"/>
      <c r="AG12" s="57"/>
      <c r="AH12" s="57"/>
    </row>
    <row r="13" spans="1:34" s="15" customFormat="1">
      <c r="A13" s="13">
        <f t="shared" si="0"/>
        <v>8</v>
      </c>
      <c r="B13" s="13">
        <v>1782</v>
      </c>
      <c r="C13" s="13" t="s">
        <v>120</v>
      </c>
      <c r="D13" s="14">
        <f>'רשות החופים'!D13</f>
        <v>85000</v>
      </c>
      <c r="E13" s="14">
        <f>'רשות החופים'!E13</f>
        <v>85000</v>
      </c>
      <c r="F13" s="14">
        <f>'רשות החופים'!F13</f>
        <v>0</v>
      </c>
      <c r="G13" s="14">
        <f>'רשות החופים'!G13</f>
        <v>85000</v>
      </c>
      <c r="H13" s="14">
        <f>'רשות החופים'!H13</f>
        <v>75700</v>
      </c>
      <c r="I13" s="14">
        <f>'רשות החופים'!I13</f>
        <v>0</v>
      </c>
      <c r="J13" s="14">
        <f>'רשות החופים'!J13</f>
        <v>0</v>
      </c>
      <c r="K13" s="14">
        <f>'רשות החופים'!K13</f>
        <v>0</v>
      </c>
      <c r="L13" s="14">
        <f>'רשות החופים'!L13</f>
        <v>75700</v>
      </c>
      <c r="M13" s="14">
        <f>'רשות החופים'!M13</f>
        <v>9300</v>
      </c>
      <c r="N13" s="14">
        <f>'רשות החופים'!N13</f>
        <v>0</v>
      </c>
      <c r="O13" s="14">
        <f>'רשות החופים'!O13</f>
        <v>0</v>
      </c>
      <c r="P13" s="14">
        <f>'רשות החופים'!P13</f>
        <v>9300</v>
      </c>
      <c r="Q13" s="14">
        <f>'רשות החופים'!Q13</f>
        <v>0</v>
      </c>
      <c r="R13" s="14">
        <f>'רשות החופים'!R13</f>
        <v>0</v>
      </c>
      <c r="S13" s="14">
        <f>'רשות החופים'!S13</f>
        <v>0</v>
      </c>
      <c r="T13" s="14">
        <f>'רשות החופים'!T13</f>
        <v>0</v>
      </c>
      <c r="U13" s="14">
        <f>'רשות החופים'!U13</f>
        <v>0</v>
      </c>
      <c r="V13" s="14">
        <f>'רשות החופים'!V13</f>
        <v>0</v>
      </c>
      <c r="W13" s="14">
        <f>'רשות החופים'!W13</f>
        <v>0</v>
      </c>
      <c r="X13" s="14">
        <f>'רשות החופים'!X13</f>
        <v>0</v>
      </c>
      <c r="Y13" s="14">
        <f>'רשות החופים'!Y13</f>
        <v>0</v>
      </c>
      <c r="Z13" s="14">
        <f>'רשות החופים'!Z13</f>
        <v>0</v>
      </c>
      <c r="AA13" s="101">
        <f>'רשות החופים'!AA13</f>
        <v>747000</v>
      </c>
      <c r="AB13" s="22"/>
      <c r="AC13" s="112"/>
      <c r="AD13" s="55"/>
      <c r="AE13" s="57"/>
      <c r="AF13" s="57"/>
      <c r="AG13" s="57"/>
      <c r="AH13" s="57"/>
    </row>
    <row r="14" spans="1:34" s="15" customFormat="1">
      <c r="A14" s="13">
        <f t="shared" si="0"/>
        <v>9</v>
      </c>
      <c r="B14" s="13">
        <v>1783</v>
      </c>
      <c r="C14" s="13" t="s">
        <v>320</v>
      </c>
      <c r="D14" s="14">
        <f>'רשות החופים'!D14</f>
        <v>127000</v>
      </c>
      <c r="E14" s="14">
        <f>'רשות החופים'!E14</f>
        <v>127000</v>
      </c>
      <c r="F14" s="14">
        <f>'רשות החופים'!F14</f>
        <v>0</v>
      </c>
      <c r="G14" s="14">
        <f>'רשות החופים'!G14</f>
        <v>127000</v>
      </c>
      <c r="H14" s="14">
        <f>'רשות החופים'!H14</f>
        <v>124436.8</v>
      </c>
      <c r="I14" s="14">
        <f>'רשות החופים'!I14</f>
        <v>0</v>
      </c>
      <c r="J14" s="14">
        <f>'רשות החופים'!J14</f>
        <v>0</v>
      </c>
      <c r="K14" s="14">
        <f>'רשות החופים'!K14</f>
        <v>0</v>
      </c>
      <c r="L14" s="14">
        <f>'רשות החופים'!L14</f>
        <v>124436.8</v>
      </c>
      <c r="M14" s="14">
        <f>'רשות החופים'!M14</f>
        <v>2563.1999999999971</v>
      </c>
      <c r="N14" s="14">
        <f>'רשות החופים'!N14</f>
        <v>0</v>
      </c>
      <c r="O14" s="14">
        <f>'רשות החופים'!O14</f>
        <v>0</v>
      </c>
      <c r="P14" s="14">
        <f>'רשות החופים'!P14</f>
        <v>2563.1999999999971</v>
      </c>
      <c r="Q14" s="14">
        <f>'רשות החופים'!Q14</f>
        <v>0</v>
      </c>
      <c r="R14" s="14">
        <f>'רשות החופים'!R14</f>
        <v>0</v>
      </c>
      <c r="S14" s="14">
        <f>'רשות החופים'!S14</f>
        <v>0</v>
      </c>
      <c r="T14" s="14">
        <f>'רשות החופים'!T14</f>
        <v>0</v>
      </c>
      <c r="U14" s="14">
        <f>'רשות החופים'!U14</f>
        <v>0</v>
      </c>
      <c r="V14" s="14">
        <f>'רשות החופים'!V14</f>
        <v>0</v>
      </c>
      <c r="W14" s="14">
        <f>'רשות החופים'!W14</f>
        <v>0</v>
      </c>
      <c r="X14" s="14">
        <f>'רשות החופים'!X14</f>
        <v>0</v>
      </c>
      <c r="Y14" s="14">
        <f>'רשות החופים'!Y14</f>
        <v>0</v>
      </c>
      <c r="Z14" s="14">
        <f>'רשות החופים'!Z14</f>
        <v>0</v>
      </c>
      <c r="AA14" s="101">
        <f>'רשות החופים'!AA14</f>
        <v>747000</v>
      </c>
      <c r="AB14" s="22"/>
      <c r="AC14" s="112"/>
      <c r="AD14" s="55"/>
      <c r="AE14" s="57"/>
      <c r="AF14" s="57"/>
      <c r="AG14" s="57"/>
      <c r="AH14" s="57"/>
    </row>
    <row r="15" spans="1:34" s="15" customFormat="1">
      <c r="A15" s="13">
        <f t="shared" si="0"/>
        <v>10</v>
      </c>
      <c r="B15" s="13">
        <v>1862</v>
      </c>
      <c r="C15" s="13" t="s">
        <v>443</v>
      </c>
      <c r="D15" s="14">
        <f>'רשות החופים'!D15</f>
        <v>2200000</v>
      </c>
      <c r="E15" s="14">
        <f>'רשות החופים'!E15</f>
        <v>2200000</v>
      </c>
      <c r="F15" s="14">
        <f>'רשות החופים'!F15</f>
        <v>0</v>
      </c>
      <c r="G15" s="14">
        <f>'רשות החופים'!G15</f>
        <v>2200000</v>
      </c>
      <c r="H15" s="14">
        <f>'רשות החופים'!H15</f>
        <v>1960799.36</v>
      </c>
      <c r="I15" s="14">
        <f>'רשות החופים'!I15</f>
        <v>0</v>
      </c>
      <c r="J15" s="14">
        <f>'רשות החופים'!J15</f>
        <v>219769.23</v>
      </c>
      <c r="K15" s="14">
        <f>'רשות החופים'!K15</f>
        <v>219769.23</v>
      </c>
      <c r="L15" s="14">
        <f>'רשות החופים'!L15</f>
        <v>2180568.5900000003</v>
      </c>
      <c r="M15" s="14">
        <f>'רשות החופים'!M15</f>
        <v>19431.409999999683</v>
      </c>
      <c r="N15" s="14">
        <f>'רשות החופים'!N15</f>
        <v>0</v>
      </c>
      <c r="O15" s="14">
        <f>'רשות החופים'!O15</f>
        <v>0</v>
      </c>
      <c r="P15" s="14">
        <f>'רשות החופים'!P15</f>
        <v>19431.409999999683</v>
      </c>
      <c r="Q15" s="14">
        <f>'רשות החופים'!Q15</f>
        <v>0</v>
      </c>
      <c r="R15" s="14">
        <f>'רשות החופים'!R15</f>
        <v>0</v>
      </c>
      <c r="S15" s="14">
        <f>'רשות החופים'!S15</f>
        <v>0</v>
      </c>
      <c r="T15" s="14">
        <f>'רשות החופים'!T15</f>
        <v>0</v>
      </c>
      <c r="U15" s="14">
        <f>'רשות החופים'!U15</f>
        <v>0</v>
      </c>
      <c r="V15" s="14">
        <f>'רשות החופים'!V15</f>
        <v>0</v>
      </c>
      <c r="W15" s="14">
        <f>'רשות החופים'!W15</f>
        <v>0</v>
      </c>
      <c r="X15" s="14">
        <f>'רשות החופים'!X15</f>
        <v>0</v>
      </c>
      <c r="Y15" s="14">
        <f>'רשות החופים'!Y15</f>
        <v>0</v>
      </c>
      <c r="Z15" s="14">
        <f>'רשות החופים'!Z15</f>
        <v>0</v>
      </c>
      <c r="AA15" s="101">
        <f>'רשות החופים'!AA15</f>
        <v>747000</v>
      </c>
      <c r="AB15" s="22"/>
      <c r="AC15" s="112"/>
      <c r="AD15" s="55"/>
      <c r="AE15" s="57"/>
      <c r="AF15" s="57"/>
      <c r="AG15" s="57"/>
      <c r="AH15" s="57"/>
    </row>
    <row r="16" spans="1:34" s="15" customFormat="1">
      <c r="A16" s="13">
        <f t="shared" si="0"/>
        <v>11</v>
      </c>
      <c r="B16" s="13">
        <v>1863</v>
      </c>
      <c r="C16" s="13" t="s">
        <v>321</v>
      </c>
      <c r="D16" s="14">
        <f>'רשות החופים'!D16</f>
        <v>70000</v>
      </c>
      <c r="E16" s="14">
        <f>'רשות החופים'!E16</f>
        <v>70000</v>
      </c>
      <c r="F16" s="14">
        <f>'רשות החופים'!F16</f>
        <v>0</v>
      </c>
      <c r="G16" s="14">
        <f>'רשות החופים'!G16</f>
        <v>70000</v>
      </c>
      <c r="H16" s="14">
        <f>'רשות החופים'!H16</f>
        <v>4625</v>
      </c>
      <c r="I16" s="14">
        <f>'רשות החופים'!I16</f>
        <v>0</v>
      </c>
      <c r="J16" s="14">
        <f>'רשות החופים'!J16</f>
        <v>0</v>
      </c>
      <c r="K16" s="14">
        <f>'רשות החופים'!K16</f>
        <v>0</v>
      </c>
      <c r="L16" s="14">
        <f>'רשות החופים'!L16</f>
        <v>4625</v>
      </c>
      <c r="M16" s="14">
        <f>'רשות החופים'!M16</f>
        <v>65375</v>
      </c>
      <c r="N16" s="14">
        <f>'רשות החופים'!N16</f>
        <v>0</v>
      </c>
      <c r="O16" s="14">
        <f>'רשות החופים'!O16</f>
        <v>0</v>
      </c>
      <c r="P16" s="14">
        <f>'רשות החופים'!P16</f>
        <v>65375</v>
      </c>
      <c r="Q16" s="14">
        <f>'רשות החופים'!Q16</f>
        <v>0</v>
      </c>
      <c r="R16" s="14">
        <f>'רשות החופים'!R16</f>
        <v>0</v>
      </c>
      <c r="S16" s="14">
        <f>'רשות החופים'!S16</f>
        <v>0</v>
      </c>
      <c r="T16" s="14">
        <f>'רשות החופים'!T16</f>
        <v>0</v>
      </c>
      <c r="U16" s="14">
        <f>'רשות החופים'!U16</f>
        <v>0</v>
      </c>
      <c r="V16" s="14">
        <f>'רשות החופים'!V16</f>
        <v>0</v>
      </c>
      <c r="W16" s="14">
        <f>'רשות החופים'!W16</f>
        <v>0</v>
      </c>
      <c r="X16" s="14">
        <f>'רשות החופים'!X16</f>
        <v>0</v>
      </c>
      <c r="Y16" s="14">
        <f>'רשות החופים'!Y16</f>
        <v>0</v>
      </c>
      <c r="Z16" s="14">
        <f>'רשות החופים'!Z16</f>
        <v>0</v>
      </c>
      <c r="AA16" s="101">
        <f>'רשות החופים'!AA16</f>
        <v>747000</v>
      </c>
      <c r="AB16" s="22"/>
      <c r="AC16" s="112"/>
      <c r="AD16" s="55"/>
      <c r="AE16" s="57"/>
      <c r="AF16" s="57"/>
      <c r="AG16" s="57"/>
      <c r="AH16" s="57"/>
    </row>
    <row r="17" spans="1:34" s="15" customFormat="1">
      <c r="A17" s="13">
        <f t="shared" si="0"/>
        <v>12</v>
      </c>
      <c r="B17" s="13">
        <v>1864</v>
      </c>
      <c r="C17" s="13" t="s">
        <v>490</v>
      </c>
      <c r="D17" s="14">
        <f>'רשות החופים'!D17</f>
        <v>1500000</v>
      </c>
      <c r="E17" s="14">
        <f>'רשות החופים'!E17</f>
        <v>1500000</v>
      </c>
      <c r="F17" s="14">
        <f>'רשות החופים'!F17</f>
        <v>0</v>
      </c>
      <c r="G17" s="14">
        <f>'רשות החופים'!G17</f>
        <v>100000</v>
      </c>
      <c r="H17" s="14">
        <f>'רשות החופים'!H17</f>
        <v>57304.54</v>
      </c>
      <c r="I17" s="14">
        <f>'רשות החופים'!I17</f>
        <v>0</v>
      </c>
      <c r="J17" s="14">
        <f>'רשות החופים'!J17</f>
        <v>42695.45</v>
      </c>
      <c r="K17" s="14">
        <f>'רשות החופים'!K17</f>
        <v>42695.45</v>
      </c>
      <c r="L17" s="14">
        <f>'רשות החופים'!L17</f>
        <v>99999.989999999991</v>
      </c>
      <c r="M17" s="14">
        <f>'רשות החופים'!M17</f>
        <v>1.0000000009313226E-2</v>
      </c>
      <c r="N17" s="14">
        <f>'רשות החופים'!N17</f>
        <v>200000</v>
      </c>
      <c r="O17" s="14">
        <f>'רשות החופים'!O17</f>
        <v>1200000</v>
      </c>
      <c r="P17" s="14">
        <f>'רשות החופים'!P17</f>
        <v>1.0000000009313226E-2</v>
      </c>
      <c r="Q17" s="14">
        <f>'רשות החופים'!Q17</f>
        <v>0</v>
      </c>
      <c r="R17" s="14">
        <f>'רשות החופים'!R17</f>
        <v>0</v>
      </c>
      <c r="S17" s="14">
        <f>'רשות החופים'!S17</f>
        <v>0</v>
      </c>
      <c r="T17" s="14">
        <f>'רשות החופים'!T17</f>
        <v>0</v>
      </c>
      <c r="U17" s="14">
        <f>'רשות החופים'!U17</f>
        <v>200000</v>
      </c>
      <c r="V17" s="14">
        <f>'רשות החופים'!V17</f>
        <v>0</v>
      </c>
      <c r="W17" s="14">
        <f>'רשות החופים'!W17</f>
        <v>200000</v>
      </c>
      <c r="X17" s="14">
        <f>'רשות החופים'!X17</f>
        <v>0</v>
      </c>
      <c r="Y17" s="14">
        <f>'רשות החופים'!Y17</f>
        <v>0</v>
      </c>
      <c r="Z17" s="14">
        <f>'רשות החופים'!Z17</f>
        <v>0</v>
      </c>
      <c r="AA17" s="101">
        <f>'רשות החופים'!AA17</f>
        <v>747000</v>
      </c>
      <c r="AB17" s="22"/>
      <c r="AC17" s="112"/>
      <c r="AD17" s="55"/>
      <c r="AE17" s="57"/>
      <c r="AF17" s="57"/>
      <c r="AG17" s="57"/>
      <c r="AH17" s="57"/>
    </row>
    <row r="18" spans="1:34" s="15" customFormat="1">
      <c r="A18" s="13">
        <f t="shared" si="0"/>
        <v>13</v>
      </c>
      <c r="B18" s="13">
        <v>1876</v>
      </c>
      <c r="C18" s="13" t="s">
        <v>323</v>
      </c>
      <c r="D18" s="14">
        <f>'רשות החופים'!D18</f>
        <v>30000</v>
      </c>
      <c r="E18" s="14">
        <f>'רשות החופים'!E18</f>
        <v>30000</v>
      </c>
      <c r="F18" s="14">
        <f>'רשות החופים'!F18</f>
        <v>0</v>
      </c>
      <c r="G18" s="14">
        <f>'רשות החופים'!G18</f>
        <v>30000</v>
      </c>
      <c r="H18" s="14">
        <f>'רשות החופים'!H18</f>
        <v>29999.97</v>
      </c>
      <c r="I18" s="14">
        <f>'רשות החופים'!I18</f>
        <v>0</v>
      </c>
      <c r="J18" s="14">
        <f>'רשות החופים'!J18</f>
        <v>0</v>
      </c>
      <c r="K18" s="14">
        <f>'רשות החופים'!K18</f>
        <v>0</v>
      </c>
      <c r="L18" s="14">
        <f>'רשות החופים'!L18</f>
        <v>29999.97</v>
      </c>
      <c r="M18" s="14">
        <f>'רשות החופים'!M18</f>
        <v>2.9999999998835847E-2</v>
      </c>
      <c r="N18" s="14">
        <f>'רשות החופים'!N18</f>
        <v>0</v>
      </c>
      <c r="O18" s="14">
        <f>'רשות החופים'!O18</f>
        <v>0</v>
      </c>
      <c r="P18" s="14">
        <f>'רשות החופים'!P18</f>
        <v>2.9999999998835847E-2</v>
      </c>
      <c r="Q18" s="14">
        <f>'רשות החופים'!Q18</f>
        <v>0</v>
      </c>
      <c r="R18" s="14">
        <f>'רשות החופים'!R18</f>
        <v>0</v>
      </c>
      <c r="S18" s="14">
        <f>'רשות החופים'!S18</f>
        <v>0</v>
      </c>
      <c r="T18" s="14">
        <f>'רשות החופים'!T18</f>
        <v>0</v>
      </c>
      <c r="U18" s="14">
        <f>'רשות החופים'!U18</f>
        <v>0</v>
      </c>
      <c r="V18" s="14">
        <f>'רשות החופים'!V18</f>
        <v>0</v>
      </c>
      <c r="W18" s="14">
        <f>'רשות החופים'!W18</f>
        <v>0</v>
      </c>
      <c r="X18" s="14">
        <f>'רשות החופים'!X18</f>
        <v>0</v>
      </c>
      <c r="Y18" s="14">
        <f>'רשות החופים'!Y18</f>
        <v>0</v>
      </c>
      <c r="Z18" s="14">
        <f>'רשות החופים'!Z18</f>
        <v>0</v>
      </c>
      <c r="AA18" s="101">
        <f>'רשות החופים'!AA18</f>
        <v>747000</v>
      </c>
      <c r="AB18" s="22"/>
      <c r="AC18" s="112"/>
      <c r="AD18" s="55"/>
      <c r="AE18" s="57"/>
      <c r="AF18" s="57"/>
      <c r="AG18" s="57"/>
      <c r="AH18" s="57"/>
    </row>
    <row r="19" spans="1:34" s="15" customFormat="1">
      <c r="A19" s="13">
        <f t="shared" si="0"/>
        <v>14</v>
      </c>
      <c r="B19" s="13">
        <v>1877</v>
      </c>
      <c r="C19" s="13" t="s">
        <v>324</v>
      </c>
      <c r="D19" s="14">
        <f>'רשות החופים'!D19</f>
        <v>85000</v>
      </c>
      <c r="E19" s="14">
        <f>'רשות החופים'!E19</f>
        <v>85000</v>
      </c>
      <c r="F19" s="14">
        <f>'רשות החופים'!F19</f>
        <v>0</v>
      </c>
      <c r="G19" s="14">
        <f>'רשות החופים'!G19</f>
        <v>85000</v>
      </c>
      <c r="H19" s="14">
        <f>'רשות החופים'!H19</f>
        <v>75703</v>
      </c>
      <c r="I19" s="14">
        <f>'רשות החופים'!I19</f>
        <v>0</v>
      </c>
      <c r="J19" s="14">
        <f>'רשות החופים'!J19</f>
        <v>0</v>
      </c>
      <c r="K19" s="14">
        <f>'רשות החופים'!K19</f>
        <v>0</v>
      </c>
      <c r="L19" s="14">
        <f>'רשות החופים'!L19</f>
        <v>75703</v>
      </c>
      <c r="M19" s="14">
        <f>'רשות החופים'!M19</f>
        <v>9297</v>
      </c>
      <c r="N19" s="14">
        <f>'רשות החופים'!N19</f>
        <v>0</v>
      </c>
      <c r="O19" s="14">
        <f>'רשות החופים'!O19</f>
        <v>0</v>
      </c>
      <c r="P19" s="14">
        <f>'רשות החופים'!P19</f>
        <v>9297</v>
      </c>
      <c r="Q19" s="14">
        <f>'רשות החופים'!Q19</f>
        <v>0</v>
      </c>
      <c r="R19" s="14">
        <f>'רשות החופים'!R19</f>
        <v>0</v>
      </c>
      <c r="S19" s="14">
        <f>'רשות החופים'!S19</f>
        <v>0</v>
      </c>
      <c r="T19" s="14">
        <f>'רשות החופים'!T19</f>
        <v>0</v>
      </c>
      <c r="U19" s="14">
        <f>'רשות החופים'!U19</f>
        <v>0</v>
      </c>
      <c r="V19" s="14">
        <f>'רשות החופים'!V19</f>
        <v>0</v>
      </c>
      <c r="W19" s="14">
        <f>'רשות החופים'!W19</f>
        <v>0</v>
      </c>
      <c r="X19" s="14">
        <f>'רשות החופים'!X19</f>
        <v>0</v>
      </c>
      <c r="Y19" s="14">
        <f>'רשות החופים'!Y19</f>
        <v>0</v>
      </c>
      <c r="Z19" s="14">
        <f>'רשות החופים'!Z19</f>
        <v>0</v>
      </c>
      <c r="AA19" s="101">
        <f>'רשות החופים'!AA19</f>
        <v>747000</v>
      </c>
      <c r="AB19" s="22"/>
      <c r="AC19" s="112"/>
      <c r="AD19" s="55"/>
      <c r="AE19" s="57"/>
      <c r="AF19" s="57"/>
      <c r="AG19" s="57"/>
      <c r="AH19" s="57"/>
    </row>
    <row r="20" spans="1:34" s="15" customFormat="1">
      <c r="A20" s="13">
        <f t="shared" si="0"/>
        <v>15</v>
      </c>
      <c r="B20" s="13">
        <v>1878</v>
      </c>
      <c r="C20" s="13" t="s">
        <v>325</v>
      </c>
      <c r="D20" s="14">
        <f>'רשות החופים'!D20</f>
        <v>20000</v>
      </c>
      <c r="E20" s="14">
        <f>'רשות החופים'!E20</f>
        <v>20000</v>
      </c>
      <c r="F20" s="14">
        <f>'רשות החופים'!F20</f>
        <v>0</v>
      </c>
      <c r="G20" s="14">
        <f>'רשות החופים'!G20</f>
        <v>20000</v>
      </c>
      <c r="H20" s="14">
        <f>'רשות החופים'!H20</f>
        <v>19999.990000000002</v>
      </c>
      <c r="I20" s="14">
        <f>'רשות החופים'!I20</f>
        <v>0</v>
      </c>
      <c r="J20" s="14">
        <f>'רשות החופים'!J20</f>
        <v>0</v>
      </c>
      <c r="K20" s="14">
        <f>'רשות החופים'!K20</f>
        <v>0</v>
      </c>
      <c r="L20" s="14">
        <f>'רשות החופים'!L20</f>
        <v>19999.990000000002</v>
      </c>
      <c r="M20" s="14">
        <f>'רשות החופים'!M20</f>
        <v>9.9999999983992893E-3</v>
      </c>
      <c r="N20" s="14">
        <f>'רשות החופים'!N20</f>
        <v>0</v>
      </c>
      <c r="O20" s="14">
        <f>'רשות החופים'!O20</f>
        <v>0</v>
      </c>
      <c r="P20" s="14">
        <f>'רשות החופים'!P20</f>
        <v>9.9999999983992893E-3</v>
      </c>
      <c r="Q20" s="14">
        <f>'רשות החופים'!Q20</f>
        <v>0</v>
      </c>
      <c r="R20" s="14">
        <f>'רשות החופים'!R20</f>
        <v>0</v>
      </c>
      <c r="S20" s="14">
        <f>'רשות החופים'!S20</f>
        <v>0</v>
      </c>
      <c r="T20" s="14">
        <f>'רשות החופים'!T20</f>
        <v>0</v>
      </c>
      <c r="U20" s="14">
        <f>'רשות החופים'!U20</f>
        <v>0</v>
      </c>
      <c r="V20" s="14">
        <f>'רשות החופים'!V20</f>
        <v>0</v>
      </c>
      <c r="W20" s="14">
        <f>'רשות החופים'!W20</f>
        <v>0</v>
      </c>
      <c r="X20" s="14">
        <f>'רשות החופים'!X20</f>
        <v>0</v>
      </c>
      <c r="Y20" s="14">
        <f>'רשות החופים'!Y20</f>
        <v>0</v>
      </c>
      <c r="Z20" s="14">
        <f>'רשות החופים'!Z20</f>
        <v>0</v>
      </c>
      <c r="AA20" s="101">
        <f>'רשות החופים'!AA20</f>
        <v>747000</v>
      </c>
      <c r="AB20" s="22"/>
      <c r="AC20" s="112"/>
      <c r="AD20" s="55"/>
      <c r="AE20" s="57"/>
      <c r="AF20" s="57"/>
      <c r="AG20" s="57"/>
      <c r="AH20" s="57"/>
    </row>
    <row r="21" spans="1:34" s="15" customFormat="1">
      <c r="A21" s="13">
        <f t="shared" si="0"/>
        <v>16</v>
      </c>
      <c r="B21" s="13">
        <v>1879</v>
      </c>
      <c r="C21" s="13" t="s">
        <v>326</v>
      </c>
      <c r="D21" s="14">
        <f>'רשות החופים'!D21</f>
        <v>48000</v>
      </c>
      <c r="E21" s="14">
        <f>'רשות החופים'!E21</f>
        <v>48000</v>
      </c>
      <c r="F21" s="14">
        <f>'רשות החופים'!F21</f>
        <v>0</v>
      </c>
      <c r="G21" s="14">
        <f>'רשות החופים'!G21</f>
        <v>48000</v>
      </c>
      <c r="H21" s="14">
        <f>'רשות החופים'!H21</f>
        <v>36272.89</v>
      </c>
      <c r="I21" s="14">
        <f>'רשות החופים'!I21</f>
        <v>0</v>
      </c>
      <c r="J21" s="14">
        <f>'רשות החופים'!J21</f>
        <v>7897.5</v>
      </c>
      <c r="K21" s="14">
        <f>'רשות החופים'!K21</f>
        <v>7897.5</v>
      </c>
      <c r="L21" s="14">
        <f>'רשות החופים'!L21</f>
        <v>44170.39</v>
      </c>
      <c r="M21" s="14">
        <f>'רשות החופים'!M21</f>
        <v>3829.6100000000006</v>
      </c>
      <c r="N21" s="14">
        <f>'רשות החופים'!N21</f>
        <v>0</v>
      </c>
      <c r="O21" s="14">
        <f>'רשות החופים'!O21</f>
        <v>0</v>
      </c>
      <c r="P21" s="14">
        <f>'רשות החופים'!P21</f>
        <v>3829.6100000000006</v>
      </c>
      <c r="Q21" s="14">
        <f>'רשות החופים'!Q21</f>
        <v>0</v>
      </c>
      <c r="R21" s="14">
        <f>'רשות החופים'!R21</f>
        <v>0</v>
      </c>
      <c r="S21" s="14">
        <f>'רשות החופים'!S21</f>
        <v>0</v>
      </c>
      <c r="T21" s="14">
        <f>'רשות החופים'!T21</f>
        <v>0</v>
      </c>
      <c r="U21" s="14">
        <f>'רשות החופים'!U21</f>
        <v>0</v>
      </c>
      <c r="V21" s="14">
        <f>'רשות החופים'!V21</f>
        <v>0</v>
      </c>
      <c r="W21" s="14">
        <f>'רשות החופים'!W21</f>
        <v>0</v>
      </c>
      <c r="X21" s="14">
        <f>'רשות החופים'!X21</f>
        <v>0</v>
      </c>
      <c r="Y21" s="14">
        <f>'רשות החופים'!Y21</f>
        <v>0</v>
      </c>
      <c r="Z21" s="14">
        <f>'רשות החופים'!Z21</f>
        <v>0</v>
      </c>
      <c r="AA21" s="101">
        <f>'רשות החופים'!AA21</f>
        <v>747000</v>
      </c>
      <c r="AB21" s="22"/>
      <c r="AC21" s="112"/>
      <c r="AD21" s="55"/>
      <c r="AE21" s="57"/>
      <c r="AF21" s="57"/>
      <c r="AG21" s="57"/>
      <c r="AH21" s="57"/>
    </row>
    <row r="22" spans="1:34" s="15" customFormat="1">
      <c r="A22" s="13">
        <f t="shared" si="0"/>
        <v>17</v>
      </c>
      <c r="B22" s="13">
        <v>1880</v>
      </c>
      <c r="C22" s="13" t="s">
        <v>327</v>
      </c>
      <c r="D22" s="14">
        <f>'רשות החופים'!D22</f>
        <v>85000</v>
      </c>
      <c r="E22" s="14">
        <f>'רשות החופים'!E22</f>
        <v>85000</v>
      </c>
      <c r="F22" s="14">
        <f>'רשות החופים'!F22</f>
        <v>0</v>
      </c>
      <c r="G22" s="14">
        <f>'רשות החופים'!G22</f>
        <v>85000</v>
      </c>
      <c r="H22" s="14">
        <f>'רשות החופים'!H22</f>
        <v>85001</v>
      </c>
      <c r="I22" s="14">
        <f>'רשות החופים'!I22</f>
        <v>0</v>
      </c>
      <c r="J22" s="14">
        <f>'רשות החופים'!J22</f>
        <v>0</v>
      </c>
      <c r="K22" s="14">
        <f>'רשות החופים'!K22</f>
        <v>0</v>
      </c>
      <c r="L22" s="14">
        <f>'רשות החופים'!L22</f>
        <v>85001</v>
      </c>
      <c r="M22" s="14">
        <f>'רשות החופים'!M22</f>
        <v>-1</v>
      </c>
      <c r="N22" s="14">
        <f>'רשות החופים'!N22</f>
        <v>0</v>
      </c>
      <c r="O22" s="14">
        <f>'רשות החופים'!O22</f>
        <v>0</v>
      </c>
      <c r="P22" s="14">
        <f>'רשות החופים'!P22</f>
        <v>-1</v>
      </c>
      <c r="Q22" s="14">
        <f>'רשות החופים'!Q22</f>
        <v>0</v>
      </c>
      <c r="R22" s="14">
        <f>'רשות החופים'!R22</f>
        <v>0</v>
      </c>
      <c r="S22" s="14">
        <f>'רשות החופים'!S22</f>
        <v>0</v>
      </c>
      <c r="T22" s="14">
        <f>'רשות החופים'!T22</f>
        <v>0</v>
      </c>
      <c r="U22" s="14">
        <f>'רשות החופים'!U22</f>
        <v>0</v>
      </c>
      <c r="V22" s="14">
        <f>'רשות החופים'!V22</f>
        <v>0</v>
      </c>
      <c r="W22" s="14">
        <f>'רשות החופים'!W22</f>
        <v>0</v>
      </c>
      <c r="X22" s="14">
        <f>'רשות החופים'!X22</f>
        <v>0</v>
      </c>
      <c r="Y22" s="14">
        <f>'רשות החופים'!Y22</f>
        <v>0</v>
      </c>
      <c r="Z22" s="14">
        <f>'רשות החופים'!Z22</f>
        <v>0</v>
      </c>
      <c r="AA22" s="101">
        <f>'רשות החופים'!AA22</f>
        <v>747000</v>
      </c>
      <c r="AB22" s="22"/>
      <c r="AC22" s="112"/>
      <c r="AD22" s="55"/>
      <c r="AE22" s="57"/>
      <c r="AF22" s="57"/>
      <c r="AG22" s="57"/>
      <c r="AH22" s="57"/>
    </row>
    <row r="23" spans="1:34" s="15" customFormat="1">
      <c r="A23" s="13">
        <f t="shared" si="0"/>
        <v>18</v>
      </c>
      <c r="B23" s="13">
        <v>1881</v>
      </c>
      <c r="C23" s="13" t="s">
        <v>320</v>
      </c>
      <c r="D23" s="14">
        <f>'רשות החופים'!D23</f>
        <v>100000</v>
      </c>
      <c r="E23" s="14">
        <f>'רשות החופים'!E23</f>
        <v>100000</v>
      </c>
      <c r="F23" s="14">
        <f>'רשות החופים'!F23</f>
        <v>0</v>
      </c>
      <c r="G23" s="14">
        <f>'רשות החופים'!G23</f>
        <v>100000</v>
      </c>
      <c r="H23" s="14">
        <f>'רשות החופים'!H23</f>
        <v>42475.94</v>
      </c>
      <c r="I23" s="14">
        <f>'רשות החופים'!I23</f>
        <v>0</v>
      </c>
      <c r="J23" s="14">
        <f>'רשות החופים'!J23</f>
        <v>8350.6</v>
      </c>
      <c r="K23" s="14">
        <f>'רשות החופים'!K23</f>
        <v>8350.6</v>
      </c>
      <c r="L23" s="14">
        <f>'רשות החופים'!L23</f>
        <v>50826.54</v>
      </c>
      <c r="M23" s="14">
        <f>'רשות החופים'!M23</f>
        <v>49173.46</v>
      </c>
      <c r="N23" s="14">
        <f>'רשות החופים'!N23</f>
        <v>0</v>
      </c>
      <c r="O23" s="14">
        <f>'רשות החופים'!O23</f>
        <v>0</v>
      </c>
      <c r="P23" s="14">
        <f>'רשות החופים'!P23</f>
        <v>49173.46</v>
      </c>
      <c r="Q23" s="14">
        <f>'רשות החופים'!Q23</f>
        <v>0</v>
      </c>
      <c r="R23" s="14">
        <f>'רשות החופים'!R23</f>
        <v>0</v>
      </c>
      <c r="S23" s="14">
        <f>'רשות החופים'!S23</f>
        <v>0</v>
      </c>
      <c r="T23" s="14">
        <f>'רשות החופים'!T23</f>
        <v>0</v>
      </c>
      <c r="U23" s="14">
        <f>'רשות החופים'!U23</f>
        <v>0</v>
      </c>
      <c r="V23" s="14">
        <f>'רשות החופים'!V23</f>
        <v>0</v>
      </c>
      <c r="W23" s="14">
        <f>'רשות החופים'!W23</f>
        <v>0</v>
      </c>
      <c r="X23" s="14">
        <f>'רשות החופים'!X23</f>
        <v>0</v>
      </c>
      <c r="Y23" s="14">
        <f>'רשות החופים'!Y23</f>
        <v>0</v>
      </c>
      <c r="Z23" s="14">
        <f>'רשות החופים'!Z23</f>
        <v>0</v>
      </c>
      <c r="AA23" s="101">
        <f>'רשות החופים'!AA23</f>
        <v>747000</v>
      </c>
      <c r="AB23" s="22"/>
      <c r="AC23" s="112"/>
      <c r="AD23" s="55"/>
      <c r="AE23" s="57"/>
      <c r="AF23" s="57"/>
      <c r="AG23" s="57"/>
      <c r="AH23" s="57"/>
    </row>
    <row r="24" spans="1:34" s="15" customFormat="1">
      <c r="A24" s="13">
        <f t="shared" si="0"/>
        <v>19</v>
      </c>
      <c r="B24" s="13">
        <v>1923</v>
      </c>
      <c r="C24" s="13" t="s">
        <v>328</v>
      </c>
      <c r="D24" s="14">
        <f>'רשות החופים'!D24</f>
        <v>350000</v>
      </c>
      <c r="E24" s="14">
        <f>'רשות החופים'!E24</f>
        <v>350000</v>
      </c>
      <c r="F24" s="14">
        <f>'רשות החופים'!F24</f>
        <v>0</v>
      </c>
      <c r="G24" s="14">
        <f>'רשות החופים'!G24</f>
        <v>350000</v>
      </c>
      <c r="H24" s="14">
        <f>'רשות החופים'!H24</f>
        <v>321353.59999999998</v>
      </c>
      <c r="I24" s="14">
        <f>'רשות החופים'!I24</f>
        <v>0</v>
      </c>
      <c r="J24" s="14">
        <f>'רשות החופים'!J24</f>
        <v>28646.28</v>
      </c>
      <c r="K24" s="14">
        <f>'רשות החופים'!K24</f>
        <v>28646.28</v>
      </c>
      <c r="L24" s="14">
        <f>'רשות החופים'!L24</f>
        <v>349999.88</v>
      </c>
      <c r="M24" s="14">
        <f>'רשות החופים'!M24</f>
        <v>0.11999999999534339</v>
      </c>
      <c r="N24" s="14">
        <f>'רשות החופים'!N24</f>
        <v>0</v>
      </c>
      <c r="O24" s="14">
        <f>'רשות החופים'!O24</f>
        <v>0</v>
      </c>
      <c r="P24" s="14">
        <f>'רשות החופים'!P24</f>
        <v>0.11999999999534339</v>
      </c>
      <c r="Q24" s="14">
        <f>'רשות החופים'!Q24</f>
        <v>0</v>
      </c>
      <c r="R24" s="14">
        <f>'רשות החופים'!R24</f>
        <v>0</v>
      </c>
      <c r="S24" s="14">
        <f>'רשות החופים'!S24</f>
        <v>0</v>
      </c>
      <c r="T24" s="14">
        <f>'רשות החופים'!T24</f>
        <v>0</v>
      </c>
      <c r="U24" s="14">
        <f>'רשות החופים'!U24</f>
        <v>0</v>
      </c>
      <c r="V24" s="14">
        <f>'רשות החופים'!V24</f>
        <v>0</v>
      </c>
      <c r="W24" s="14">
        <f>'רשות החופים'!W24</f>
        <v>0</v>
      </c>
      <c r="X24" s="14">
        <f>'רשות החופים'!X24</f>
        <v>0</v>
      </c>
      <c r="Y24" s="14">
        <f>'רשות החופים'!Y24</f>
        <v>0</v>
      </c>
      <c r="Z24" s="14">
        <f>'רשות החופים'!Z24</f>
        <v>0</v>
      </c>
      <c r="AA24" s="101">
        <f>'רשות החופים'!AA24</f>
        <v>747000</v>
      </c>
      <c r="AB24" s="22"/>
      <c r="AC24" s="112"/>
      <c r="AD24" s="55"/>
      <c r="AE24" s="57"/>
      <c r="AF24" s="57"/>
      <c r="AG24" s="57"/>
      <c r="AH24" s="57"/>
    </row>
    <row r="25" spans="1:34" s="15" customFormat="1">
      <c r="A25" s="13">
        <f t="shared" si="0"/>
        <v>20</v>
      </c>
      <c r="B25" s="13">
        <v>1928</v>
      </c>
      <c r="C25" s="13" t="s">
        <v>371</v>
      </c>
      <c r="D25" s="14">
        <f>'רשות החופים'!D25</f>
        <v>100000</v>
      </c>
      <c r="E25" s="14">
        <f>'רשות החופים'!E25</f>
        <v>100000</v>
      </c>
      <c r="F25" s="14">
        <f>'רשות החופים'!F25</f>
        <v>0</v>
      </c>
      <c r="G25" s="14">
        <f>'רשות החופים'!G25</f>
        <v>100000</v>
      </c>
      <c r="H25" s="14">
        <f>'רשות החופים'!H25</f>
        <v>95823.38</v>
      </c>
      <c r="I25" s="14">
        <f>'רשות החופים'!I25</f>
        <v>0</v>
      </c>
      <c r="J25" s="14">
        <f>'רשות החופים'!J25</f>
        <v>0</v>
      </c>
      <c r="K25" s="14">
        <f>'רשות החופים'!K25</f>
        <v>0</v>
      </c>
      <c r="L25" s="14">
        <f>'רשות החופים'!L25</f>
        <v>95823.38</v>
      </c>
      <c r="M25" s="14">
        <f>'רשות החופים'!M25</f>
        <v>4176.6199999999953</v>
      </c>
      <c r="N25" s="14">
        <f>'רשות החופים'!N25</f>
        <v>0</v>
      </c>
      <c r="O25" s="14">
        <f>'רשות החופים'!O25</f>
        <v>0</v>
      </c>
      <c r="P25" s="14">
        <f>'רשות החופים'!P25</f>
        <v>4176.6199999999953</v>
      </c>
      <c r="Q25" s="14">
        <f>'רשות החופים'!Q25</f>
        <v>0</v>
      </c>
      <c r="R25" s="14">
        <f>'רשות החופים'!R25</f>
        <v>0</v>
      </c>
      <c r="S25" s="14">
        <f>'רשות החופים'!S25</f>
        <v>0</v>
      </c>
      <c r="T25" s="14">
        <f>'רשות החופים'!T25</f>
        <v>0</v>
      </c>
      <c r="U25" s="14">
        <f>'רשות החופים'!U25</f>
        <v>0</v>
      </c>
      <c r="V25" s="14">
        <f>'רשות החופים'!V25</f>
        <v>0</v>
      </c>
      <c r="W25" s="14">
        <f>'רשות החופים'!W25</f>
        <v>0</v>
      </c>
      <c r="X25" s="14">
        <f>'רשות החופים'!X25</f>
        <v>0</v>
      </c>
      <c r="Y25" s="14">
        <f>'רשות החופים'!Y25</f>
        <v>0</v>
      </c>
      <c r="Z25" s="14">
        <f>'רשות החופים'!Z25</f>
        <v>0</v>
      </c>
      <c r="AA25" s="101">
        <f>'רשות החופים'!AA25</f>
        <v>747000</v>
      </c>
      <c r="AB25" s="22"/>
      <c r="AC25" s="112"/>
      <c r="AD25" s="55"/>
      <c r="AE25" s="57"/>
      <c r="AF25" s="57"/>
      <c r="AG25" s="57"/>
      <c r="AH25" s="57"/>
    </row>
    <row r="26" spans="1:34" s="15" customFormat="1">
      <c r="A26" s="13">
        <f t="shared" si="0"/>
        <v>21</v>
      </c>
      <c r="B26" s="13">
        <v>1988</v>
      </c>
      <c r="C26" s="13" t="s">
        <v>447</v>
      </c>
      <c r="D26" s="14">
        <f>'רשות החופים'!D26</f>
        <v>30000</v>
      </c>
      <c r="E26" s="14">
        <f>'רשות החופים'!E26</f>
        <v>30000</v>
      </c>
      <c r="F26" s="14">
        <f>'רשות החופים'!F26</f>
        <v>0</v>
      </c>
      <c r="G26" s="14">
        <f>'רשות החופים'!G26</f>
        <v>30000</v>
      </c>
      <c r="H26" s="14">
        <f>'רשות החופים'!H26</f>
        <v>0</v>
      </c>
      <c r="I26" s="14">
        <f>'רשות החופים'!I26</f>
        <v>0</v>
      </c>
      <c r="J26" s="14">
        <f>'רשות החופים'!J26</f>
        <v>0</v>
      </c>
      <c r="K26" s="14">
        <f>'רשות החופים'!K26</f>
        <v>0</v>
      </c>
      <c r="L26" s="14">
        <f>'רשות החופים'!L26</f>
        <v>0</v>
      </c>
      <c r="M26" s="14">
        <f>'רשות החופים'!M26</f>
        <v>30000</v>
      </c>
      <c r="N26" s="14">
        <f>'רשות החופים'!N26</f>
        <v>0</v>
      </c>
      <c r="O26" s="14">
        <f>'רשות החופים'!O26</f>
        <v>0</v>
      </c>
      <c r="P26" s="14">
        <f>'רשות החופים'!P26</f>
        <v>30000</v>
      </c>
      <c r="Q26" s="14">
        <f>'רשות החופים'!Q26</f>
        <v>0</v>
      </c>
      <c r="R26" s="14">
        <f>'רשות החופים'!R26</f>
        <v>0</v>
      </c>
      <c r="S26" s="14">
        <f>'רשות החופים'!S26</f>
        <v>0</v>
      </c>
      <c r="T26" s="14">
        <f>'רשות החופים'!T26</f>
        <v>0</v>
      </c>
      <c r="U26" s="14">
        <f>'רשות החופים'!U26</f>
        <v>0</v>
      </c>
      <c r="V26" s="14">
        <f>'רשות החופים'!V26</f>
        <v>0</v>
      </c>
      <c r="W26" s="14">
        <f>'רשות החופים'!W26</f>
        <v>0</v>
      </c>
      <c r="X26" s="14">
        <f>'רשות החופים'!X26</f>
        <v>0</v>
      </c>
      <c r="Y26" s="14">
        <f>'רשות החופים'!Y26</f>
        <v>0</v>
      </c>
      <c r="Z26" s="14">
        <f>'רשות החופים'!Z26</f>
        <v>0</v>
      </c>
      <c r="AA26" s="101">
        <f>'רשות החופים'!AA26</f>
        <v>747000</v>
      </c>
      <c r="AB26" s="22"/>
      <c r="AC26" s="112"/>
      <c r="AD26" s="55"/>
      <c r="AE26" s="57"/>
      <c r="AF26" s="57"/>
      <c r="AG26" s="57"/>
      <c r="AH26" s="57"/>
    </row>
    <row r="27" spans="1:34" s="15" customFormat="1">
      <c r="A27" s="13">
        <f t="shared" si="0"/>
        <v>22</v>
      </c>
      <c r="B27" s="13">
        <v>1994</v>
      </c>
      <c r="C27" s="13" t="s">
        <v>448</v>
      </c>
      <c r="D27" s="14">
        <f>'רשות החופים'!D27</f>
        <v>112000</v>
      </c>
      <c r="E27" s="14">
        <f>'רשות החופים'!E27</f>
        <v>112000</v>
      </c>
      <c r="F27" s="14">
        <f>'רשות החופים'!F27</f>
        <v>0</v>
      </c>
      <c r="G27" s="14">
        <f>'רשות החופים'!G27</f>
        <v>112000</v>
      </c>
      <c r="H27" s="14">
        <f>'רשות החופים'!H27</f>
        <v>0</v>
      </c>
      <c r="I27" s="14">
        <f>'רשות החופים'!I27</f>
        <v>0</v>
      </c>
      <c r="J27" s="14">
        <f>'רשות החופים'!J27</f>
        <v>56160</v>
      </c>
      <c r="K27" s="14">
        <f>'רשות החופים'!K27</f>
        <v>56160</v>
      </c>
      <c r="L27" s="14">
        <f>'רשות החופים'!L27</f>
        <v>56160</v>
      </c>
      <c r="M27" s="14">
        <f>'רשות החופים'!M27</f>
        <v>55840</v>
      </c>
      <c r="N27" s="14">
        <f>'רשות החופים'!N27</f>
        <v>0</v>
      </c>
      <c r="O27" s="14">
        <f>'רשות החופים'!O27</f>
        <v>0</v>
      </c>
      <c r="P27" s="14">
        <f>'רשות החופים'!P27</f>
        <v>55840</v>
      </c>
      <c r="Q27" s="14">
        <f>'רשות החופים'!Q27</f>
        <v>0</v>
      </c>
      <c r="R27" s="14">
        <f>'רשות החופים'!R27</f>
        <v>0</v>
      </c>
      <c r="S27" s="14">
        <f>'רשות החופים'!S27</f>
        <v>0</v>
      </c>
      <c r="T27" s="14">
        <f>'רשות החופים'!T27</f>
        <v>0</v>
      </c>
      <c r="U27" s="14">
        <f>'רשות החופים'!U27</f>
        <v>0</v>
      </c>
      <c r="V27" s="14">
        <f>'רשות החופים'!V27</f>
        <v>0</v>
      </c>
      <c r="W27" s="14">
        <f>'רשות החופים'!W27</f>
        <v>0</v>
      </c>
      <c r="X27" s="14">
        <f>'רשות החופים'!X27</f>
        <v>0</v>
      </c>
      <c r="Y27" s="14">
        <f>'רשות החופים'!Y27</f>
        <v>0</v>
      </c>
      <c r="Z27" s="14">
        <f>'רשות החופים'!Z27</f>
        <v>0</v>
      </c>
      <c r="AA27" s="101">
        <f>'רשות החופים'!AA27</f>
        <v>747000</v>
      </c>
      <c r="AB27" s="22"/>
      <c r="AC27" s="112"/>
      <c r="AD27" s="55"/>
      <c r="AE27" s="57"/>
      <c r="AF27" s="57"/>
      <c r="AG27" s="57"/>
      <c r="AH27" s="57"/>
    </row>
    <row r="28" spans="1:34" s="15" customFormat="1">
      <c r="A28" s="13">
        <f t="shared" si="0"/>
        <v>23</v>
      </c>
      <c r="B28" s="13">
        <v>1995</v>
      </c>
      <c r="C28" s="13" t="s">
        <v>449</v>
      </c>
      <c r="D28" s="14">
        <f>'רשות החופים'!D28</f>
        <v>170000</v>
      </c>
      <c r="E28" s="14">
        <f>'רשות החופים'!E28</f>
        <v>170000</v>
      </c>
      <c r="F28" s="14">
        <f>'רשות החופים'!F28</f>
        <v>0</v>
      </c>
      <c r="G28" s="14">
        <f>'רשות החופים'!G28</f>
        <v>170000</v>
      </c>
      <c r="H28" s="14">
        <f>'רשות החופים'!H28</f>
        <v>0</v>
      </c>
      <c r="I28" s="14">
        <f>'רשות החופים'!I28</f>
        <v>0</v>
      </c>
      <c r="J28" s="14">
        <f>'רשות החופים'!J28</f>
        <v>0</v>
      </c>
      <c r="K28" s="14">
        <f>'רשות החופים'!K28</f>
        <v>0</v>
      </c>
      <c r="L28" s="14">
        <f>'רשות החופים'!L28</f>
        <v>0</v>
      </c>
      <c r="M28" s="14">
        <f>'רשות החופים'!M28</f>
        <v>170000</v>
      </c>
      <c r="N28" s="14">
        <f>'רשות החופים'!N28</f>
        <v>0</v>
      </c>
      <c r="O28" s="14">
        <f>'רשות החופים'!O28</f>
        <v>0</v>
      </c>
      <c r="P28" s="14">
        <f>'רשות החופים'!P28</f>
        <v>170000</v>
      </c>
      <c r="Q28" s="14">
        <f>'רשות החופים'!Q28</f>
        <v>0</v>
      </c>
      <c r="R28" s="14">
        <f>'רשות החופים'!R28</f>
        <v>0</v>
      </c>
      <c r="S28" s="14">
        <f>'רשות החופים'!S28</f>
        <v>0</v>
      </c>
      <c r="T28" s="14">
        <f>'רשות החופים'!T28</f>
        <v>0</v>
      </c>
      <c r="U28" s="14">
        <f>'רשות החופים'!U28</f>
        <v>0</v>
      </c>
      <c r="V28" s="14">
        <f>'רשות החופים'!V28</f>
        <v>0</v>
      </c>
      <c r="W28" s="14">
        <f>'רשות החופים'!W28</f>
        <v>0</v>
      </c>
      <c r="X28" s="14">
        <f>'רשות החופים'!X28</f>
        <v>0</v>
      </c>
      <c r="Y28" s="14">
        <f>'רשות החופים'!Y28</f>
        <v>0</v>
      </c>
      <c r="Z28" s="14">
        <f>'רשות החופים'!Z28</f>
        <v>0</v>
      </c>
      <c r="AA28" s="101">
        <f>'רשות החופים'!AA28</f>
        <v>747000</v>
      </c>
      <c r="AB28" s="22"/>
      <c r="AC28" s="112"/>
      <c r="AD28" s="55"/>
      <c r="AE28" s="57"/>
      <c r="AF28" s="57"/>
      <c r="AG28" s="57"/>
      <c r="AH28" s="57"/>
    </row>
    <row r="29" spans="1:34" s="15" customFormat="1">
      <c r="A29" s="13">
        <f t="shared" si="0"/>
        <v>24</v>
      </c>
      <c r="B29" s="13">
        <v>1996</v>
      </c>
      <c r="C29" s="13" t="s">
        <v>450</v>
      </c>
      <c r="D29" s="14">
        <f>'רשות החופים'!D29</f>
        <v>45000</v>
      </c>
      <c r="E29" s="14">
        <f>'רשות החופים'!E29</f>
        <v>45000</v>
      </c>
      <c r="F29" s="14">
        <f>'רשות החופים'!F29</f>
        <v>0</v>
      </c>
      <c r="G29" s="14">
        <f>'רשות החופים'!G29</f>
        <v>45000</v>
      </c>
      <c r="H29" s="14">
        <f>'רשות החופים'!H29</f>
        <v>0</v>
      </c>
      <c r="I29" s="14">
        <f>'רשות החופים'!I29</f>
        <v>0</v>
      </c>
      <c r="J29" s="14">
        <f>'רשות החופים'!J29</f>
        <v>0</v>
      </c>
      <c r="K29" s="14">
        <f>'רשות החופים'!K29</f>
        <v>0</v>
      </c>
      <c r="L29" s="14">
        <f>'רשות החופים'!L29</f>
        <v>0</v>
      </c>
      <c r="M29" s="14">
        <f>'רשות החופים'!M29</f>
        <v>45000</v>
      </c>
      <c r="N29" s="14">
        <f>'רשות החופים'!N29</f>
        <v>0</v>
      </c>
      <c r="O29" s="14">
        <f>'רשות החופים'!O29</f>
        <v>0</v>
      </c>
      <c r="P29" s="14">
        <f>'רשות החופים'!P29</f>
        <v>45000</v>
      </c>
      <c r="Q29" s="14">
        <f>'רשות החופים'!Q29</f>
        <v>0</v>
      </c>
      <c r="R29" s="14">
        <f>'רשות החופים'!R29</f>
        <v>0</v>
      </c>
      <c r="S29" s="14">
        <f>'רשות החופים'!S29</f>
        <v>0</v>
      </c>
      <c r="T29" s="14">
        <f>'רשות החופים'!T29</f>
        <v>0</v>
      </c>
      <c r="U29" s="14">
        <f>'רשות החופים'!U29</f>
        <v>0</v>
      </c>
      <c r="V29" s="14">
        <f>'רשות החופים'!V29</f>
        <v>0</v>
      </c>
      <c r="W29" s="14">
        <f>'רשות החופים'!W29</f>
        <v>0</v>
      </c>
      <c r="X29" s="14">
        <f>'רשות החופים'!X29</f>
        <v>0</v>
      </c>
      <c r="Y29" s="14">
        <f>'רשות החופים'!Y29</f>
        <v>0</v>
      </c>
      <c r="Z29" s="14">
        <f>'רשות החופים'!Z29</f>
        <v>0</v>
      </c>
      <c r="AA29" s="101">
        <f>'רשות החופים'!AA29</f>
        <v>747000</v>
      </c>
      <c r="AB29" s="22"/>
      <c r="AC29" s="112"/>
      <c r="AD29" s="55"/>
      <c r="AE29" s="57"/>
      <c r="AF29" s="57"/>
      <c r="AG29" s="57"/>
      <c r="AH29" s="57"/>
    </row>
    <row r="30" spans="1:34" s="15" customFormat="1">
      <c r="A30" s="13">
        <f t="shared" si="0"/>
        <v>25</v>
      </c>
      <c r="B30" s="13">
        <v>1997</v>
      </c>
      <c r="C30" s="13" t="s">
        <v>451</v>
      </c>
      <c r="D30" s="14">
        <f>'רשות החופים'!D30</f>
        <v>40000</v>
      </c>
      <c r="E30" s="14">
        <f>'רשות החופים'!E30</f>
        <v>40000</v>
      </c>
      <c r="F30" s="14">
        <f>'רשות החופים'!F30</f>
        <v>0</v>
      </c>
      <c r="G30" s="14">
        <f>'רשות החופים'!G30</f>
        <v>40000</v>
      </c>
      <c r="H30" s="14">
        <f>'רשות החופים'!H30</f>
        <v>0</v>
      </c>
      <c r="I30" s="14">
        <f>'רשות החופים'!I30</f>
        <v>0</v>
      </c>
      <c r="J30" s="14">
        <f>'רשות החופים'!J30</f>
        <v>0</v>
      </c>
      <c r="K30" s="14">
        <f>'רשות החופים'!K30</f>
        <v>0</v>
      </c>
      <c r="L30" s="14">
        <f>'רשות החופים'!L30</f>
        <v>0</v>
      </c>
      <c r="M30" s="14">
        <f>'רשות החופים'!M30</f>
        <v>40000</v>
      </c>
      <c r="N30" s="14">
        <f>'רשות החופים'!N30</f>
        <v>0</v>
      </c>
      <c r="O30" s="14">
        <f>'רשות החופים'!O30</f>
        <v>0</v>
      </c>
      <c r="P30" s="14">
        <f>'רשות החופים'!P30</f>
        <v>40000</v>
      </c>
      <c r="Q30" s="14">
        <f>'רשות החופים'!Q30</f>
        <v>0</v>
      </c>
      <c r="R30" s="14">
        <f>'רשות החופים'!R30</f>
        <v>0</v>
      </c>
      <c r="S30" s="14">
        <f>'רשות החופים'!S30</f>
        <v>0</v>
      </c>
      <c r="T30" s="14">
        <f>'רשות החופים'!T30</f>
        <v>0</v>
      </c>
      <c r="U30" s="14">
        <f>'רשות החופים'!U30</f>
        <v>0</v>
      </c>
      <c r="V30" s="14">
        <f>'רשות החופים'!V30</f>
        <v>0</v>
      </c>
      <c r="W30" s="14">
        <f>'רשות החופים'!W30</f>
        <v>0</v>
      </c>
      <c r="X30" s="14">
        <f>'רשות החופים'!X30</f>
        <v>0</v>
      </c>
      <c r="Y30" s="14">
        <f>'רשות החופים'!Y30</f>
        <v>0</v>
      </c>
      <c r="Z30" s="14">
        <f>'רשות החופים'!Z30</f>
        <v>0</v>
      </c>
      <c r="AA30" s="101">
        <f>'רשות החופים'!AA30</f>
        <v>747000</v>
      </c>
      <c r="AB30" s="22"/>
      <c r="AC30" s="112"/>
      <c r="AD30" s="55"/>
      <c r="AE30" s="57"/>
      <c r="AF30" s="57"/>
      <c r="AG30" s="57"/>
      <c r="AH30" s="57"/>
    </row>
    <row r="31" spans="1:34" s="15" customFormat="1">
      <c r="A31" s="13">
        <f t="shared" si="0"/>
        <v>26</v>
      </c>
      <c r="B31" s="69">
        <v>2043</v>
      </c>
      <c r="C31" s="214" t="s">
        <v>491</v>
      </c>
      <c r="D31" s="14">
        <f>'רשות החופים'!D31</f>
        <v>3600000</v>
      </c>
      <c r="E31" s="14">
        <f>'רשות החופים'!E31</f>
        <v>0</v>
      </c>
      <c r="F31" s="14">
        <f>'רשות החופים'!F31</f>
        <v>3600000</v>
      </c>
      <c r="G31" s="14">
        <f>'רשות החופים'!G31</f>
        <v>0</v>
      </c>
      <c r="H31" s="14">
        <f>'רשות החופים'!H31</f>
        <v>0</v>
      </c>
      <c r="I31" s="14">
        <f>'רשות החופים'!I31</f>
        <v>0</v>
      </c>
      <c r="J31" s="14">
        <f>'רשות החופים'!J31</f>
        <v>0</v>
      </c>
      <c r="K31" s="14">
        <f>'רשות החופים'!K31</f>
        <v>0</v>
      </c>
      <c r="L31" s="14">
        <f>'רשות החופים'!L31</f>
        <v>0</v>
      </c>
      <c r="M31" s="14">
        <f>'רשות החופים'!M31</f>
        <v>0</v>
      </c>
      <c r="N31" s="14">
        <f>'רשות החופים'!N31</f>
        <v>1500000</v>
      </c>
      <c r="O31" s="14">
        <f>'רשות החופים'!O31</f>
        <v>2100000</v>
      </c>
      <c r="P31" s="14">
        <f>'רשות החופים'!P31</f>
        <v>0</v>
      </c>
      <c r="Q31" s="14">
        <f>'רשות החופים'!Q31</f>
        <v>0</v>
      </c>
      <c r="R31" s="14">
        <f>'רשות החופים'!R31</f>
        <v>0</v>
      </c>
      <c r="S31" s="14">
        <f>'רשות החופים'!S31</f>
        <v>0</v>
      </c>
      <c r="T31" s="14">
        <f>'רשות החופים'!T31</f>
        <v>0</v>
      </c>
      <c r="U31" s="14">
        <f>'רשות החופים'!U31</f>
        <v>1500000</v>
      </c>
      <c r="V31" s="14">
        <f>'רשות החופים'!V31</f>
        <v>0</v>
      </c>
      <c r="W31" s="14">
        <f>'רשות החופים'!W31</f>
        <v>1500000</v>
      </c>
      <c r="X31" s="14">
        <f>'רשות החופים'!X31</f>
        <v>0</v>
      </c>
      <c r="Y31" s="14">
        <f>'רשות החופים'!Y31</f>
        <v>0</v>
      </c>
      <c r="Z31" s="14">
        <f>'רשות החופים'!Z31</f>
        <v>0</v>
      </c>
      <c r="AA31" s="101">
        <f>'רשות החופים'!AA31</f>
        <v>747000</v>
      </c>
      <c r="AB31" s="22"/>
      <c r="AC31" s="112"/>
      <c r="AD31" s="57"/>
      <c r="AE31" s="55"/>
      <c r="AF31" s="57"/>
      <c r="AG31" s="57"/>
      <c r="AH31" s="57"/>
    </row>
    <row r="32" spans="1:34" s="15" customFormat="1">
      <c r="A32" s="13">
        <f t="shared" si="0"/>
        <v>27</v>
      </c>
      <c r="B32" s="69">
        <v>2044</v>
      </c>
      <c r="C32" s="214" t="s">
        <v>492</v>
      </c>
      <c r="D32" s="14">
        <f>'רשות החופים'!D32</f>
        <v>105000</v>
      </c>
      <c r="E32" s="14">
        <f>'רשות החופים'!E32</f>
        <v>0</v>
      </c>
      <c r="F32" s="14">
        <f>'רשות החופים'!F32</f>
        <v>105000</v>
      </c>
      <c r="G32" s="14">
        <f>'רשות החופים'!G32</f>
        <v>0</v>
      </c>
      <c r="H32" s="14">
        <f>'רשות החופים'!H32</f>
        <v>0</v>
      </c>
      <c r="I32" s="14">
        <f>'רשות החופים'!I32</f>
        <v>0</v>
      </c>
      <c r="J32" s="14">
        <f>'רשות החופים'!J32</f>
        <v>0</v>
      </c>
      <c r="K32" s="14">
        <f>'רשות החופים'!K32</f>
        <v>0</v>
      </c>
      <c r="L32" s="14">
        <f>'רשות החופים'!L32</f>
        <v>0</v>
      </c>
      <c r="M32" s="14">
        <f>'רשות החופים'!M32</f>
        <v>0</v>
      </c>
      <c r="N32" s="14">
        <f>'רשות החופים'!N32</f>
        <v>105000</v>
      </c>
      <c r="O32" s="14">
        <f>'רשות החופים'!O32</f>
        <v>0</v>
      </c>
      <c r="P32" s="14">
        <f>'רשות החופים'!P32</f>
        <v>0</v>
      </c>
      <c r="Q32" s="14">
        <f>'רשות החופים'!Q32</f>
        <v>0</v>
      </c>
      <c r="R32" s="14">
        <f>'רשות החופים'!R32</f>
        <v>0</v>
      </c>
      <c r="S32" s="14">
        <f>'רשות החופים'!S32</f>
        <v>0</v>
      </c>
      <c r="T32" s="14">
        <f>'רשות החופים'!T32</f>
        <v>0</v>
      </c>
      <c r="U32" s="14">
        <f>'רשות החופים'!U32</f>
        <v>105000</v>
      </c>
      <c r="V32" s="14">
        <f>'רשות החופים'!V32</f>
        <v>0</v>
      </c>
      <c r="W32" s="14">
        <f>'רשות החופים'!W32</f>
        <v>0</v>
      </c>
      <c r="X32" s="14">
        <f>'רשות החופים'!X32</f>
        <v>0</v>
      </c>
      <c r="Y32" s="14">
        <f>'רשות החופים'!Y32</f>
        <v>0</v>
      </c>
      <c r="Z32" s="14">
        <f>'רשות החופים'!Z32</f>
        <v>105000</v>
      </c>
      <c r="AA32" s="101">
        <f>'רשות החופים'!AA32</f>
        <v>747000</v>
      </c>
      <c r="AB32" s="216"/>
      <c r="AC32" s="112"/>
      <c r="AD32" s="57"/>
      <c r="AE32" s="55"/>
      <c r="AF32" s="57"/>
      <c r="AG32" s="57"/>
      <c r="AH32" s="57"/>
    </row>
    <row r="33" spans="1:34" s="15" customFormat="1">
      <c r="A33" s="13">
        <f t="shared" si="0"/>
        <v>28</v>
      </c>
      <c r="B33" s="69">
        <v>2045</v>
      </c>
      <c r="C33" s="214" t="s">
        <v>493</v>
      </c>
      <c r="D33" s="14">
        <f>'רשות החופים'!D33</f>
        <v>205000</v>
      </c>
      <c r="E33" s="14">
        <f>'רשות החופים'!E33</f>
        <v>0</v>
      </c>
      <c r="F33" s="14">
        <f>'רשות החופים'!F33</f>
        <v>205000</v>
      </c>
      <c r="G33" s="14">
        <f>'רשות החופים'!G33</f>
        <v>0</v>
      </c>
      <c r="H33" s="14">
        <f>'רשות החופים'!H33</f>
        <v>0</v>
      </c>
      <c r="I33" s="14">
        <f>'רשות החופים'!I33</f>
        <v>0</v>
      </c>
      <c r="J33" s="14">
        <f>'רשות החופים'!J33</f>
        <v>0</v>
      </c>
      <c r="K33" s="14">
        <f>'רשות החופים'!K33</f>
        <v>0</v>
      </c>
      <c r="L33" s="14">
        <f>'רשות החופים'!L33</f>
        <v>0</v>
      </c>
      <c r="M33" s="14">
        <f>'רשות החופים'!M33</f>
        <v>0</v>
      </c>
      <c r="N33" s="14">
        <f>'רשות החופים'!N33</f>
        <v>205000</v>
      </c>
      <c r="O33" s="14">
        <f>'רשות החופים'!O33</f>
        <v>0</v>
      </c>
      <c r="P33" s="14">
        <f>'רשות החופים'!P33</f>
        <v>0</v>
      </c>
      <c r="Q33" s="14">
        <f>'רשות החופים'!Q33</f>
        <v>0</v>
      </c>
      <c r="R33" s="14">
        <f>'רשות החופים'!R33</f>
        <v>0</v>
      </c>
      <c r="S33" s="14">
        <f>'רשות החופים'!S33</f>
        <v>0</v>
      </c>
      <c r="T33" s="14">
        <f>'רשות החופים'!T33</f>
        <v>0</v>
      </c>
      <c r="U33" s="14">
        <f>'רשות החופים'!U33</f>
        <v>205000</v>
      </c>
      <c r="V33" s="14">
        <f>'רשות החופים'!V33</f>
        <v>0</v>
      </c>
      <c r="W33" s="14">
        <f>'רשות החופים'!W33</f>
        <v>0</v>
      </c>
      <c r="X33" s="14">
        <f>'רשות החופים'!X33</f>
        <v>0</v>
      </c>
      <c r="Y33" s="14">
        <f>'רשות החופים'!Y33</f>
        <v>0</v>
      </c>
      <c r="Z33" s="14">
        <f>'רשות החופים'!Z33</f>
        <v>205000</v>
      </c>
      <c r="AA33" s="101">
        <f>'רשות החופים'!AA33</f>
        <v>747000</v>
      </c>
      <c r="AB33" s="216"/>
      <c r="AC33" s="112"/>
      <c r="AD33" s="57"/>
      <c r="AE33" s="55"/>
      <c r="AF33" s="57"/>
      <c r="AG33" s="57"/>
      <c r="AH33" s="57"/>
    </row>
    <row r="34" spans="1:34" s="15" customFormat="1">
      <c r="A34" s="13">
        <f t="shared" si="0"/>
        <v>29</v>
      </c>
      <c r="B34" s="69">
        <v>2046</v>
      </c>
      <c r="C34" s="214" t="s">
        <v>494</v>
      </c>
      <c r="D34" s="14">
        <f>'רשות החופים'!D34</f>
        <v>30000</v>
      </c>
      <c r="E34" s="14">
        <f>'רשות החופים'!E34</f>
        <v>0</v>
      </c>
      <c r="F34" s="14">
        <f>'רשות החופים'!F34</f>
        <v>30000</v>
      </c>
      <c r="G34" s="14">
        <f>'רשות החופים'!G34</f>
        <v>0</v>
      </c>
      <c r="H34" s="14">
        <f>'רשות החופים'!H34</f>
        <v>0</v>
      </c>
      <c r="I34" s="14">
        <f>'רשות החופים'!I34</f>
        <v>0</v>
      </c>
      <c r="J34" s="14">
        <f>'רשות החופים'!J34</f>
        <v>0</v>
      </c>
      <c r="K34" s="14">
        <f>'רשות החופים'!K34</f>
        <v>0</v>
      </c>
      <c r="L34" s="14">
        <f>'רשות החופים'!L34</f>
        <v>0</v>
      </c>
      <c r="M34" s="14">
        <f>'רשות החופים'!M34</f>
        <v>0</v>
      </c>
      <c r="N34" s="14">
        <f>'רשות החופים'!N34</f>
        <v>30000</v>
      </c>
      <c r="O34" s="14">
        <f>'רשות החופים'!O34</f>
        <v>0</v>
      </c>
      <c r="P34" s="14">
        <f>'רשות החופים'!P34</f>
        <v>0</v>
      </c>
      <c r="Q34" s="14">
        <f>'רשות החופים'!Q34</f>
        <v>0</v>
      </c>
      <c r="R34" s="14">
        <f>'רשות החופים'!R34</f>
        <v>0</v>
      </c>
      <c r="S34" s="14">
        <f>'רשות החופים'!S34</f>
        <v>0</v>
      </c>
      <c r="T34" s="14">
        <f>'רשות החופים'!T34</f>
        <v>0</v>
      </c>
      <c r="U34" s="14">
        <f>'רשות החופים'!U34</f>
        <v>30000</v>
      </c>
      <c r="V34" s="14">
        <f>'רשות החופים'!V34</f>
        <v>0</v>
      </c>
      <c r="W34" s="14">
        <f>'רשות החופים'!W34</f>
        <v>0</v>
      </c>
      <c r="X34" s="14">
        <f>'רשות החופים'!X34</f>
        <v>0</v>
      </c>
      <c r="Y34" s="14">
        <f>'רשות החופים'!Y34</f>
        <v>0</v>
      </c>
      <c r="Z34" s="14">
        <f>'רשות החופים'!Z34</f>
        <v>30000</v>
      </c>
      <c r="AA34" s="101">
        <f>'רשות החופים'!AA34</f>
        <v>747000</v>
      </c>
      <c r="AB34" s="216"/>
      <c r="AC34" s="112"/>
      <c r="AD34" s="57"/>
      <c r="AE34" s="55"/>
      <c r="AF34" s="57"/>
      <c r="AG34" s="57"/>
      <c r="AH34" s="57"/>
    </row>
    <row r="35" spans="1:34" s="15" customFormat="1">
      <c r="A35" s="13">
        <f t="shared" si="0"/>
        <v>30</v>
      </c>
      <c r="B35" s="69">
        <v>2047</v>
      </c>
      <c r="C35" s="214" t="s">
        <v>495</v>
      </c>
      <c r="D35" s="14">
        <f>'רשות החופים'!D35</f>
        <v>170000</v>
      </c>
      <c r="E35" s="14">
        <f>'רשות החופים'!E35</f>
        <v>0</v>
      </c>
      <c r="F35" s="14">
        <f>'רשות החופים'!F35</f>
        <v>170000</v>
      </c>
      <c r="G35" s="14">
        <f>'רשות החופים'!G35</f>
        <v>0</v>
      </c>
      <c r="H35" s="14">
        <f>'רשות החופים'!H35</f>
        <v>0</v>
      </c>
      <c r="I35" s="14">
        <f>'רשות החופים'!I35</f>
        <v>0</v>
      </c>
      <c r="J35" s="14">
        <f>'רשות החופים'!J35</f>
        <v>0</v>
      </c>
      <c r="K35" s="14">
        <f>'רשות החופים'!K35</f>
        <v>0</v>
      </c>
      <c r="L35" s="14">
        <f>'רשות החופים'!L35</f>
        <v>0</v>
      </c>
      <c r="M35" s="14">
        <f>'רשות החופים'!M35</f>
        <v>0</v>
      </c>
      <c r="N35" s="14">
        <f>'רשות החופים'!N35</f>
        <v>170000</v>
      </c>
      <c r="O35" s="14">
        <f>'רשות החופים'!O35</f>
        <v>0</v>
      </c>
      <c r="P35" s="14">
        <f>'רשות החופים'!P35</f>
        <v>0</v>
      </c>
      <c r="Q35" s="14">
        <f>'רשות החופים'!Q35</f>
        <v>0</v>
      </c>
      <c r="R35" s="14">
        <f>'רשות החופים'!R35</f>
        <v>0</v>
      </c>
      <c r="S35" s="14">
        <f>'רשות החופים'!S35</f>
        <v>0</v>
      </c>
      <c r="T35" s="14">
        <f>'רשות החופים'!T35</f>
        <v>0</v>
      </c>
      <c r="U35" s="14">
        <f>'רשות החופים'!U35</f>
        <v>170000</v>
      </c>
      <c r="V35" s="14">
        <f>'רשות החופים'!V35</f>
        <v>0</v>
      </c>
      <c r="W35" s="14">
        <f>'רשות החופים'!W35</f>
        <v>0</v>
      </c>
      <c r="X35" s="14">
        <f>'רשות החופים'!X35</f>
        <v>0</v>
      </c>
      <c r="Y35" s="14">
        <f>'רשות החופים'!Y35</f>
        <v>0</v>
      </c>
      <c r="Z35" s="14">
        <f>'רשות החופים'!Z35</f>
        <v>170000</v>
      </c>
      <c r="AA35" s="101">
        <f>'רשות החופים'!AA35</f>
        <v>747000</v>
      </c>
      <c r="AB35" s="216"/>
      <c r="AC35" s="112"/>
      <c r="AD35" s="57"/>
      <c r="AE35" s="55"/>
      <c r="AF35" s="57"/>
      <c r="AG35" s="57"/>
      <c r="AH35" s="57"/>
    </row>
    <row r="36" spans="1:34" s="15" customFormat="1">
      <c r="A36" s="13">
        <f t="shared" si="0"/>
        <v>31</v>
      </c>
      <c r="B36" s="69">
        <v>2048</v>
      </c>
      <c r="C36" s="214" t="s">
        <v>496</v>
      </c>
      <c r="D36" s="14">
        <f>'רשות החופים'!D36</f>
        <v>45000</v>
      </c>
      <c r="E36" s="14">
        <f>'רשות החופים'!E36</f>
        <v>0</v>
      </c>
      <c r="F36" s="14">
        <f>'רשות החופים'!F36</f>
        <v>45000</v>
      </c>
      <c r="G36" s="14">
        <f>'רשות החופים'!G36</f>
        <v>0</v>
      </c>
      <c r="H36" s="14">
        <f>'רשות החופים'!H36</f>
        <v>0</v>
      </c>
      <c r="I36" s="14">
        <f>'רשות החופים'!I36</f>
        <v>0</v>
      </c>
      <c r="J36" s="14">
        <f>'רשות החופים'!J36</f>
        <v>0</v>
      </c>
      <c r="K36" s="14">
        <f>'רשות החופים'!K36</f>
        <v>0</v>
      </c>
      <c r="L36" s="14">
        <f>'רשות החופים'!L36</f>
        <v>0</v>
      </c>
      <c r="M36" s="14">
        <f>'רשות החופים'!M36</f>
        <v>0</v>
      </c>
      <c r="N36" s="14">
        <f>'רשות החופים'!N36</f>
        <v>45000</v>
      </c>
      <c r="O36" s="14">
        <f>'רשות החופים'!O36</f>
        <v>0</v>
      </c>
      <c r="P36" s="14">
        <f>'רשות החופים'!P36</f>
        <v>0</v>
      </c>
      <c r="Q36" s="14">
        <f>'רשות החופים'!Q36</f>
        <v>0</v>
      </c>
      <c r="R36" s="14">
        <f>'רשות החופים'!R36</f>
        <v>0</v>
      </c>
      <c r="S36" s="14">
        <f>'רשות החופים'!S36</f>
        <v>0</v>
      </c>
      <c r="T36" s="14">
        <f>'רשות החופים'!T36</f>
        <v>0</v>
      </c>
      <c r="U36" s="14">
        <f>'רשות החופים'!U36</f>
        <v>45000</v>
      </c>
      <c r="V36" s="14">
        <f>'רשות החופים'!V36</f>
        <v>0</v>
      </c>
      <c r="W36" s="14">
        <f>'רשות החופים'!W36</f>
        <v>0</v>
      </c>
      <c r="X36" s="14">
        <f>'רשות החופים'!X36</f>
        <v>0</v>
      </c>
      <c r="Y36" s="14">
        <f>'רשות החופים'!Y36</f>
        <v>0</v>
      </c>
      <c r="Z36" s="14">
        <f>'רשות החופים'!Z36</f>
        <v>45000</v>
      </c>
      <c r="AA36" s="101">
        <f>'רשות החופים'!AA36</f>
        <v>747000</v>
      </c>
      <c r="AB36" s="216"/>
      <c r="AC36" s="112"/>
      <c r="AD36" s="57"/>
      <c r="AE36" s="55"/>
      <c r="AF36" s="57"/>
      <c r="AG36" s="57"/>
      <c r="AH36" s="57"/>
    </row>
    <row r="37" spans="1:34" s="15" customFormat="1">
      <c r="A37" s="13">
        <f t="shared" si="0"/>
        <v>32</v>
      </c>
      <c r="B37" s="69">
        <v>2049</v>
      </c>
      <c r="C37" s="214" t="s">
        <v>497</v>
      </c>
      <c r="D37" s="14">
        <f>'רשות החופים'!D37</f>
        <v>24500</v>
      </c>
      <c r="E37" s="14">
        <f>'רשות החופים'!E37</f>
        <v>0</v>
      </c>
      <c r="F37" s="14">
        <f>'רשות החופים'!F37</f>
        <v>24500</v>
      </c>
      <c r="G37" s="14">
        <f>'רשות החופים'!G37</f>
        <v>0</v>
      </c>
      <c r="H37" s="14">
        <f>'רשות החופים'!H37</f>
        <v>0</v>
      </c>
      <c r="I37" s="14">
        <f>'רשות החופים'!I37</f>
        <v>0</v>
      </c>
      <c r="J37" s="14">
        <f>'רשות החופים'!J37</f>
        <v>0</v>
      </c>
      <c r="K37" s="14">
        <f>'רשות החופים'!K37</f>
        <v>0</v>
      </c>
      <c r="L37" s="14">
        <f>'רשות החופים'!L37</f>
        <v>0</v>
      </c>
      <c r="M37" s="14">
        <f>'רשות החופים'!M37</f>
        <v>0</v>
      </c>
      <c r="N37" s="14">
        <f>'רשות החופים'!N37</f>
        <v>24500</v>
      </c>
      <c r="O37" s="14">
        <f>'רשות החופים'!O37</f>
        <v>0</v>
      </c>
      <c r="P37" s="14">
        <f>'רשות החופים'!P37</f>
        <v>0</v>
      </c>
      <c r="Q37" s="14">
        <f>'רשות החופים'!Q37</f>
        <v>0</v>
      </c>
      <c r="R37" s="14">
        <f>'רשות החופים'!R37</f>
        <v>0</v>
      </c>
      <c r="S37" s="14">
        <f>'רשות החופים'!S37</f>
        <v>0</v>
      </c>
      <c r="T37" s="14">
        <f>'רשות החופים'!T37</f>
        <v>0</v>
      </c>
      <c r="U37" s="14">
        <f>'רשות החופים'!U37</f>
        <v>24500</v>
      </c>
      <c r="V37" s="14">
        <f>'רשות החופים'!V37</f>
        <v>0</v>
      </c>
      <c r="W37" s="14">
        <f>'רשות החופים'!W37</f>
        <v>0</v>
      </c>
      <c r="X37" s="14">
        <f>'רשות החופים'!X37</f>
        <v>0</v>
      </c>
      <c r="Y37" s="14">
        <f>'רשות החופים'!Y37</f>
        <v>0</v>
      </c>
      <c r="Z37" s="14">
        <f>'רשות החופים'!Z37</f>
        <v>24500</v>
      </c>
      <c r="AA37" s="101">
        <f>'רשות החופים'!AA37</f>
        <v>747000</v>
      </c>
      <c r="AB37" s="216"/>
      <c r="AC37" s="112"/>
      <c r="AD37" s="57"/>
      <c r="AE37" s="55"/>
      <c r="AF37" s="57"/>
      <c r="AG37" s="57"/>
      <c r="AH37" s="57"/>
    </row>
    <row r="38" spans="1:34" s="15" customFormat="1">
      <c r="A38" s="13">
        <f t="shared" si="0"/>
        <v>33</v>
      </c>
      <c r="B38" s="69">
        <v>2050</v>
      </c>
      <c r="C38" s="214" t="s">
        <v>498</v>
      </c>
      <c r="D38" s="14">
        <f>'רשות החופים'!D38</f>
        <v>24500</v>
      </c>
      <c r="E38" s="14">
        <f>'רשות החופים'!E38</f>
        <v>0</v>
      </c>
      <c r="F38" s="14">
        <f>'רשות החופים'!F38</f>
        <v>24500</v>
      </c>
      <c r="G38" s="14">
        <f>'רשות החופים'!G38</f>
        <v>0</v>
      </c>
      <c r="H38" s="14">
        <f>'רשות החופים'!H38</f>
        <v>0</v>
      </c>
      <c r="I38" s="14">
        <f>'רשות החופים'!I38</f>
        <v>0</v>
      </c>
      <c r="J38" s="14">
        <f>'רשות החופים'!J38</f>
        <v>0</v>
      </c>
      <c r="K38" s="14">
        <f>'רשות החופים'!K38</f>
        <v>0</v>
      </c>
      <c r="L38" s="14">
        <f>'רשות החופים'!L38</f>
        <v>0</v>
      </c>
      <c r="M38" s="14">
        <f>'רשות החופים'!M38</f>
        <v>0</v>
      </c>
      <c r="N38" s="14">
        <f>'רשות החופים'!N38</f>
        <v>24500</v>
      </c>
      <c r="O38" s="14">
        <f>'רשות החופים'!O38</f>
        <v>0</v>
      </c>
      <c r="P38" s="14">
        <f>'רשות החופים'!P38</f>
        <v>0</v>
      </c>
      <c r="Q38" s="14">
        <f>'רשות החופים'!Q38</f>
        <v>0</v>
      </c>
      <c r="R38" s="14">
        <f>'רשות החופים'!R38</f>
        <v>0</v>
      </c>
      <c r="S38" s="14">
        <f>'רשות החופים'!S38</f>
        <v>0</v>
      </c>
      <c r="T38" s="14">
        <f>'רשות החופים'!T38</f>
        <v>0</v>
      </c>
      <c r="U38" s="14">
        <f>'רשות החופים'!U38</f>
        <v>24500</v>
      </c>
      <c r="V38" s="14">
        <f>'רשות החופים'!V38</f>
        <v>0</v>
      </c>
      <c r="W38" s="14">
        <f>'רשות החופים'!W38</f>
        <v>0</v>
      </c>
      <c r="X38" s="14">
        <f>'רשות החופים'!X38</f>
        <v>0</v>
      </c>
      <c r="Y38" s="14">
        <f>'רשות החופים'!Y38</f>
        <v>0</v>
      </c>
      <c r="Z38" s="14">
        <f>'רשות החופים'!Z38</f>
        <v>24500</v>
      </c>
      <c r="AA38" s="101">
        <f>'רשות החופים'!AA38</f>
        <v>747000</v>
      </c>
      <c r="AB38" s="216"/>
      <c r="AC38" s="112"/>
      <c r="AD38" s="57"/>
      <c r="AE38" s="55"/>
      <c r="AF38" s="57"/>
      <c r="AG38" s="57"/>
      <c r="AH38" s="57"/>
    </row>
    <row r="39" spans="1:34" s="99" customFormat="1" ht="15.75">
      <c r="A39" s="85">
        <f>A38</f>
        <v>33</v>
      </c>
      <c r="B39" s="85">
        <v>4</v>
      </c>
      <c r="C39" s="85" t="s">
        <v>1048</v>
      </c>
      <c r="D39" s="27">
        <f t="shared" ref="D39:Z39" si="1">SUM(D6:D38)</f>
        <v>13213000</v>
      </c>
      <c r="E39" s="27">
        <f t="shared" si="1"/>
        <v>9209000</v>
      </c>
      <c r="F39" s="27">
        <f t="shared" si="1"/>
        <v>4004000</v>
      </c>
      <c r="G39" s="27">
        <f t="shared" si="1"/>
        <v>7179000</v>
      </c>
      <c r="H39" s="27">
        <f t="shared" si="1"/>
        <v>6083098.8599999994</v>
      </c>
      <c r="I39" s="27">
        <f t="shared" si="1"/>
        <v>0</v>
      </c>
      <c r="J39" s="27">
        <f t="shared" si="1"/>
        <v>413078.86</v>
      </c>
      <c r="K39" s="27">
        <f t="shared" si="1"/>
        <v>413078.86</v>
      </c>
      <c r="L39" s="27">
        <f t="shared" si="1"/>
        <v>6496177.7199999997</v>
      </c>
      <c r="M39" s="27">
        <f t="shared" si="1"/>
        <v>682822.2799999998</v>
      </c>
      <c r="N39" s="27">
        <f t="shared" si="1"/>
        <v>2734000</v>
      </c>
      <c r="O39" s="27">
        <f t="shared" si="1"/>
        <v>3300000</v>
      </c>
      <c r="P39" s="27">
        <f t="shared" si="1"/>
        <v>682822.2799999998</v>
      </c>
      <c r="Q39" s="27">
        <f t="shared" si="1"/>
        <v>0</v>
      </c>
      <c r="R39" s="27">
        <f t="shared" si="1"/>
        <v>0</v>
      </c>
      <c r="S39" s="27">
        <f t="shared" si="1"/>
        <v>0</v>
      </c>
      <c r="T39" s="27">
        <f t="shared" si="1"/>
        <v>0</v>
      </c>
      <c r="U39" s="27">
        <f t="shared" si="1"/>
        <v>2734000</v>
      </c>
      <c r="V39" s="27">
        <f t="shared" si="1"/>
        <v>0</v>
      </c>
      <c r="W39" s="27">
        <f t="shared" si="1"/>
        <v>2130000</v>
      </c>
      <c r="X39" s="27">
        <f t="shared" si="1"/>
        <v>0</v>
      </c>
      <c r="Y39" s="27">
        <f t="shared" si="1"/>
        <v>0</v>
      </c>
      <c r="Z39" s="27">
        <f t="shared" si="1"/>
        <v>604000</v>
      </c>
      <c r="AA39" s="126"/>
      <c r="AB39" s="68">
        <f>SUM(AB6:AB30)</f>
        <v>0</v>
      </c>
      <c r="AC39" s="113"/>
      <c r="AD39" s="106"/>
      <c r="AE39" s="106"/>
      <c r="AF39" s="106"/>
      <c r="AG39" s="106"/>
      <c r="AH39" s="106"/>
    </row>
    <row r="40" spans="1:34" s="15" customFormat="1" ht="15.75">
      <c r="A40" s="13"/>
      <c r="B40" s="13"/>
      <c r="C40" s="85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01"/>
      <c r="AB40" s="22"/>
      <c r="AC40" s="112"/>
      <c r="AD40" s="57"/>
      <c r="AE40" s="57"/>
      <c r="AF40" s="57"/>
      <c r="AG40" s="57"/>
      <c r="AH40" s="57"/>
    </row>
    <row r="41" spans="1:34">
      <c r="U41" s="42"/>
      <c r="V41" s="105"/>
      <c r="W41" s="105"/>
      <c r="X41" s="105"/>
      <c r="Y41" s="105"/>
      <c r="Z41" s="757"/>
      <c r="AB41" s="212"/>
    </row>
    <row r="42" spans="1:34">
      <c r="U42" s="42"/>
      <c r="V42" s="105"/>
      <c r="W42" s="105"/>
      <c r="X42" s="105"/>
      <c r="Y42" s="105"/>
      <c r="Z42" s="757"/>
      <c r="AB42" s="212"/>
    </row>
    <row r="43" spans="1:34">
      <c r="A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</row>
    <row r="44" spans="1:34">
      <c r="A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U44" s="42"/>
      <c r="W44" s="105"/>
      <c r="Z44" s="757"/>
      <c r="AB44" s="212"/>
    </row>
    <row r="45" spans="1:34">
      <c r="A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U45" s="42"/>
      <c r="W45" s="105"/>
      <c r="Z45" s="757"/>
      <c r="AB45" s="212"/>
    </row>
    <row r="46" spans="1:34">
      <c r="A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O46" s="29"/>
      <c r="U46" s="42"/>
      <c r="W46" s="105"/>
      <c r="Z46" s="757"/>
      <c r="AB46" s="212"/>
    </row>
    <row r="47" spans="1:34">
      <c r="A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U47" s="42"/>
      <c r="W47" s="105"/>
      <c r="Z47" s="757"/>
      <c r="AB47" s="212"/>
    </row>
    <row r="48" spans="1:34">
      <c r="A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U48" s="42"/>
      <c r="W48" s="105"/>
      <c r="Z48" s="757"/>
      <c r="AB48" s="212"/>
    </row>
    <row r="49" spans="1:28">
      <c r="A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U49" s="42"/>
      <c r="W49" s="105"/>
      <c r="Z49" s="757"/>
      <c r="AB49" s="212"/>
    </row>
    <row r="50" spans="1:28">
      <c r="A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U50" s="42"/>
      <c r="W50" s="105"/>
      <c r="Z50" s="757"/>
      <c r="AB50" s="212"/>
    </row>
    <row r="51" spans="1:28">
      <c r="A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U51" s="42"/>
      <c r="W51" s="105"/>
      <c r="Z51" s="757"/>
      <c r="AB51" s="212"/>
    </row>
    <row r="52" spans="1:28">
      <c r="A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U52" s="42"/>
      <c r="W52" s="105"/>
      <c r="Z52" s="757"/>
      <c r="AB52" s="212"/>
    </row>
    <row r="53" spans="1:28">
      <c r="A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R53" s="29"/>
      <c r="S53" s="29"/>
    </row>
    <row r="54" spans="1:28">
      <c r="A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28">
      <c r="A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8" spans="1:28">
      <c r="A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O58" s="31" t="s">
        <v>188</v>
      </c>
      <c r="R58" s="31" t="s">
        <v>188</v>
      </c>
      <c r="S58" s="31" t="s">
        <v>365</v>
      </c>
    </row>
    <row r="59" spans="1:28">
      <c r="A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O59" s="31" t="s">
        <v>364</v>
      </c>
      <c r="Q59" s="31">
        <v>25000</v>
      </c>
      <c r="R59" s="31">
        <v>160000</v>
      </c>
    </row>
    <row r="60" spans="1:28">
      <c r="A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R60" s="31" t="e">
        <f>#REF!</f>
        <v>#REF!</v>
      </c>
      <c r="S60" s="31" t="s">
        <v>373</v>
      </c>
    </row>
    <row r="61" spans="1:28">
      <c r="A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31" t="e">
        <f>SUM(R59:R60)</f>
        <v>#REF!</v>
      </c>
      <c r="S61" s="29"/>
      <c r="T61" s="29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8"/>
  <sheetViews>
    <sheetView rightToLeft="1" topLeftCell="A4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A3" s="708"/>
      <c r="C3" s="710" t="s">
        <v>1012</v>
      </c>
      <c r="D3" s="708"/>
      <c r="E3" s="708"/>
      <c r="F3" s="708"/>
      <c r="G3" s="708"/>
      <c r="H3" s="708"/>
      <c r="I3" s="708"/>
      <c r="J3" s="708"/>
      <c r="K3" s="708"/>
      <c r="L3" s="708"/>
    </row>
    <row r="4" spans="1:17" ht="20.25">
      <c r="A4" s="708"/>
      <c r="C4" s="710"/>
      <c r="D4" s="708"/>
      <c r="E4" s="708"/>
      <c r="F4" s="708"/>
      <c r="G4" s="708"/>
      <c r="H4" s="708"/>
      <c r="I4" s="708"/>
      <c r="J4" s="708"/>
      <c r="K4" s="708"/>
      <c r="L4" s="708"/>
    </row>
    <row r="5" spans="1:17" ht="20.25">
      <c r="A5" s="708"/>
      <c r="C5" s="710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</row>
    <row r="7" spans="1:17" ht="16.5" thickBot="1">
      <c r="A7" s="708"/>
      <c r="B7" s="711" t="s">
        <v>455</v>
      </c>
      <c r="C7" s="708" t="s">
        <v>1015</v>
      </c>
      <c r="D7" s="708"/>
      <c r="E7" s="708"/>
      <c r="F7" s="712">
        <f>'איכות הסביבה'!U18</f>
        <v>3211058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1152</v>
      </c>
      <c r="D9" s="708"/>
      <c r="F9" s="736">
        <f>'איכות הסביבה'!A18</f>
        <v>12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F10" s="714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/>
      <c r="C11" s="708"/>
      <c r="D11" s="708"/>
      <c r="F11" s="714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B12" s="711" t="s">
        <v>455</v>
      </c>
      <c r="C12" s="708" t="s">
        <v>972</v>
      </c>
      <c r="D12" s="708"/>
      <c r="E12" s="708"/>
      <c r="F12" s="708"/>
      <c r="G12" s="708"/>
      <c r="H12" s="708"/>
      <c r="I12" s="708"/>
      <c r="J12" s="708"/>
      <c r="K12" s="708"/>
      <c r="L12" s="708"/>
    </row>
    <row r="13" spans="1:17" ht="16.5" thickBot="1"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D14" s="737" t="s">
        <v>973</v>
      </c>
      <c r="E14" s="738" t="s">
        <v>974</v>
      </c>
      <c r="F14" s="739" t="s">
        <v>987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13</v>
      </c>
      <c r="E15" s="740">
        <f>'איכות הסביבה'!V18</f>
        <v>1300000</v>
      </c>
      <c r="F15" s="749">
        <f>E15/$E$18</f>
        <v>0.40485098680870918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14</v>
      </c>
      <c r="E16" s="740">
        <f>'איכות הסביבה'!W18</f>
        <v>850000</v>
      </c>
      <c r="F16" s="749">
        <f>E16/$E$18</f>
        <v>0.26471026060569447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5.75">
      <c r="C17" s="711"/>
      <c r="D17" s="715" t="s">
        <v>184</v>
      </c>
      <c r="E17" s="740">
        <f>'איכות הסביבה'!Z18</f>
        <v>1061058</v>
      </c>
      <c r="F17" s="749">
        <f>E17/$E$18</f>
        <v>0.33043875258559641</v>
      </c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6.5" thickBot="1">
      <c r="C18" s="711"/>
      <c r="D18" s="718" t="s">
        <v>208</v>
      </c>
      <c r="E18" s="742">
        <f>SUM(E15:E17)</f>
        <v>3211058</v>
      </c>
      <c r="F18" s="326">
        <f>SUM(F15:F17)</f>
        <v>1</v>
      </c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C19" s="711"/>
      <c r="D19" s="714"/>
      <c r="E19" s="752"/>
      <c r="F19" s="756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C20" s="711"/>
      <c r="D20" s="714"/>
      <c r="E20" s="752"/>
      <c r="F20" s="756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C21" s="711"/>
      <c r="D21" s="714"/>
      <c r="E21" s="752"/>
      <c r="F21" s="756"/>
      <c r="G21" s="708"/>
      <c r="H21" s="708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B22" s="711" t="s">
        <v>455</v>
      </c>
      <c r="C22" s="708" t="s">
        <v>995</v>
      </c>
      <c r="D22" s="708"/>
      <c r="F22" s="708"/>
      <c r="H22" s="717"/>
      <c r="I22" s="708"/>
      <c r="J22" s="708"/>
      <c r="K22" s="708"/>
      <c r="L22" s="708"/>
      <c r="M22" s="708"/>
      <c r="N22" s="708"/>
      <c r="O22" s="708"/>
      <c r="P22" s="708"/>
      <c r="Q22" s="708"/>
    </row>
    <row r="23" spans="2:17" ht="15.75">
      <c r="B23" s="711"/>
      <c r="C23" s="708"/>
      <c r="D23" s="708" t="s">
        <v>1085</v>
      </c>
      <c r="E23" s="708"/>
      <c r="F23" s="708"/>
      <c r="G23" s="708"/>
      <c r="H23" s="708"/>
      <c r="I23" s="708"/>
      <c r="J23" s="708"/>
      <c r="K23" s="708"/>
      <c r="L23" s="708"/>
    </row>
    <row r="24" spans="2:17" ht="15.75">
      <c r="B24" s="708"/>
      <c r="C24" s="708"/>
      <c r="D24" s="708" t="s">
        <v>1086</v>
      </c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2:17" ht="15.75">
      <c r="B25" s="711"/>
      <c r="C25" s="708"/>
      <c r="D25" s="708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</row>
    <row r="26" spans="2:17" ht="15.75">
      <c r="C26" s="708"/>
      <c r="D26" s="708"/>
      <c r="E26" s="708"/>
      <c r="F26" s="708"/>
      <c r="H26" s="708"/>
      <c r="I26" s="708"/>
      <c r="J26" s="708"/>
      <c r="K26" s="708"/>
      <c r="L26" s="708"/>
    </row>
    <row r="27" spans="2:17" ht="15.75">
      <c r="B27" s="711"/>
      <c r="C27" s="708"/>
      <c r="D27" s="708"/>
      <c r="E27" s="708"/>
      <c r="F27" s="708"/>
      <c r="G27" s="708"/>
      <c r="H27" s="708"/>
      <c r="I27" s="708"/>
      <c r="J27" s="708"/>
      <c r="K27" s="708"/>
      <c r="L27" s="708"/>
      <c r="M27" s="708"/>
      <c r="N27" s="708"/>
      <c r="O27" s="708"/>
      <c r="P27" s="708"/>
      <c r="Q27" s="708"/>
    </row>
    <row r="28" spans="2:17" ht="15.75">
      <c r="B28" s="711"/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G47"/>
  <sheetViews>
    <sheetView showZeros="0" rightToLeft="1" zoomScaleNormal="100" workbookViewId="0">
      <pane xSplit="5" ySplit="4" topLeftCell="F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customWidth="1"/>
    <col min="6" max="6" width="10.5703125" style="3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1.140625" style="31" customWidth="1"/>
    <col min="13" max="13" width="10.5703125" style="31" customWidth="1"/>
    <col min="14" max="14" width="10.42578125" style="31" customWidth="1"/>
    <col min="15" max="15" width="11.42578125" style="31" customWidth="1"/>
    <col min="16" max="17" width="11.140625" style="31" hidden="1" customWidth="1"/>
    <col min="18" max="18" width="9.7109375" style="31" hidden="1" customWidth="1"/>
    <col min="19" max="19" width="10.28515625" style="31" hidden="1" customWidth="1"/>
    <col min="20" max="20" width="11.140625" style="31" hidden="1" customWidth="1"/>
    <col min="21" max="21" width="10" style="29" customWidth="1"/>
    <col min="22" max="22" width="10.28515625" style="29" customWidth="1"/>
    <col min="23" max="23" width="9.7109375" style="29" customWidth="1"/>
    <col min="24" max="25" width="5.28515625" style="29" hidden="1" customWidth="1"/>
    <col min="26" max="26" width="10" style="31" customWidth="1"/>
    <col min="27" max="27" width="7.85546875" style="29" hidden="1" customWidth="1"/>
    <col min="28" max="28" width="9" style="82" bestFit="1" customWidth="1"/>
    <col min="29" max="30" width="9.140625" style="37" customWidth="1"/>
    <col min="31" max="31" width="1.5703125" style="37" customWidth="1"/>
    <col min="32" max="33" width="9.140625" style="37" customWidth="1"/>
    <col min="34" max="16384" width="9.140625" style="29"/>
  </cols>
  <sheetData>
    <row r="2" spans="1:33" s="65" customFormat="1" ht="18.75">
      <c r="A2" s="194" t="s">
        <v>188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B2" s="110"/>
      <c r="AC2" s="59"/>
      <c r="AD2" s="59"/>
      <c r="AE2" s="59"/>
      <c r="AF2" s="59"/>
      <c r="AG2" s="59"/>
    </row>
    <row r="4" spans="1:33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1" t="s">
        <v>184</v>
      </c>
      <c r="AA4" s="93" t="s">
        <v>16</v>
      </c>
      <c r="AB4" s="111"/>
    </row>
    <row r="5" spans="1:33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112"/>
      <c r="AC5" s="57"/>
      <c r="AD5" s="57"/>
      <c r="AE5" s="57"/>
      <c r="AF5" s="57"/>
      <c r="AG5" s="57"/>
    </row>
    <row r="6" spans="1:33" s="15" customFormat="1">
      <c r="A6" s="13">
        <v>1</v>
      </c>
      <c r="B6" s="13">
        <v>135</v>
      </c>
      <c r="C6" s="13" t="s">
        <v>127</v>
      </c>
      <c r="D6" s="14">
        <v>4582000</v>
      </c>
      <c r="E6" s="14">
        <v>4582000</v>
      </c>
      <c r="F6" s="14">
        <f t="shared" ref="F6:F17" si="0">D6-E6</f>
        <v>0</v>
      </c>
      <c r="G6" s="14">
        <v>1233000</v>
      </c>
      <c r="H6" s="14">
        <v>1097952.73</v>
      </c>
      <c r="I6" s="14"/>
      <c r="J6" s="14"/>
      <c r="K6" s="14">
        <f t="shared" ref="K6:K17" si="1">I6+J6</f>
        <v>0</v>
      </c>
      <c r="L6" s="14">
        <f t="shared" ref="L6:L17" si="2">H6+K6</f>
        <v>1097952.73</v>
      </c>
      <c r="M6" s="14">
        <f t="shared" ref="M6:M17" si="3">P6+S6</f>
        <v>135047.27000000002</v>
      </c>
      <c r="N6" s="14"/>
      <c r="O6" s="14">
        <f t="shared" ref="O6:O17" si="4">D6-L6-M6-N6</f>
        <v>3349000</v>
      </c>
      <c r="P6" s="14">
        <f t="shared" ref="P6:P17" si="5">G6-L6</f>
        <v>135047.27000000002</v>
      </c>
      <c r="Q6" s="14"/>
      <c r="R6" s="14"/>
      <c r="S6" s="14">
        <f t="shared" ref="S6:S17" si="6">SUM(Q6:R6)</f>
        <v>0</v>
      </c>
      <c r="T6" s="14">
        <f t="shared" ref="T6:T17" si="7">P6-M6+S6</f>
        <v>0</v>
      </c>
      <c r="U6" s="14">
        <f t="shared" ref="U6:U17" si="8">N6-T6</f>
        <v>0</v>
      </c>
      <c r="V6" s="14"/>
      <c r="W6" s="14">
        <f>U6-V6-Y6-Z6</f>
        <v>0</v>
      </c>
      <c r="X6" s="14"/>
      <c r="Y6" s="14"/>
      <c r="Z6" s="14"/>
      <c r="AA6" s="101">
        <v>747000</v>
      </c>
      <c r="AB6" s="112"/>
      <c r="AC6" s="55"/>
      <c r="AD6" s="57"/>
      <c r="AE6" s="57"/>
      <c r="AF6" s="57"/>
      <c r="AG6" s="57"/>
    </row>
    <row r="7" spans="1:33" s="15" customFormat="1">
      <c r="A7" s="13">
        <f>A6+1</f>
        <v>2</v>
      </c>
      <c r="B7" s="13">
        <v>1134</v>
      </c>
      <c r="C7" s="13" t="s">
        <v>128</v>
      </c>
      <c r="D7" s="14">
        <v>2700000</v>
      </c>
      <c r="E7" s="14">
        <v>2535000</v>
      </c>
      <c r="F7" s="14">
        <f t="shared" si="0"/>
        <v>165000</v>
      </c>
      <c r="G7" s="14">
        <v>2495000</v>
      </c>
      <c r="H7" s="14">
        <v>2243260.7999999998</v>
      </c>
      <c r="I7" s="14"/>
      <c r="J7" s="14">
        <v>22156.93</v>
      </c>
      <c r="K7" s="14">
        <f t="shared" si="1"/>
        <v>22156.93</v>
      </c>
      <c r="L7" s="14">
        <f t="shared" si="2"/>
        <v>2265417.73</v>
      </c>
      <c r="M7" s="14">
        <f t="shared" si="3"/>
        <v>229582.27000000002</v>
      </c>
      <c r="N7" s="14"/>
      <c r="O7" s="14">
        <f t="shared" si="4"/>
        <v>205000</v>
      </c>
      <c r="P7" s="14">
        <f t="shared" si="5"/>
        <v>229582.27000000002</v>
      </c>
      <c r="Q7" s="14"/>
      <c r="R7" s="14"/>
      <c r="S7" s="14">
        <f t="shared" si="6"/>
        <v>0</v>
      </c>
      <c r="T7" s="14">
        <f t="shared" si="7"/>
        <v>0</v>
      </c>
      <c r="U7" s="14">
        <f t="shared" si="8"/>
        <v>0</v>
      </c>
      <c r="V7" s="14"/>
      <c r="W7" s="14">
        <f>U7-V7-Y7-Z7</f>
        <v>0</v>
      </c>
      <c r="X7" s="14"/>
      <c r="Y7" s="14"/>
      <c r="Z7" s="14"/>
      <c r="AA7" s="101">
        <v>746000</v>
      </c>
      <c r="AB7" s="112"/>
      <c r="AC7" s="55"/>
      <c r="AD7" s="57"/>
      <c r="AE7" s="57"/>
      <c r="AF7" s="57"/>
      <c r="AG7" s="57"/>
    </row>
    <row r="8" spans="1:33" s="15" customFormat="1">
      <c r="A8" s="13">
        <f t="shared" ref="A8:A17" si="9">A7+1</f>
        <v>3</v>
      </c>
      <c r="B8" s="13">
        <v>1345</v>
      </c>
      <c r="C8" s="13" t="s">
        <v>129</v>
      </c>
      <c r="D8" s="14">
        <v>1739000</v>
      </c>
      <c r="E8" s="14">
        <v>1739000</v>
      </c>
      <c r="F8" s="14">
        <f t="shared" si="0"/>
        <v>0</v>
      </c>
      <c r="G8" s="14">
        <v>765000</v>
      </c>
      <c r="H8" s="14">
        <v>672961.6</v>
      </c>
      <c r="I8" s="14"/>
      <c r="J8" s="14">
        <v>59395.5</v>
      </c>
      <c r="K8" s="14">
        <f t="shared" si="1"/>
        <v>59395.5</v>
      </c>
      <c r="L8" s="14">
        <f t="shared" si="2"/>
        <v>732357.1</v>
      </c>
      <c r="M8" s="14">
        <f t="shared" si="3"/>
        <v>32642.900000000023</v>
      </c>
      <c r="N8" s="14">
        <v>150000</v>
      </c>
      <c r="O8" s="14">
        <f t="shared" si="4"/>
        <v>824000</v>
      </c>
      <c r="P8" s="14">
        <f t="shared" si="5"/>
        <v>32642.900000000023</v>
      </c>
      <c r="Q8" s="14"/>
      <c r="R8" s="14"/>
      <c r="S8" s="14">
        <f t="shared" si="6"/>
        <v>0</v>
      </c>
      <c r="T8" s="14">
        <f t="shared" si="7"/>
        <v>0</v>
      </c>
      <c r="U8" s="14">
        <f t="shared" si="8"/>
        <v>150000</v>
      </c>
      <c r="V8" s="14"/>
      <c r="W8" s="14">
        <f t="shared" ref="W8:W16" si="10">U8-V8-Y8-Z8</f>
        <v>150000</v>
      </c>
      <c r="X8" s="14"/>
      <c r="Y8" s="14"/>
      <c r="Z8" s="14"/>
      <c r="AA8" s="101">
        <v>870000</v>
      </c>
      <c r="AB8" s="112"/>
      <c r="AC8" s="55"/>
      <c r="AD8" s="57"/>
      <c r="AE8" s="57"/>
      <c r="AF8" s="57"/>
      <c r="AG8" s="57"/>
    </row>
    <row r="9" spans="1:33" s="15" customFormat="1">
      <c r="A9" s="13">
        <f t="shared" si="9"/>
        <v>4</v>
      </c>
      <c r="B9" s="13">
        <v>1566</v>
      </c>
      <c r="C9" s="13" t="s">
        <v>130</v>
      </c>
      <c r="D9" s="14">
        <v>700000</v>
      </c>
      <c r="E9" s="14">
        <v>700000</v>
      </c>
      <c r="F9" s="14"/>
      <c r="G9" s="14">
        <v>700000</v>
      </c>
      <c r="H9" s="14">
        <v>681473.26</v>
      </c>
      <c r="I9" s="14"/>
      <c r="J9" s="14">
        <v>4377</v>
      </c>
      <c r="K9" s="14">
        <f t="shared" si="1"/>
        <v>4377</v>
      </c>
      <c r="L9" s="14">
        <f t="shared" si="2"/>
        <v>685850.26</v>
      </c>
      <c r="M9" s="14">
        <f t="shared" si="3"/>
        <v>14149.739999999991</v>
      </c>
      <c r="N9" s="14"/>
      <c r="O9" s="14">
        <f t="shared" si="4"/>
        <v>0</v>
      </c>
      <c r="P9" s="14">
        <f t="shared" si="5"/>
        <v>14149.739999999991</v>
      </c>
      <c r="Q9" s="14"/>
      <c r="R9" s="14"/>
      <c r="S9" s="14">
        <f t="shared" si="6"/>
        <v>0</v>
      </c>
      <c r="T9" s="14">
        <f t="shared" si="7"/>
        <v>0</v>
      </c>
      <c r="U9" s="14">
        <f t="shared" si="8"/>
        <v>0</v>
      </c>
      <c r="V9" s="14"/>
      <c r="W9" s="14">
        <f t="shared" si="10"/>
        <v>0</v>
      </c>
      <c r="X9" s="14"/>
      <c r="Y9" s="14"/>
      <c r="Z9" s="14"/>
      <c r="AA9" s="101">
        <v>870000</v>
      </c>
      <c r="AB9" s="112"/>
      <c r="AC9" s="55"/>
      <c r="AD9" s="57"/>
      <c r="AE9" s="57"/>
      <c r="AF9" s="57"/>
      <c r="AG9" s="57"/>
    </row>
    <row r="10" spans="1:33" s="15" customFormat="1">
      <c r="A10" s="13">
        <f t="shared" si="9"/>
        <v>5</v>
      </c>
      <c r="B10" s="13">
        <v>1579</v>
      </c>
      <c r="C10" s="13" t="s">
        <v>131</v>
      </c>
      <c r="D10" s="14">
        <v>170000</v>
      </c>
      <c r="E10" s="14">
        <v>170000</v>
      </c>
      <c r="F10" s="14">
        <f t="shared" si="0"/>
        <v>0</v>
      </c>
      <c r="G10" s="14">
        <v>170000</v>
      </c>
      <c r="H10" s="14">
        <v>140763.65</v>
      </c>
      <c r="I10" s="14"/>
      <c r="J10" s="14">
        <v>5878.61</v>
      </c>
      <c r="K10" s="14">
        <f t="shared" si="1"/>
        <v>5878.61</v>
      </c>
      <c r="L10" s="14">
        <f t="shared" si="2"/>
        <v>146642.25999999998</v>
      </c>
      <c r="M10" s="14">
        <f t="shared" si="3"/>
        <v>23357.74000000002</v>
      </c>
      <c r="N10" s="14"/>
      <c r="O10" s="14">
        <f t="shared" si="4"/>
        <v>0</v>
      </c>
      <c r="P10" s="14">
        <f t="shared" si="5"/>
        <v>23357.74000000002</v>
      </c>
      <c r="Q10" s="14"/>
      <c r="R10" s="14"/>
      <c r="S10" s="14">
        <f t="shared" si="6"/>
        <v>0</v>
      </c>
      <c r="T10" s="14">
        <f t="shared" si="7"/>
        <v>0</v>
      </c>
      <c r="U10" s="14">
        <f t="shared" si="8"/>
        <v>0</v>
      </c>
      <c r="V10" s="14"/>
      <c r="W10" s="14">
        <f t="shared" si="10"/>
        <v>0</v>
      </c>
      <c r="X10" s="14"/>
      <c r="Y10" s="14"/>
      <c r="Z10" s="14"/>
      <c r="AA10" s="101">
        <v>870000</v>
      </c>
      <c r="AB10" s="112"/>
      <c r="AC10" s="55"/>
      <c r="AD10" s="57"/>
      <c r="AE10" s="57"/>
      <c r="AF10" s="57"/>
      <c r="AG10" s="57"/>
    </row>
    <row r="11" spans="1:33" s="15" customFormat="1">
      <c r="A11" s="13">
        <f t="shared" si="9"/>
        <v>6</v>
      </c>
      <c r="B11" s="13">
        <v>1598</v>
      </c>
      <c r="C11" s="13" t="s">
        <v>132</v>
      </c>
      <c r="D11" s="14">
        <f>384500+30000</f>
        <v>414500</v>
      </c>
      <c r="E11" s="14">
        <v>284500</v>
      </c>
      <c r="F11" s="14">
        <f t="shared" si="0"/>
        <v>130000</v>
      </c>
      <c r="G11" s="14">
        <v>284500</v>
      </c>
      <c r="H11" s="14">
        <v>136323.66</v>
      </c>
      <c r="I11" s="14"/>
      <c r="J11" s="14">
        <v>88053.48</v>
      </c>
      <c r="K11" s="14">
        <f t="shared" si="1"/>
        <v>88053.48</v>
      </c>
      <c r="L11" s="14">
        <f t="shared" si="2"/>
        <v>224377.14</v>
      </c>
      <c r="M11" s="14">
        <f t="shared" si="3"/>
        <v>60122.859999999986</v>
      </c>
      <c r="N11" s="14">
        <f>100000+30000</f>
        <v>130000</v>
      </c>
      <c r="O11" s="14">
        <f t="shared" si="4"/>
        <v>0</v>
      </c>
      <c r="P11" s="14">
        <f t="shared" si="5"/>
        <v>60122.859999999986</v>
      </c>
      <c r="Q11" s="14"/>
      <c r="R11" s="14"/>
      <c r="S11" s="14">
        <f t="shared" si="6"/>
        <v>0</v>
      </c>
      <c r="T11" s="14">
        <f t="shared" si="7"/>
        <v>0</v>
      </c>
      <c r="U11" s="14">
        <f t="shared" si="8"/>
        <v>130000</v>
      </c>
      <c r="V11" s="14"/>
      <c r="W11" s="14">
        <f t="shared" si="10"/>
        <v>130000</v>
      </c>
      <c r="X11" s="14"/>
      <c r="Y11" s="14"/>
      <c r="Z11" s="14"/>
      <c r="AA11" s="101">
        <v>870000</v>
      </c>
      <c r="AB11" s="112"/>
      <c r="AC11" s="55"/>
      <c r="AD11" s="57"/>
      <c r="AE11" s="57"/>
      <c r="AF11" s="57"/>
      <c r="AG11" s="57"/>
    </row>
    <row r="12" spans="1:33" s="15" customFormat="1">
      <c r="A12" s="13">
        <f t="shared" si="9"/>
        <v>7</v>
      </c>
      <c r="B12" s="13">
        <v>1685</v>
      </c>
      <c r="C12" s="13" t="s">
        <v>133</v>
      </c>
      <c r="D12" s="14">
        <v>180000</v>
      </c>
      <c r="E12" s="14">
        <v>180000</v>
      </c>
      <c r="F12" s="14">
        <f t="shared" si="0"/>
        <v>0</v>
      </c>
      <c r="G12" s="14">
        <v>180000</v>
      </c>
      <c r="H12" s="14">
        <v>87165</v>
      </c>
      <c r="I12" s="14"/>
      <c r="J12" s="14"/>
      <c r="K12" s="14">
        <f t="shared" si="1"/>
        <v>0</v>
      </c>
      <c r="L12" s="14">
        <f t="shared" si="2"/>
        <v>87165</v>
      </c>
      <c r="M12" s="14">
        <f t="shared" si="3"/>
        <v>92835</v>
      </c>
      <c r="N12" s="14"/>
      <c r="O12" s="14">
        <f t="shared" si="4"/>
        <v>0</v>
      </c>
      <c r="P12" s="14">
        <f t="shared" si="5"/>
        <v>92835</v>
      </c>
      <c r="Q12" s="14"/>
      <c r="R12" s="14"/>
      <c r="S12" s="14">
        <f t="shared" si="6"/>
        <v>0</v>
      </c>
      <c r="T12" s="14">
        <f t="shared" si="7"/>
        <v>0</v>
      </c>
      <c r="U12" s="14">
        <f t="shared" si="8"/>
        <v>0</v>
      </c>
      <c r="V12" s="14"/>
      <c r="W12" s="14">
        <f t="shared" si="10"/>
        <v>0</v>
      </c>
      <c r="X12" s="14"/>
      <c r="Y12" s="14"/>
      <c r="Z12" s="14"/>
      <c r="AA12" s="101">
        <v>870000</v>
      </c>
      <c r="AB12" s="112"/>
      <c r="AC12" s="55"/>
      <c r="AD12" s="57"/>
      <c r="AE12" s="57"/>
      <c r="AF12" s="57"/>
      <c r="AG12" s="57"/>
    </row>
    <row r="13" spans="1:33" s="15" customFormat="1">
      <c r="A13" s="13">
        <f t="shared" si="9"/>
        <v>8</v>
      </c>
      <c r="B13" s="13">
        <v>1831</v>
      </c>
      <c r="C13" s="13" t="s">
        <v>314</v>
      </c>
      <c r="D13" s="14">
        <f>146059+20000</f>
        <v>166059</v>
      </c>
      <c r="E13" s="14">
        <v>146059</v>
      </c>
      <c r="F13" s="14">
        <f t="shared" si="0"/>
        <v>20000</v>
      </c>
      <c r="G13" s="14">
        <v>50000</v>
      </c>
      <c r="H13" s="14">
        <f>-46976+85001</f>
        <v>38025</v>
      </c>
      <c r="I13" s="14"/>
      <c r="J13" s="14"/>
      <c r="K13" s="14">
        <f t="shared" si="1"/>
        <v>0</v>
      </c>
      <c r="L13" s="14">
        <f t="shared" si="2"/>
        <v>38025</v>
      </c>
      <c r="M13" s="14">
        <f t="shared" si="3"/>
        <v>46976</v>
      </c>
      <c r="N13" s="14">
        <f>20000+146059-85001</f>
        <v>81058</v>
      </c>
      <c r="O13" s="14">
        <f t="shared" si="4"/>
        <v>0</v>
      </c>
      <c r="P13" s="14">
        <f t="shared" si="5"/>
        <v>11975</v>
      </c>
      <c r="Q13" s="14">
        <v>35001</v>
      </c>
      <c r="R13" s="14"/>
      <c r="S13" s="14">
        <f t="shared" si="6"/>
        <v>35001</v>
      </c>
      <c r="T13" s="14">
        <f t="shared" si="7"/>
        <v>0</v>
      </c>
      <c r="U13" s="14">
        <f t="shared" si="8"/>
        <v>81058</v>
      </c>
      <c r="V13" s="14"/>
      <c r="W13" s="14">
        <f t="shared" si="10"/>
        <v>20000</v>
      </c>
      <c r="X13" s="14"/>
      <c r="Y13" s="14"/>
      <c r="Z13" s="14">
        <f>146059-85001</f>
        <v>61058</v>
      </c>
      <c r="AA13" s="101">
        <v>870000</v>
      </c>
      <c r="AB13" s="112"/>
      <c r="AC13" s="210"/>
      <c r="AD13" s="57"/>
      <c r="AE13" s="57"/>
      <c r="AF13" s="57"/>
      <c r="AG13" s="57"/>
    </row>
    <row r="14" spans="1:33" s="15" customFormat="1">
      <c r="A14" s="13">
        <f t="shared" si="9"/>
        <v>9</v>
      </c>
      <c r="B14" s="13">
        <v>1866</v>
      </c>
      <c r="C14" s="13" t="s">
        <v>329</v>
      </c>
      <c r="D14" s="14">
        <v>300000</v>
      </c>
      <c r="E14" s="14">
        <v>300000</v>
      </c>
      <c r="F14" s="14">
        <f t="shared" si="0"/>
        <v>0</v>
      </c>
      <c r="G14" s="14">
        <v>150000</v>
      </c>
      <c r="H14" s="14">
        <v>47503.39</v>
      </c>
      <c r="I14" s="14"/>
      <c r="J14" s="14">
        <v>17835.41</v>
      </c>
      <c r="K14" s="14">
        <f t="shared" si="1"/>
        <v>17835.41</v>
      </c>
      <c r="L14" s="14">
        <f t="shared" si="2"/>
        <v>65338.8</v>
      </c>
      <c r="M14" s="14">
        <f t="shared" si="3"/>
        <v>84661.2</v>
      </c>
      <c r="N14" s="14"/>
      <c r="O14" s="14">
        <f t="shared" si="4"/>
        <v>150000</v>
      </c>
      <c r="P14" s="14">
        <f t="shared" si="5"/>
        <v>84661.2</v>
      </c>
      <c r="Q14" s="14"/>
      <c r="R14" s="14"/>
      <c r="S14" s="14">
        <f t="shared" si="6"/>
        <v>0</v>
      </c>
      <c r="T14" s="14">
        <f t="shared" si="7"/>
        <v>0</v>
      </c>
      <c r="U14" s="14">
        <f t="shared" si="8"/>
        <v>0</v>
      </c>
      <c r="V14" s="14"/>
      <c r="W14" s="14">
        <f t="shared" si="10"/>
        <v>0</v>
      </c>
      <c r="X14" s="14"/>
      <c r="Y14" s="14"/>
      <c r="Z14" s="14"/>
      <c r="AA14" s="101">
        <v>870000</v>
      </c>
      <c r="AB14" s="112"/>
      <c r="AC14" s="55"/>
      <c r="AD14" s="57"/>
      <c r="AE14" s="57"/>
      <c r="AF14" s="57"/>
      <c r="AG14" s="57"/>
    </row>
    <row r="15" spans="1:33" s="15" customFormat="1">
      <c r="A15" s="13">
        <f t="shared" si="9"/>
        <v>10</v>
      </c>
      <c r="B15" s="13">
        <v>1922</v>
      </c>
      <c r="C15" s="13" t="s">
        <v>317</v>
      </c>
      <c r="D15" s="14">
        <v>330000</v>
      </c>
      <c r="E15" s="14">
        <v>330000</v>
      </c>
      <c r="F15" s="14">
        <f t="shared" si="0"/>
        <v>0</v>
      </c>
      <c r="G15" s="14">
        <v>100000</v>
      </c>
      <c r="H15" s="14">
        <v>0</v>
      </c>
      <c r="I15" s="14"/>
      <c r="J15" s="14"/>
      <c r="K15" s="14">
        <f t="shared" si="1"/>
        <v>0</v>
      </c>
      <c r="L15" s="14">
        <f t="shared" si="2"/>
        <v>0</v>
      </c>
      <c r="M15" s="14">
        <f t="shared" si="3"/>
        <v>100000</v>
      </c>
      <c r="N15" s="14">
        <v>100000</v>
      </c>
      <c r="O15" s="14">
        <f t="shared" si="4"/>
        <v>130000</v>
      </c>
      <c r="P15" s="14">
        <f t="shared" si="5"/>
        <v>100000</v>
      </c>
      <c r="Q15" s="14"/>
      <c r="R15" s="14"/>
      <c r="S15" s="14">
        <f t="shared" si="6"/>
        <v>0</v>
      </c>
      <c r="T15" s="14">
        <f t="shared" si="7"/>
        <v>0</v>
      </c>
      <c r="U15" s="14">
        <f t="shared" si="8"/>
        <v>100000</v>
      </c>
      <c r="V15" s="14"/>
      <c r="W15" s="14">
        <f t="shared" si="10"/>
        <v>100000</v>
      </c>
      <c r="X15" s="14"/>
      <c r="Y15" s="14"/>
      <c r="Z15" s="14"/>
      <c r="AA15" s="101">
        <v>870000</v>
      </c>
      <c r="AB15" s="112"/>
      <c r="AC15" s="55"/>
      <c r="AD15" s="57"/>
      <c r="AE15" s="57"/>
      <c r="AF15" s="57"/>
      <c r="AG15" s="57"/>
    </row>
    <row r="16" spans="1:33" s="15" customFormat="1">
      <c r="A16" s="13">
        <f t="shared" si="9"/>
        <v>11</v>
      </c>
      <c r="B16" s="13">
        <v>1998</v>
      </c>
      <c r="C16" s="13" t="s">
        <v>446</v>
      </c>
      <c r="D16" s="14">
        <v>4630000</v>
      </c>
      <c r="E16" s="14">
        <v>4630000</v>
      </c>
      <c r="F16" s="14">
        <f t="shared" si="0"/>
        <v>0</v>
      </c>
      <c r="G16" s="14">
        <v>0</v>
      </c>
      <c r="H16" s="14">
        <v>0</v>
      </c>
      <c r="I16" s="14"/>
      <c r="J16" s="14"/>
      <c r="K16" s="14">
        <f t="shared" si="1"/>
        <v>0</v>
      </c>
      <c r="L16" s="14">
        <f t="shared" si="2"/>
        <v>0</v>
      </c>
      <c r="M16" s="14">
        <f t="shared" si="3"/>
        <v>0</v>
      </c>
      <c r="N16" s="14">
        <f>2500000-500000</f>
        <v>2000000</v>
      </c>
      <c r="O16" s="14">
        <f t="shared" si="4"/>
        <v>2630000</v>
      </c>
      <c r="P16" s="14">
        <f t="shared" si="5"/>
        <v>0</v>
      </c>
      <c r="Q16" s="14"/>
      <c r="R16" s="14"/>
      <c r="S16" s="14">
        <f t="shared" si="6"/>
        <v>0</v>
      </c>
      <c r="T16" s="14">
        <f t="shared" si="7"/>
        <v>0</v>
      </c>
      <c r="U16" s="14">
        <f t="shared" si="8"/>
        <v>2000000</v>
      </c>
      <c r="V16" s="14">
        <f>500000+200000</f>
        <v>700000</v>
      </c>
      <c r="W16" s="14">
        <f t="shared" si="10"/>
        <v>300000</v>
      </c>
      <c r="X16" s="14"/>
      <c r="Y16" s="14"/>
      <c r="Z16" s="14">
        <v>1000000</v>
      </c>
      <c r="AA16" s="101">
        <v>870000</v>
      </c>
      <c r="AB16" s="112"/>
      <c r="AC16" s="55"/>
      <c r="AD16" s="55"/>
      <c r="AE16" s="57"/>
      <c r="AF16" s="57"/>
      <c r="AG16" s="57"/>
    </row>
    <row r="17" spans="1:33" s="15" customFormat="1">
      <c r="A17" s="13">
        <f t="shared" si="9"/>
        <v>12</v>
      </c>
      <c r="B17" s="69">
        <v>2051</v>
      </c>
      <c r="C17" s="13" t="s">
        <v>488</v>
      </c>
      <c r="D17" s="14">
        <v>2600000</v>
      </c>
      <c r="E17" s="14"/>
      <c r="F17" s="14">
        <f t="shared" si="0"/>
        <v>2600000</v>
      </c>
      <c r="G17" s="14">
        <v>0</v>
      </c>
      <c r="H17" s="14">
        <v>0</v>
      </c>
      <c r="I17" s="14">
        <v>0</v>
      </c>
      <c r="J17" s="14"/>
      <c r="K17" s="14">
        <f t="shared" si="1"/>
        <v>0</v>
      </c>
      <c r="L17" s="14">
        <f t="shared" si="2"/>
        <v>0</v>
      </c>
      <c r="M17" s="14">
        <f t="shared" si="3"/>
        <v>0</v>
      </c>
      <c r="N17" s="14">
        <f>2600000-1850000</f>
        <v>750000</v>
      </c>
      <c r="O17" s="14">
        <f t="shared" si="4"/>
        <v>1850000</v>
      </c>
      <c r="P17" s="14">
        <f t="shared" si="5"/>
        <v>0</v>
      </c>
      <c r="Q17" s="14"/>
      <c r="R17" s="14"/>
      <c r="S17" s="14">
        <f t="shared" si="6"/>
        <v>0</v>
      </c>
      <c r="T17" s="14">
        <f t="shared" si="7"/>
        <v>0</v>
      </c>
      <c r="U17" s="14">
        <f t="shared" si="8"/>
        <v>750000</v>
      </c>
      <c r="V17" s="14">
        <f>2000000-1850000+450000</f>
        <v>600000</v>
      </c>
      <c r="W17" s="14">
        <f>U17-V17-Y17-Z17</f>
        <v>150000</v>
      </c>
      <c r="X17" s="14"/>
      <c r="Y17" s="14"/>
      <c r="Z17" s="14"/>
      <c r="AA17" s="101">
        <v>746000</v>
      </c>
      <c r="AB17" s="112"/>
      <c r="AC17" s="57"/>
      <c r="AD17" s="55"/>
      <c r="AE17" s="57"/>
      <c r="AF17" s="57"/>
      <c r="AG17" s="57"/>
    </row>
    <row r="18" spans="1:33" s="99" customFormat="1" ht="15.75">
      <c r="A18" s="85">
        <f>A17</f>
        <v>12</v>
      </c>
      <c r="B18" s="85"/>
      <c r="C18" s="85" t="s">
        <v>134</v>
      </c>
      <c r="D18" s="27">
        <f t="shared" ref="D18:Z18" si="11">SUM(D6:D17)</f>
        <v>18511559</v>
      </c>
      <c r="E18" s="27">
        <f t="shared" si="11"/>
        <v>15596559</v>
      </c>
      <c r="F18" s="27">
        <f t="shared" si="11"/>
        <v>2915000</v>
      </c>
      <c r="G18" s="27">
        <f t="shared" si="11"/>
        <v>6127500</v>
      </c>
      <c r="H18" s="27">
        <f t="shared" si="11"/>
        <v>5145429.09</v>
      </c>
      <c r="I18" s="27">
        <f t="shared" si="11"/>
        <v>0</v>
      </c>
      <c r="J18" s="27">
        <f t="shared" si="11"/>
        <v>197696.93</v>
      </c>
      <c r="K18" s="27">
        <f t="shared" si="11"/>
        <v>197696.93</v>
      </c>
      <c r="L18" s="27">
        <f t="shared" si="11"/>
        <v>5343126.0199999996</v>
      </c>
      <c r="M18" s="27">
        <f t="shared" si="11"/>
        <v>819374.98</v>
      </c>
      <c r="N18" s="27">
        <f t="shared" si="11"/>
        <v>3211058</v>
      </c>
      <c r="O18" s="27">
        <f t="shared" si="11"/>
        <v>9138000</v>
      </c>
      <c r="P18" s="27">
        <f t="shared" si="11"/>
        <v>784373.98</v>
      </c>
      <c r="Q18" s="27">
        <f t="shared" si="11"/>
        <v>35001</v>
      </c>
      <c r="R18" s="27">
        <f t="shared" si="11"/>
        <v>0</v>
      </c>
      <c r="S18" s="27">
        <f t="shared" si="11"/>
        <v>35001</v>
      </c>
      <c r="T18" s="27">
        <f t="shared" si="11"/>
        <v>0</v>
      </c>
      <c r="U18" s="27">
        <f t="shared" si="11"/>
        <v>3211058</v>
      </c>
      <c r="V18" s="27">
        <f t="shared" si="11"/>
        <v>1300000</v>
      </c>
      <c r="W18" s="27">
        <f t="shared" si="11"/>
        <v>850000</v>
      </c>
      <c r="X18" s="27">
        <f t="shared" si="11"/>
        <v>0</v>
      </c>
      <c r="Y18" s="27">
        <f t="shared" si="11"/>
        <v>0</v>
      </c>
      <c r="Z18" s="27">
        <f t="shared" si="11"/>
        <v>1061058</v>
      </c>
      <c r="AA18" s="126"/>
      <c r="AB18" s="113"/>
      <c r="AC18" s="106"/>
      <c r="AD18" s="106"/>
      <c r="AE18" s="106"/>
      <c r="AF18" s="106"/>
      <c r="AG18" s="106"/>
    </row>
    <row r="19" spans="1:33" s="99" customFormat="1" ht="15.75">
      <c r="A19" s="85"/>
      <c r="B19" s="85"/>
      <c r="C19" s="8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98"/>
      <c r="AB19" s="113"/>
      <c r="AC19" s="62"/>
      <c r="AD19" s="62"/>
      <c r="AE19" s="62"/>
      <c r="AF19" s="62"/>
      <c r="AG19" s="62"/>
    </row>
    <row r="20" spans="1:33" s="39" customFormat="1" ht="16.5" customHeight="1"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Z20" s="103"/>
      <c r="AA20" s="109"/>
      <c r="AB20" s="114"/>
      <c r="AC20" s="86"/>
      <c r="AD20" s="86"/>
      <c r="AE20" s="86"/>
      <c r="AF20" s="86"/>
      <c r="AG20" s="86"/>
    </row>
    <row r="21" spans="1:33" s="108" customFormat="1" ht="16.5" customHeight="1">
      <c r="A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31"/>
      <c r="P21" s="31"/>
      <c r="Q21" s="31"/>
      <c r="R21" s="31"/>
      <c r="S21" s="31"/>
      <c r="T21" s="31"/>
      <c r="U21" s="31"/>
      <c r="V21" s="31"/>
      <c r="W21" s="107"/>
      <c r="X21" s="107"/>
      <c r="Y21" s="107"/>
      <c r="Z21" s="107"/>
      <c r="AA21" s="107"/>
      <c r="AB21" s="115"/>
      <c r="AC21" s="107"/>
      <c r="AD21" s="107"/>
      <c r="AE21" s="107"/>
      <c r="AF21" s="107"/>
      <c r="AG21" s="107"/>
    </row>
    <row r="22" spans="1:33" s="108" customFormat="1" ht="16.5" customHeight="1">
      <c r="D22" s="107"/>
      <c r="E22" s="107"/>
      <c r="F22" s="107"/>
      <c r="G22" s="107"/>
      <c r="H22" s="107"/>
      <c r="I22" s="107"/>
      <c r="J22" s="107"/>
      <c r="K22" s="107"/>
      <c r="L22" s="107">
        <f>K21+H21</f>
        <v>0</v>
      </c>
      <c r="M22" s="107">
        <f>P21+S21-T21</f>
        <v>0</v>
      </c>
      <c r="N22" s="107"/>
      <c r="O22" s="31"/>
      <c r="P22" s="31"/>
      <c r="Q22" s="31"/>
      <c r="R22" s="31"/>
      <c r="S22" s="31"/>
      <c r="T22" s="31"/>
      <c r="U22" s="31"/>
      <c r="V22" s="31"/>
      <c r="W22" s="107"/>
      <c r="X22" s="107"/>
      <c r="Y22" s="107"/>
      <c r="Z22" s="107"/>
      <c r="AB22" s="115"/>
    </row>
    <row r="23" spans="1:33">
      <c r="U23" s="31"/>
      <c r="V23" s="31"/>
    </row>
    <row r="24" spans="1:33">
      <c r="U24" s="31"/>
      <c r="V24" s="31"/>
      <c r="W24" s="105"/>
      <c r="X24" s="105"/>
      <c r="Y24" s="105"/>
      <c r="Z24" s="212"/>
    </row>
    <row r="25" spans="1:33">
      <c r="U25" s="42"/>
      <c r="V25" s="105"/>
      <c r="W25" s="105"/>
      <c r="X25" s="105"/>
      <c r="Y25" s="105"/>
      <c r="Z25" s="212"/>
    </row>
    <row r="26" spans="1:33">
      <c r="U26" s="42"/>
      <c r="V26" s="105"/>
      <c r="W26" s="105"/>
      <c r="X26" s="105"/>
      <c r="Y26" s="105"/>
      <c r="Z26" s="212"/>
    </row>
    <row r="27" spans="1:33">
      <c r="U27" s="42"/>
      <c r="V27" s="105"/>
      <c r="W27" s="105"/>
      <c r="X27" s="105"/>
      <c r="Y27" s="105"/>
      <c r="Z27" s="212"/>
    </row>
    <row r="28" spans="1:33">
      <c r="U28" s="42"/>
      <c r="V28" s="105"/>
      <c r="W28" s="105"/>
      <c r="X28" s="105"/>
      <c r="Y28" s="105"/>
      <c r="Z28" s="212"/>
    </row>
    <row r="29" spans="1:33">
      <c r="A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</row>
    <row r="30" spans="1:33">
      <c r="A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U30" s="42"/>
      <c r="W30" s="105"/>
      <c r="Z30" s="212"/>
    </row>
    <row r="31" spans="1:33">
      <c r="A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U31" s="42"/>
      <c r="W31" s="105"/>
      <c r="Z31" s="212"/>
    </row>
    <row r="32" spans="1:33">
      <c r="A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O32" s="29"/>
      <c r="U32" s="42"/>
      <c r="W32" s="105"/>
      <c r="Z32" s="212"/>
    </row>
    <row r="33" spans="1:26">
      <c r="A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U33" s="42"/>
      <c r="W33" s="105"/>
      <c r="Z33" s="212"/>
    </row>
    <row r="34" spans="1:26">
      <c r="A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U34" s="42"/>
      <c r="W34" s="105"/>
      <c r="Z34" s="212"/>
    </row>
    <row r="35" spans="1:26">
      <c r="A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U35" s="42"/>
      <c r="W35" s="105"/>
      <c r="Z35" s="212"/>
    </row>
    <row r="36" spans="1:26">
      <c r="A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U36" s="42"/>
      <c r="W36" s="105"/>
      <c r="Z36" s="212"/>
    </row>
    <row r="37" spans="1:26">
      <c r="A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U37" s="42"/>
      <c r="W37" s="105"/>
      <c r="Z37" s="212"/>
    </row>
    <row r="38" spans="1:26">
      <c r="A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U38" s="42"/>
      <c r="W38" s="105"/>
      <c r="Z38" s="212"/>
    </row>
    <row r="39" spans="1:26">
      <c r="A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R39" s="29"/>
      <c r="S39" s="29"/>
    </row>
    <row r="40" spans="1:26">
      <c r="A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1:26">
      <c r="A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4" spans="1:26">
      <c r="A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O44" s="31" t="s">
        <v>188</v>
      </c>
      <c r="R44" s="31" t="s">
        <v>188</v>
      </c>
      <c r="S44" s="31" t="s">
        <v>365</v>
      </c>
    </row>
    <row r="45" spans="1:26">
      <c r="A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O45" s="31" t="s">
        <v>364</v>
      </c>
      <c r="Q45" s="31">
        <v>25000</v>
      </c>
      <c r="R45" s="31">
        <v>160000</v>
      </c>
    </row>
    <row r="46" spans="1:26">
      <c r="A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R46" s="31" t="e">
        <f>#REF!</f>
        <v>#REF!</v>
      </c>
      <c r="S46" s="31" t="s">
        <v>373</v>
      </c>
    </row>
    <row r="47" spans="1:26">
      <c r="A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31" t="e">
        <f>SUM(R45:R46)</f>
        <v>#REF!</v>
      </c>
      <c r="S47" s="29"/>
      <c r="T47" s="29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51"/>
  <sheetViews>
    <sheetView showZeros="0" rightToLeft="1" zoomScaleNormal="100" workbookViewId="0">
      <pane xSplit="5" ySplit="4" topLeftCell="F14" activePane="bottomRight" state="frozen"/>
      <selection activeCell="E28" sqref="E28"/>
      <selection pane="topRight" activeCell="E28" sqref="E28"/>
      <selection pane="bottomLeft" activeCell="E28" sqref="E28"/>
      <selection pane="bottomRight" activeCell="O25" sqref="O25:V28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5.7109375" style="29" customWidth="1"/>
    <col min="4" max="4" width="11.5703125" style="31" customWidth="1"/>
    <col min="5" max="5" width="11.140625" style="31" hidden="1" customWidth="1"/>
    <col min="6" max="6" width="10.5703125" style="31" hidden="1" customWidth="1"/>
    <col min="7" max="7" width="11.140625" style="31" hidden="1" customWidth="1"/>
    <col min="8" max="10" width="12.7109375" style="31" hidden="1" customWidth="1"/>
    <col min="11" max="11" width="11.28515625" style="31" hidden="1" customWidth="1"/>
    <col min="12" max="12" width="11.140625" style="31" customWidth="1"/>
    <col min="13" max="13" width="10.5703125" style="31" customWidth="1"/>
    <col min="14" max="14" width="10.42578125" style="31" customWidth="1"/>
    <col min="15" max="15" width="11.42578125" style="31" customWidth="1"/>
    <col min="16" max="17" width="11.140625" style="31" hidden="1" customWidth="1"/>
    <col min="18" max="18" width="9.7109375" style="31" hidden="1" customWidth="1"/>
    <col min="19" max="19" width="10.28515625" style="31" hidden="1" customWidth="1"/>
    <col min="20" max="20" width="11.140625" style="31" hidden="1" customWidth="1"/>
    <col min="21" max="21" width="10" style="29" customWidth="1"/>
    <col min="22" max="22" width="10.28515625" style="29" customWidth="1"/>
    <col min="23" max="23" width="9.7109375" style="29" customWidth="1"/>
    <col min="24" max="25" width="5.28515625" style="29" customWidth="1"/>
    <col min="26" max="26" width="10" style="31" customWidth="1"/>
    <col min="27" max="27" width="7.85546875" style="29" customWidth="1"/>
    <col min="28" max="28" width="9" style="82" bestFit="1" customWidth="1"/>
    <col min="29" max="30" width="9.140625" style="37" customWidth="1"/>
    <col min="31" max="31" width="1.5703125" style="37" customWidth="1"/>
    <col min="32" max="33" width="9.140625" style="37" customWidth="1"/>
    <col min="34" max="16384" width="9.140625" style="29"/>
  </cols>
  <sheetData>
    <row r="2" spans="1:34" s="65" customFormat="1" ht="18.75">
      <c r="A2" s="194" t="s">
        <v>188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B2" s="110"/>
      <c r="AC2" s="59"/>
      <c r="AD2" s="59"/>
      <c r="AE2" s="59"/>
      <c r="AF2" s="59"/>
      <c r="AG2" s="59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21" t="s">
        <v>184</v>
      </c>
      <c r="AA4" s="93" t="s">
        <v>16</v>
      </c>
      <c r="AB4" s="111"/>
    </row>
    <row r="5" spans="1:34" s="15" customFormat="1" ht="15.75">
      <c r="A5" s="13"/>
      <c r="B5" s="13"/>
      <c r="C5" s="8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01"/>
      <c r="AB5" s="112"/>
      <c r="AC5" s="57"/>
      <c r="AD5" s="57"/>
      <c r="AE5" s="57"/>
      <c r="AF5" s="57"/>
      <c r="AG5" s="57"/>
    </row>
    <row r="6" spans="1:34" s="15" customFormat="1">
      <c r="A6" s="13">
        <v>1</v>
      </c>
      <c r="B6" s="13">
        <v>135</v>
      </c>
      <c r="C6" s="13" t="s">
        <v>127</v>
      </c>
      <c r="D6" s="14">
        <f>'איכות הסביבה'!D6</f>
        <v>4582000</v>
      </c>
      <c r="E6" s="14">
        <f>'איכות הסביבה'!E6</f>
        <v>4582000</v>
      </c>
      <c r="F6" s="14">
        <f>'איכות הסביבה'!F6</f>
        <v>0</v>
      </c>
      <c r="G6" s="14">
        <f>'איכות הסביבה'!G6</f>
        <v>1233000</v>
      </c>
      <c r="H6" s="14">
        <f>'איכות הסביבה'!H6</f>
        <v>1097952.73</v>
      </c>
      <c r="I6" s="14">
        <f>'איכות הסביבה'!I6</f>
        <v>0</v>
      </c>
      <c r="J6" s="14">
        <f>'איכות הסביבה'!J6</f>
        <v>0</v>
      </c>
      <c r="K6" s="14">
        <f>'איכות הסביבה'!K6</f>
        <v>0</v>
      </c>
      <c r="L6" s="14">
        <f>'איכות הסביבה'!L6</f>
        <v>1097952.73</v>
      </c>
      <c r="M6" s="14">
        <f>'איכות הסביבה'!M6</f>
        <v>135047.27000000002</v>
      </c>
      <c r="N6" s="14">
        <f>'איכות הסביבה'!N6</f>
        <v>0</v>
      </c>
      <c r="O6" s="14">
        <f>'איכות הסביבה'!O6</f>
        <v>3349000</v>
      </c>
      <c r="P6" s="14">
        <f>'איכות הסביבה'!P6</f>
        <v>135047.27000000002</v>
      </c>
      <c r="Q6" s="14">
        <f>'איכות הסביבה'!Q6</f>
        <v>0</v>
      </c>
      <c r="R6" s="14">
        <f>'איכות הסביבה'!R6</f>
        <v>0</v>
      </c>
      <c r="S6" s="14">
        <f>'איכות הסביבה'!S6</f>
        <v>0</v>
      </c>
      <c r="T6" s="14">
        <f>'איכות הסביבה'!T6</f>
        <v>0</v>
      </c>
      <c r="U6" s="14">
        <f>'איכות הסביבה'!U6</f>
        <v>0</v>
      </c>
      <c r="V6" s="14">
        <f>'איכות הסביבה'!V6</f>
        <v>0</v>
      </c>
      <c r="W6" s="14">
        <f>'איכות הסביבה'!W6</f>
        <v>0</v>
      </c>
      <c r="X6" s="14">
        <f>'איכות הסביבה'!X6</f>
        <v>0</v>
      </c>
      <c r="Y6" s="14">
        <f>'איכות הסביבה'!Y6</f>
        <v>0</v>
      </c>
      <c r="Z6" s="14">
        <f>'איכות הסביבה'!Z6</f>
        <v>0</v>
      </c>
      <c r="AA6" s="101">
        <f>'איכות הסביבה'!AA6</f>
        <v>747000</v>
      </c>
      <c r="AB6" s="112"/>
      <c r="AC6" s="55"/>
      <c r="AD6" s="57"/>
      <c r="AE6" s="57"/>
      <c r="AF6" s="57"/>
      <c r="AG6" s="57"/>
    </row>
    <row r="7" spans="1:34" s="15" customFormat="1">
      <c r="A7" s="13">
        <f>A6+1</f>
        <v>2</v>
      </c>
      <c r="B7" s="13">
        <v>1134</v>
      </c>
      <c r="C7" s="13" t="s">
        <v>128</v>
      </c>
      <c r="D7" s="14">
        <f>'איכות הסביבה'!D7</f>
        <v>2700000</v>
      </c>
      <c r="E7" s="14">
        <f>'איכות הסביבה'!E7</f>
        <v>2535000</v>
      </c>
      <c r="F7" s="14">
        <f>'איכות הסביבה'!F7</f>
        <v>165000</v>
      </c>
      <c r="G7" s="14">
        <f>'איכות הסביבה'!G7</f>
        <v>2495000</v>
      </c>
      <c r="H7" s="14">
        <f>'איכות הסביבה'!H7</f>
        <v>2243260.7999999998</v>
      </c>
      <c r="I7" s="14">
        <f>'איכות הסביבה'!I7</f>
        <v>0</v>
      </c>
      <c r="J7" s="14">
        <f>'איכות הסביבה'!J7</f>
        <v>22156.93</v>
      </c>
      <c r="K7" s="14">
        <f>'איכות הסביבה'!K7</f>
        <v>22156.93</v>
      </c>
      <c r="L7" s="14">
        <f>'איכות הסביבה'!L7</f>
        <v>2265417.73</v>
      </c>
      <c r="M7" s="14">
        <f>'איכות הסביבה'!M7</f>
        <v>229582.27000000002</v>
      </c>
      <c r="N7" s="14">
        <f>'איכות הסביבה'!N7</f>
        <v>0</v>
      </c>
      <c r="O7" s="14">
        <f>'איכות הסביבה'!O7</f>
        <v>205000</v>
      </c>
      <c r="P7" s="14">
        <f>'איכות הסביבה'!P7</f>
        <v>229582.27000000002</v>
      </c>
      <c r="Q7" s="14">
        <f>'איכות הסביבה'!Q7</f>
        <v>0</v>
      </c>
      <c r="R7" s="14">
        <f>'איכות הסביבה'!R7</f>
        <v>0</v>
      </c>
      <c r="S7" s="14">
        <f>'איכות הסביבה'!S7</f>
        <v>0</v>
      </c>
      <c r="T7" s="14">
        <f>'איכות הסביבה'!T7</f>
        <v>0</v>
      </c>
      <c r="U7" s="14">
        <f>'איכות הסביבה'!U7</f>
        <v>0</v>
      </c>
      <c r="V7" s="14">
        <f>'איכות הסביבה'!V7</f>
        <v>0</v>
      </c>
      <c r="W7" s="14">
        <f>'איכות הסביבה'!W7</f>
        <v>0</v>
      </c>
      <c r="X7" s="14">
        <f>'איכות הסביבה'!X7</f>
        <v>0</v>
      </c>
      <c r="Y7" s="14">
        <f>'איכות הסביבה'!Y7</f>
        <v>0</v>
      </c>
      <c r="Z7" s="14">
        <f>'איכות הסביבה'!Z7</f>
        <v>0</v>
      </c>
      <c r="AA7" s="101">
        <f>'איכות הסביבה'!AA7</f>
        <v>746000</v>
      </c>
      <c r="AB7" s="112"/>
      <c r="AC7" s="55"/>
      <c r="AD7" s="57"/>
      <c r="AE7" s="57"/>
      <c r="AF7" s="57"/>
      <c r="AG7" s="57"/>
    </row>
    <row r="8" spans="1:34" s="15" customFormat="1">
      <c r="A8" s="13">
        <f>A7+1</f>
        <v>3</v>
      </c>
      <c r="B8" s="69">
        <v>2051</v>
      </c>
      <c r="C8" s="13" t="s">
        <v>488</v>
      </c>
      <c r="D8" s="14">
        <f>'איכות הסביבה'!D17</f>
        <v>2600000</v>
      </c>
      <c r="E8" s="14">
        <f>'איכות הסביבה'!E17</f>
        <v>0</v>
      </c>
      <c r="F8" s="14">
        <f>'איכות הסביבה'!F17</f>
        <v>2600000</v>
      </c>
      <c r="G8" s="14">
        <f>'איכות הסביבה'!G17</f>
        <v>0</v>
      </c>
      <c r="H8" s="14">
        <f>'איכות הסביבה'!H17</f>
        <v>0</v>
      </c>
      <c r="I8" s="14">
        <f>'איכות הסביבה'!I17</f>
        <v>0</v>
      </c>
      <c r="J8" s="14">
        <f>'איכות הסביבה'!J17</f>
        <v>0</v>
      </c>
      <c r="K8" s="14">
        <f>'איכות הסביבה'!K17</f>
        <v>0</v>
      </c>
      <c r="L8" s="14">
        <f>'איכות הסביבה'!L17</f>
        <v>0</v>
      </c>
      <c r="M8" s="14">
        <f>'איכות הסביבה'!M17</f>
        <v>0</v>
      </c>
      <c r="N8" s="14">
        <f>'איכות הסביבה'!N17</f>
        <v>750000</v>
      </c>
      <c r="O8" s="14">
        <f>'איכות הסביבה'!O17</f>
        <v>1850000</v>
      </c>
      <c r="P8" s="14">
        <f>'איכות הסביבה'!P17</f>
        <v>0</v>
      </c>
      <c r="Q8" s="14">
        <f>'איכות הסביבה'!Q17</f>
        <v>0</v>
      </c>
      <c r="R8" s="14">
        <f>'איכות הסביבה'!R17</f>
        <v>0</v>
      </c>
      <c r="S8" s="14">
        <f>'איכות הסביבה'!S17</f>
        <v>0</v>
      </c>
      <c r="T8" s="14">
        <f>'איכות הסביבה'!T17</f>
        <v>0</v>
      </c>
      <c r="U8" s="14">
        <f>'איכות הסביבה'!U17</f>
        <v>750000</v>
      </c>
      <c r="V8" s="14">
        <f>'איכות הסביבה'!V17</f>
        <v>600000</v>
      </c>
      <c r="W8" s="14">
        <f>'איכות הסביבה'!W17</f>
        <v>150000</v>
      </c>
      <c r="X8" s="14">
        <f>'איכות הסביבה'!X17</f>
        <v>0</v>
      </c>
      <c r="Y8" s="14">
        <f>'איכות הסביבה'!Y17</f>
        <v>0</v>
      </c>
      <c r="Z8" s="14">
        <f>'איכות הסביבה'!Z17</f>
        <v>0</v>
      </c>
      <c r="AA8" s="101">
        <f>'איכות הסביבה'!AA17</f>
        <v>746000</v>
      </c>
      <c r="AB8" s="112"/>
      <c r="AC8" s="57"/>
      <c r="AD8" s="55"/>
      <c r="AE8" s="57"/>
      <c r="AF8" s="57"/>
      <c r="AG8" s="57"/>
    </row>
    <row r="9" spans="1:34" s="149" customFormat="1">
      <c r="A9" s="81"/>
      <c r="B9" s="81">
        <v>3</v>
      </c>
      <c r="C9" s="81" t="s">
        <v>1038</v>
      </c>
      <c r="D9" s="198">
        <f>SUM(D6:D8)</f>
        <v>9882000</v>
      </c>
      <c r="E9" s="198">
        <f t="shared" ref="E9:Z9" si="0">SUM(E6:E8)</f>
        <v>7117000</v>
      </c>
      <c r="F9" s="198">
        <f t="shared" si="0"/>
        <v>2765000</v>
      </c>
      <c r="G9" s="198">
        <f t="shared" si="0"/>
        <v>3728000</v>
      </c>
      <c r="H9" s="198">
        <f t="shared" si="0"/>
        <v>3341213.53</v>
      </c>
      <c r="I9" s="198">
        <f t="shared" si="0"/>
        <v>0</v>
      </c>
      <c r="J9" s="198">
        <f t="shared" si="0"/>
        <v>22156.93</v>
      </c>
      <c r="K9" s="198">
        <f t="shared" si="0"/>
        <v>22156.93</v>
      </c>
      <c r="L9" s="198">
        <f t="shared" si="0"/>
        <v>3363370.46</v>
      </c>
      <c r="M9" s="198">
        <f t="shared" si="0"/>
        <v>364629.54000000004</v>
      </c>
      <c r="N9" s="198">
        <f t="shared" si="0"/>
        <v>750000</v>
      </c>
      <c r="O9" s="198">
        <f t="shared" si="0"/>
        <v>5404000</v>
      </c>
      <c r="P9" s="198">
        <f t="shared" si="0"/>
        <v>364629.54000000004</v>
      </c>
      <c r="Q9" s="198">
        <f t="shared" si="0"/>
        <v>0</v>
      </c>
      <c r="R9" s="198">
        <f t="shared" si="0"/>
        <v>0</v>
      </c>
      <c r="S9" s="198">
        <f t="shared" si="0"/>
        <v>0</v>
      </c>
      <c r="T9" s="198">
        <f t="shared" si="0"/>
        <v>0</v>
      </c>
      <c r="U9" s="198">
        <f t="shared" si="0"/>
        <v>750000</v>
      </c>
      <c r="V9" s="198">
        <f t="shared" si="0"/>
        <v>600000</v>
      </c>
      <c r="W9" s="198">
        <f t="shared" si="0"/>
        <v>150000</v>
      </c>
      <c r="X9" s="198">
        <f t="shared" si="0"/>
        <v>0</v>
      </c>
      <c r="Y9" s="198">
        <f t="shared" si="0"/>
        <v>0</v>
      </c>
      <c r="Z9" s="198">
        <f t="shared" si="0"/>
        <v>0</v>
      </c>
      <c r="AA9" s="763"/>
      <c r="AB9" s="764"/>
      <c r="AC9" s="765"/>
      <c r="AD9" s="766"/>
      <c r="AE9" s="766"/>
      <c r="AF9" s="767"/>
      <c r="AG9" s="767"/>
      <c r="AH9" s="766"/>
    </row>
    <row r="10" spans="1:34" s="15" customFormat="1">
      <c r="A10" s="13"/>
      <c r="B10" s="13"/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01"/>
      <c r="AB10" s="112"/>
      <c r="AC10" s="55"/>
      <c r="AD10" s="57"/>
      <c r="AE10" s="57"/>
      <c r="AF10" s="57"/>
      <c r="AG10" s="57"/>
    </row>
    <row r="11" spans="1:34" s="15" customFormat="1">
      <c r="A11" s="13">
        <f>A8+1</f>
        <v>4</v>
      </c>
      <c r="B11" s="13">
        <v>1345</v>
      </c>
      <c r="C11" s="13" t="s">
        <v>129</v>
      </c>
      <c r="D11" s="14">
        <f>'איכות הסביבה'!D8</f>
        <v>1739000</v>
      </c>
      <c r="E11" s="14">
        <f>'איכות הסביבה'!E8</f>
        <v>1739000</v>
      </c>
      <c r="F11" s="14">
        <f>'איכות הסביבה'!F8</f>
        <v>0</v>
      </c>
      <c r="G11" s="14">
        <f>'איכות הסביבה'!G8</f>
        <v>765000</v>
      </c>
      <c r="H11" s="14">
        <f>'איכות הסביבה'!H8</f>
        <v>672961.6</v>
      </c>
      <c r="I11" s="14">
        <f>'איכות הסביבה'!I8</f>
        <v>0</v>
      </c>
      <c r="J11" s="14">
        <f>'איכות הסביבה'!J8</f>
        <v>59395.5</v>
      </c>
      <c r="K11" s="14">
        <f>'איכות הסביבה'!K8</f>
        <v>59395.5</v>
      </c>
      <c r="L11" s="14">
        <f>'איכות הסביבה'!L8</f>
        <v>732357.1</v>
      </c>
      <c r="M11" s="14">
        <f>'איכות הסביבה'!M8</f>
        <v>32642.900000000023</v>
      </c>
      <c r="N11" s="14">
        <f>'איכות הסביבה'!N8</f>
        <v>150000</v>
      </c>
      <c r="O11" s="14">
        <f>'איכות הסביבה'!O8</f>
        <v>824000</v>
      </c>
      <c r="P11" s="14">
        <f>'איכות הסביבה'!P8</f>
        <v>32642.900000000023</v>
      </c>
      <c r="Q11" s="14">
        <f>'איכות הסביבה'!Q8</f>
        <v>0</v>
      </c>
      <c r="R11" s="14">
        <f>'איכות הסביבה'!R8</f>
        <v>0</v>
      </c>
      <c r="S11" s="14">
        <f>'איכות הסביבה'!S8</f>
        <v>0</v>
      </c>
      <c r="T11" s="14">
        <f>'איכות הסביבה'!T8</f>
        <v>0</v>
      </c>
      <c r="U11" s="14">
        <f>'איכות הסביבה'!U8</f>
        <v>150000</v>
      </c>
      <c r="V11" s="14">
        <f>'איכות הסביבה'!V8</f>
        <v>0</v>
      </c>
      <c r="W11" s="14">
        <f>'איכות הסביבה'!W8</f>
        <v>150000</v>
      </c>
      <c r="X11" s="14">
        <f>'איכות הסביבה'!X8</f>
        <v>0</v>
      </c>
      <c r="Y11" s="14">
        <f>'איכות הסביבה'!Y8</f>
        <v>0</v>
      </c>
      <c r="Z11" s="14">
        <f>'איכות הסביבה'!Z8</f>
        <v>0</v>
      </c>
      <c r="AA11" s="101">
        <f>'איכות הסביבה'!AA8</f>
        <v>870000</v>
      </c>
      <c r="AB11" s="112"/>
      <c r="AC11" s="55"/>
      <c r="AD11" s="57"/>
      <c r="AE11" s="57"/>
      <c r="AF11" s="57"/>
      <c r="AG11" s="57"/>
    </row>
    <row r="12" spans="1:34" s="15" customFormat="1">
      <c r="A12" s="13">
        <f>A11+1</f>
        <v>5</v>
      </c>
      <c r="B12" s="13">
        <v>1566</v>
      </c>
      <c r="C12" s="13" t="s">
        <v>130</v>
      </c>
      <c r="D12" s="14">
        <f>'איכות הסביבה'!D9</f>
        <v>700000</v>
      </c>
      <c r="E12" s="14">
        <f>'איכות הסביבה'!E9</f>
        <v>700000</v>
      </c>
      <c r="F12" s="14">
        <f>'איכות הסביבה'!F9</f>
        <v>0</v>
      </c>
      <c r="G12" s="14">
        <f>'איכות הסביבה'!G9</f>
        <v>700000</v>
      </c>
      <c r="H12" s="14">
        <f>'איכות הסביבה'!H9</f>
        <v>681473.26</v>
      </c>
      <c r="I12" s="14">
        <f>'איכות הסביבה'!I9</f>
        <v>0</v>
      </c>
      <c r="J12" s="14">
        <f>'איכות הסביבה'!J9</f>
        <v>4377</v>
      </c>
      <c r="K12" s="14">
        <f>'איכות הסביבה'!K9</f>
        <v>4377</v>
      </c>
      <c r="L12" s="14">
        <f>'איכות הסביבה'!L9</f>
        <v>685850.26</v>
      </c>
      <c r="M12" s="14">
        <f>'איכות הסביבה'!M9</f>
        <v>14149.739999999991</v>
      </c>
      <c r="N12" s="14">
        <f>'איכות הסביבה'!N9</f>
        <v>0</v>
      </c>
      <c r="O12" s="14">
        <f>'איכות הסביבה'!O9</f>
        <v>0</v>
      </c>
      <c r="P12" s="14">
        <f>'איכות הסביבה'!P9</f>
        <v>14149.739999999991</v>
      </c>
      <c r="Q12" s="14">
        <f>'איכות הסביבה'!Q9</f>
        <v>0</v>
      </c>
      <c r="R12" s="14">
        <f>'איכות הסביבה'!R9</f>
        <v>0</v>
      </c>
      <c r="S12" s="14">
        <f>'איכות הסביבה'!S9</f>
        <v>0</v>
      </c>
      <c r="T12" s="14">
        <f>'איכות הסביבה'!T9</f>
        <v>0</v>
      </c>
      <c r="U12" s="14">
        <f>'איכות הסביבה'!U9</f>
        <v>0</v>
      </c>
      <c r="V12" s="14">
        <f>'איכות הסביבה'!V9</f>
        <v>0</v>
      </c>
      <c r="W12" s="14">
        <f>'איכות הסביבה'!W9</f>
        <v>0</v>
      </c>
      <c r="X12" s="14">
        <f>'איכות הסביבה'!X9</f>
        <v>0</v>
      </c>
      <c r="Y12" s="14">
        <f>'איכות הסביבה'!Y9</f>
        <v>0</v>
      </c>
      <c r="Z12" s="14">
        <f>'איכות הסביבה'!Z9</f>
        <v>0</v>
      </c>
      <c r="AA12" s="101">
        <f>'איכות הסביבה'!AA9</f>
        <v>870000</v>
      </c>
      <c r="AB12" s="112"/>
      <c r="AC12" s="55"/>
      <c r="AD12" s="57"/>
      <c r="AE12" s="57"/>
      <c r="AF12" s="57"/>
      <c r="AG12" s="57"/>
    </row>
    <row r="13" spans="1:34" s="15" customFormat="1">
      <c r="A13" s="13">
        <f t="shared" ref="A13:A19" si="1">A12+1</f>
        <v>6</v>
      </c>
      <c r="B13" s="13">
        <v>1579</v>
      </c>
      <c r="C13" s="13" t="s">
        <v>131</v>
      </c>
      <c r="D13" s="14">
        <f>'איכות הסביבה'!D10</f>
        <v>170000</v>
      </c>
      <c r="E13" s="14">
        <f>'איכות הסביבה'!E10</f>
        <v>170000</v>
      </c>
      <c r="F13" s="14">
        <f>'איכות הסביבה'!F10</f>
        <v>0</v>
      </c>
      <c r="G13" s="14">
        <f>'איכות הסביבה'!G10</f>
        <v>170000</v>
      </c>
      <c r="H13" s="14">
        <f>'איכות הסביבה'!H10</f>
        <v>140763.65</v>
      </c>
      <c r="I13" s="14">
        <f>'איכות הסביבה'!I10</f>
        <v>0</v>
      </c>
      <c r="J13" s="14">
        <f>'איכות הסביבה'!J10</f>
        <v>5878.61</v>
      </c>
      <c r="K13" s="14">
        <f>'איכות הסביבה'!K10</f>
        <v>5878.61</v>
      </c>
      <c r="L13" s="14">
        <f>'איכות הסביבה'!L10</f>
        <v>146642.25999999998</v>
      </c>
      <c r="M13" s="14">
        <f>'איכות הסביבה'!M10</f>
        <v>23357.74000000002</v>
      </c>
      <c r="N13" s="14">
        <f>'איכות הסביבה'!N10</f>
        <v>0</v>
      </c>
      <c r="O13" s="14">
        <f>'איכות הסביבה'!O10</f>
        <v>0</v>
      </c>
      <c r="P13" s="14">
        <f>'איכות הסביבה'!P10</f>
        <v>23357.74000000002</v>
      </c>
      <c r="Q13" s="14">
        <f>'איכות הסביבה'!Q10</f>
        <v>0</v>
      </c>
      <c r="R13" s="14">
        <f>'איכות הסביבה'!R10</f>
        <v>0</v>
      </c>
      <c r="S13" s="14">
        <f>'איכות הסביבה'!S10</f>
        <v>0</v>
      </c>
      <c r="T13" s="14">
        <f>'איכות הסביבה'!T10</f>
        <v>0</v>
      </c>
      <c r="U13" s="14">
        <f>'איכות הסביבה'!U10</f>
        <v>0</v>
      </c>
      <c r="V13" s="14">
        <f>'איכות הסביבה'!V10</f>
        <v>0</v>
      </c>
      <c r="W13" s="14">
        <f>'איכות הסביבה'!W10</f>
        <v>0</v>
      </c>
      <c r="X13" s="14">
        <f>'איכות הסביבה'!X10</f>
        <v>0</v>
      </c>
      <c r="Y13" s="14">
        <f>'איכות הסביבה'!Y10</f>
        <v>0</v>
      </c>
      <c r="Z13" s="14">
        <f>'איכות הסביבה'!Z10</f>
        <v>0</v>
      </c>
      <c r="AA13" s="101">
        <f>'איכות הסביבה'!AA10</f>
        <v>870000</v>
      </c>
      <c r="AB13" s="112"/>
      <c r="AC13" s="55"/>
      <c r="AD13" s="57"/>
      <c r="AE13" s="57"/>
      <c r="AF13" s="57"/>
      <c r="AG13" s="57"/>
    </row>
    <row r="14" spans="1:34" s="15" customFormat="1">
      <c r="A14" s="13">
        <f t="shared" si="1"/>
        <v>7</v>
      </c>
      <c r="B14" s="13">
        <v>1598</v>
      </c>
      <c r="C14" s="13" t="s">
        <v>132</v>
      </c>
      <c r="D14" s="14">
        <f>'איכות הסביבה'!D11</f>
        <v>414500</v>
      </c>
      <c r="E14" s="14">
        <f>'איכות הסביבה'!E11</f>
        <v>284500</v>
      </c>
      <c r="F14" s="14">
        <f>'איכות הסביבה'!F11</f>
        <v>130000</v>
      </c>
      <c r="G14" s="14">
        <f>'איכות הסביבה'!G11</f>
        <v>284500</v>
      </c>
      <c r="H14" s="14">
        <f>'איכות הסביבה'!H11</f>
        <v>136323.66</v>
      </c>
      <c r="I14" s="14">
        <f>'איכות הסביבה'!I11</f>
        <v>0</v>
      </c>
      <c r="J14" s="14">
        <f>'איכות הסביבה'!J11</f>
        <v>88053.48</v>
      </c>
      <c r="K14" s="14">
        <f>'איכות הסביבה'!K11</f>
        <v>88053.48</v>
      </c>
      <c r="L14" s="14">
        <f>'איכות הסביבה'!L11</f>
        <v>224377.14</v>
      </c>
      <c r="M14" s="14">
        <f>'איכות הסביבה'!M11</f>
        <v>60122.859999999986</v>
      </c>
      <c r="N14" s="14">
        <f>'איכות הסביבה'!N11</f>
        <v>130000</v>
      </c>
      <c r="O14" s="14">
        <f>'איכות הסביבה'!O11</f>
        <v>0</v>
      </c>
      <c r="P14" s="14">
        <f>'איכות הסביבה'!P11</f>
        <v>60122.859999999986</v>
      </c>
      <c r="Q14" s="14">
        <f>'איכות הסביבה'!Q11</f>
        <v>0</v>
      </c>
      <c r="R14" s="14">
        <f>'איכות הסביבה'!R11</f>
        <v>0</v>
      </c>
      <c r="S14" s="14">
        <f>'איכות הסביבה'!S11</f>
        <v>0</v>
      </c>
      <c r="T14" s="14">
        <f>'איכות הסביבה'!T11</f>
        <v>0</v>
      </c>
      <c r="U14" s="14">
        <f>'איכות הסביבה'!U11</f>
        <v>130000</v>
      </c>
      <c r="V14" s="14">
        <f>'איכות הסביבה'!V11</f>
        <v>0</v>
      </c>
      <c r="W14" s="14">
        <f>'איכות הסביבה'!W11</f>
        <v>130000</v>
      </c>
      <c r="X14" s="14">
        <f>'איכות הסביבה'!X11</f>
        <v>0</v>
      </c>
      <c r="Y14" s="14">
        <f>'איכות הסביבה'!Y11</f>
        <v>0</v>
      </c>
      <c r="Z14" s="14">
        <f>'איכות הסביבה'!Z11</f>
        <v>0</v>
      </c>
      <c r="AA14" s="101">
        <f>'איכות הסביבה'!AA11</f>
        <v>870000</v>
      </c>
      <c r="AB14" s="112"/>
      <c r="AC14" s="55"/>
      <c r="AD14" s="57"/>
      <c r="AE14" s="57"/>
      <c r="AF14" s="57"/>
      <c r="AG14" s="57"/>
    </row>
    <row r="15" spans="1:34" s="15" customFormat="1">
      <c r="A15" s="13">
        <f t="shared" si="1"/>
        <v>8</v>
      </c>
      <c r="B15" s="13">
        <v>1685</v>
      </c>
      <c r="C15" s="13" t="s">
        <v>133</v>
      </c>
      <c r="D15" s="14">
        <f>'איכות הסביבה'!D12</f>
        <v>180000</v>
      </c>
      <c r="E15" s="14">
        <f>'איכות הסביבה'!E12</f>
        <v>180000</v>
      </c>
      <c r="F15" s="14">
        <f>'איכות הסביבה'!F12</f>
        <v>0</v>
      </c>
      <c r="G15" s="14">
        <f>'איכות הסביבה'!G12</f>
        <v>180000</v>
      </c>
      <c r="H15" s="14">
        <f>'איכות הסביבה'!H12</f>
        <v>87165</v>
      </c>
      <c r="I15" s="14">
        <f>'איכות הסביבה'!I12</f>
        <v>0</v>
      </c>
      <c r="J15" s="14">
        <f>'איכות הסביבה'!J12</f>
        <v>0</v>
      </c>
      <c r="K15" s="14">
        <f>'איכות הסביבה'!K12</f>
        <v>0</v>
      </c>
      <c r="L15" s="14">
        <f>'איכות הסביבה'!L12</f>
        <v>87165</v>
      </c>
      <c r="M15" s="14">
        <f>'איכות הסביבה'!M12</f>
        <v>92835</v>
      </c>
      <c r="N15" s="14">
        <f>'איכות הסביבה'!N12</f>
        <v>0</v>
      </c>
      <c r="O15" s="14">
        <f>'איכות הסביבה'!O12</f>
        <v>0</v>
      </c>
      <c r="P15" s="14">
        <f>'איכות הסביבה'!P12</f>
        <v>92835</v>
      </c>
      <c r="Q15" s="14">
        <f>'איכות הסביבה'!Q12</f>
        <v>0</v>
      </c>
      <c r="R15" s="14">
        <f>'איכות הסביבה'!R12</f>
        <v>0</v>
      </c>
      <c r="S15" s="14">
        <f>'איכות הסביבה'!S12</f>
        <v>0</v>
      </c>
      <c r="T15" s="14">
        <f>'איכות הסביבה'!T12</f>
        <v>0</v>
      </c>
      <c r="U15" s="14">
        <f>'איכות הסביבה'!U12</f>
        <v>0</v>
      </c>
      <c r="V15" s="14">
        <f>'איכות הסביבה'!V12</f>
        <v>0</v>
      </c>
      <c r="W15" s="14">
        <f>'איכות הסביבה'!W12</f>
        <v>0</v>
      </c>
      <c r="X15" s="14">
        <f>'איכות הסביבה'!X12</f>
        <v>0</v>
      </c>
      <c r="Y15" s="14">
        <f>'איכות הסביבה'!Y12</f>
        <v>0</v>
      </c>
      <c r="Z15" s="14">
        <f>'איכות הסביבה'!Z12</f>
        <v>0</v>
      </c>
      <c r="AA15" s="101">
        <f>'איכות הסביבה'!AA12</f>
        <v>870000</v>
      </c>
      <c r="AB15" s="112"/>
      <c r="AC15" s="55"/>
      <c r="AD15" s="57"/>
      <c r="AE15" s="57"/>
      <c r="AF15" s="57"/>
      <c r="AG15" s="57"/>
    </row>
    <row r="16" spans="1:34" s="15" customFormat="1">
      <c r="A16" s="13">
        <f t="shared" si="1"/>
        <v>9</v>
      </c>
      <c r="B16" s="13">
        <v>1831</v>
      </c>
      <c r="C16" s="13" t="s">
        <v>314</v>
      </c>
      <c r="D16" s="14">
        <f>'איכות הסביבה'!D13</f>
        <v>166059</v>
      </c>
      <c r="E16" s="14">
        <f>'איכות הסביבה'!E13</f>
        <v>146059</v>
      </c>
      <c r="F16" s="14">
        <f>'איכות הסביבה'!F13</f>
        <v>20000</v>
      </c>
      <c r="G16" s="14">
        <f>'איכות הסביבה'!G13</f>
        <v>50000</v>
      </c>
      <c r="H16" s="14">
        <f>'איכות הסביבה'!H13</f>
        <v>38025</v>
      </c>
      <c r="I16" s="14">
        <f>'איכות הסביבה'!I13</f>
        <v>0</v>
      </c>
      <c r="J16" s="14">
        <f>'איכות הסביבה'!J13</f>
        <v>0</v>
      </c>
      <c r="K16" s="14">
        <f>'איכות הסביבה'!K13</f>
        <v>0</v>
      </c>
      <c r="L16" s="14">
        <f>'איכות הסביבה'!L13</f>
        <v>38025</v>
      </c>
      <c r="M16" s="14">
        <f>'איכות הסביבה'!M13</f>
        <v>46976</v>
      </c>
      <c r="N16" s="14">
        <f>'איכות הסביבה'!N13</f>
        <v>81058</v>
      </c>
      <c r="O16" s="14">
        <f>'איכות הסביבה'!O13</f>
        <v>0</v>
      </c>
      <c r="P16" s="14">
        <f>'איכות הסביבה'!P13</f>
        <v>11975</v>
      </c>
      <c r="Q16" s="14">
        <f>'איכות הסביבה'!Q13</f>
        <v>35001</v>
      </c>
      <c r="R16" s="14">
        <f>'איכות הסביבה'!R13</f>
        <v>0</v>
      </c>
      <c r="S16" s="14">
        <f>'איכות הסביבה'!S13</f>
        <v>35001</v>
      </c>
      <c r="T16" s="14">
        <f>'איכות הסביבה'!T13</f>
        <v>0</v>
      </c>
      <c r="U16" s="14">
        <f>'איכות הסביבה'!U13</f>
        <v>81058</v>
      </c>
      <c r="V16" s="14">
        <f>'איכות הסביבה'!V13</f>
        <v>0</v>
      </c>
      <c r="W16" s="14">
        <f>'איכות הסביבה'!W13</f>
        <v>20000</v>
      </c>
      <c r="X16" s="14">
        <f>'איכות הסביבה'!X13</f>
        <v>0</v>
      </c>
      <c r="Y16" s="14">
        <f>'איכות הסביבה'!Y13</f>
        <v>0</v>
      </c>
      <c r="Z16" s="14">
        <f>'איכות הסביבה'!Z13</f>
        <v>61058</v>
      </c>
      <c r="AA16" s="101">
        <f>'איכות הסביבה'!AA13</f>
        <v>870000</v>
      </c>
      <c r="AB16" s="112"/>
      <c r="AC16" s="210"/>
      <c r="AD16" s="57"/>
      <c r="AE16" s="57"/>
      <c r="AF16" s="57"/>
      <c r="AG16" s="57"/>
    </row>
    <row r="17" spans="1:34" s="15" customFormat="1">
      <c r="A17" s="13">
        <f t="shared" si="1"/>
        <v>10</v>
      </c>
      <c r="B17" s="13">
        <v>1866</v>
      </c>
      <c r="C17" s="13" t="s">
        <v>329</v>
      </c>
      <c r="D17" s="14">
        <f>'איכות הסביבה'!D14</f>
        <v>300000</v>
      </c>
      <c r="E17" s="14">
        <f>'איכות הסביבה'!E14</f>
        <v>300000</v>
      </c>
      <c r="F17" s="14">
        <f>'איכות הסביבה'!F14</f>
        <v>0</v>
      </c>
      <c r="G17" s="14">
        <f>'איכות הסביבה'!G14</f>
        <v>150000</v>
      </c>
      <c r="H17" s="14">
        <f>'איכות הסביבה'!H14</f>
        <v>47503.39</v>
      </c>
      <c r="I17" s="14">
        <f>'איכות הסביבה'!I14</f>
        <v>0</v>
      </c>
      <c r="J17" s="14">
        <f>'איכות הסביבה'!J14</f>
        <v>17835.41</v>
      </c>
      <c r="K17" s="14">
        <f>'איכות הסביבה'!K14</f>
        <v>17835.41</v>
      </c>
      <c r="L17" s="14">
        <f>'איכות הסביבה'!L14</f>
        <v>65338.8</v>
      </c>
      <c r="M17" s="14">
        <f>'איכות הסביבה'!M14</f>
        <v>84661.2</v>
      </c>
      <c r="N17" s="14">
        <f>'איכות הסביבה'!N14</f>
        <v>0</v>
      </c>
      <c r="O17" s="14">
        <f>'איכות הסביבה'!O14</f>
        <v>150000</v>
      </c>
      <c r="P17" s="14">
        <f>'איכות הסביבה'!P14</f>
        <v>84661.2</v>
      </c>
      <c r="Q17" s="14">
        <f>'איכות הסביבה'!Q14</f>
        <v>0</v>
      </c>
      <c r="R17" s="14">
        <f>'איכות הסביבה'!R14</f>
        <v>0</v>
      </c>
      <c r="S17" s="14">
        <f>'איכות הסביבה'!S14</f>
        <v>0</v>
      </c>
      <c r="T17" s="14">
        <f>'איכות הסביבה'!T14</f>
        <v>0</v>
      </c>
      <c r="U17" s="14">
        <f>'איכות הסביבה'!U14</f>
        <v>0</v>
      </c>
      <c r="V17" s="14">
        <f>'איכות הסביבה'!V14</f>
        <v>0</v>
      </c>
      <c r="W17" s="14">
        <f>'איכות הסביבה'!W14</f>
        <v>0</v>
      </c>
      <c r="X17" s="14">
        <f>'איכות הסביבה'!X14</f>
        <v>0</v>
      </c>
      <c r="Y17" s="14">
        <f>'איכות הסביבה'!Y14</f>
        <v>0</v>
      </c>
      <c r="Z17" s="14">
        <f>'איכות הסביבה'!Z14</f>
        <v>0</v>
      </c>
      <c r="AA17" s="101">
        <f>'איכות הסביבה'!AA14</f>
        <v>870000</v>
      </c>
      <c r="AB17" s="112"/>
      <c r="AC17" s="55"/>
      <c r="AD17" s="57"/>
      <c r="AE17" s="57"/>
      <c r="AF17" s="57"/>
      <c r="AG17" s="57"/>
    </row>
    <row r="18" spans="1:34" s="15" customFormat="1">
      <c r="A18" s="13">
        <f t="shared" si="1"/>
        <v>11</v>
      </c>
      <c r="B18" s="13">
        <v>1922</v>
      </c>
      <c r="C18" s="13" t="s">
        <v>317</v>
      </c>
      <c r="D18" s="14">
        <f>'איכות הסביבה'!D15</f>
        <v>330000</v>
      </c>
      <c r="E18" s="14">
        <f>'איכות הסביבה'!E15</f>
        <v>330000</v>
      </c>
      <c r="F18" s="14">
        <f>'איכות הסביבה'!F15</f>
        <v>0</v>
      </c>
      <c r="G18" s="14">
        <f>'איכות הסביבה'!G15</f>
        <v>100000</v>
      </c>
      <c r="H18" s="14">
        <f>'איכות הסביבה'!H15</f>
        <v>0</v>
      </c>
      <c r="I18" s="14">
        <f>'איכות הסביבה'!I15</f>
        <v>0</v>
      </c>
      <c r="J18" s="14">
        <f>'איכות הסביבה'!J15</f>
        <v>0</v>
      </c>
      <c r="K18" s="14">
        <f>'איכות הסביבה'!K15</f>
        <v>0</v>
      </c>
      <c r="L18" s="14">
        <f>'איכות הסביבה'!L15</f>
        <v>0</v>
      </c>
      <c r="M18" s="14">
        <f>'איכות הסביבה'!M15</f>
        <v>100000</v>
      </c>
      <c r="N18" s="14">
        <f>'איכות הסביבה'!N15</f>
        <v>100000</v>
      </c>
      <c r="O18" s="14">
        <f>'איכות הסביבה'!O15</f>
        <v>130000</v>
      </c>
      <c r="P18" s="14">
        <f>'איכות הסביבה'!P15</f>
        <v>100000</v>
      </c>
      <c r="Q18" s="14">
        <f>'איכות הסביבה'!Q15</f>
        <v>0</v>
      </c>
      <c r="R18" s="14">
        <f>'איכות הסביבה'!R15</f>
        <v>0</v>
      </c>
      <c r="S18" s="14">
        <f>'איכות הסביבה'!S15</f>
        <v>0</v>
      </c>
      <c r="T18" s="14">
        <f>'איכות הסביבה'!T15</f>
        <v>0</v>
      </c>
      <c r="U18" s="14">
        <f>'איכות הסביבה'!U15</f>
        <v>100000</v>
      </c>
      <c r="V18" s="14">
        <f>'איכות הסביבה'!V15</f>
        <v>0</v>
      </c>
      <c r="W18" s="14">
        <f>'איכות הסביבה'!W15</f>
        <v>100000</v>
      </c>
      <c r="X18" s="14">
        <f>'איכות הסביבה'!X15</f>
        <v>0</v>
      </c>
      <c r="Y18" s="14">
        <f>'איכות הסביבה'!Y15</f>
        <v>0</v>
      </c>
      <c r="Z18" s="14">
        <f>'איכות הסביבה'!Z15</f>
        <v>0</v>
      </c>
      <c r="AA18" s="101">
        <f>'איכות הסביבה'!AA15</f>
        <v>870000</v>
      </c>
      <c r="AB18" s="112"/>
      <c r="AC18" s="55"/>
      <c r="AD18" s="57"/>
      <c r="AE18" s="57"/>
      <c r="AF18" s="57"/>
      <c r="AG18" s="57"/>
    </row>
    <row r="19" spans="1:34" s="15" customFormat="1">
      <c r="A19" s="13">
        <f t="shared" si="1"/>
        <v>12</v>
      </c>
      <c r="B19" s="13">
        <v>1998</v>
      </c>
      <c r="C19" s="13" t="s">
        <v>446</v>
      </c>
      <c r="D19" s="14">
        <f>'איכות הסביבה'!D16</f>
        <v>4630000</v>
      </c>
      <c r="E19" s="14">
        <f>'איכות הסביבה'!E16</f>
        <v>4630000</v>
      </c>
      <c r="F19" s="14">
        <f>'איכות הסביבה'!F16</f>
        <v>0</v>
      </c>
      <c r="G19" s="14">
        <f>'איכות הסביבה'!G16</f>
        <v>0</v>
      </c>
      <c r="H19" s="14">
        <f>'איכות הסביבה'!H16</f>
        <v>0</v>
      </c>
      <c r="I19" s="14">
        <f>'איכות הסביבה'!I16</f>
        <v>0</v>
      </c>
      <c r="J19" s="14">
        <f>'איכות הסביבה'!J16</f>
        <v>0</v>
      </c>
      <c r="K19" s="14">
        <f>'איכות הסביבה'!K16</f>
        <v>0</v>
      </c>
      <c r="L19" s="14">
        <f>'איכות הסביבה'!L16</f>
        <v>0</v>
      </c>
      <c r="M19" s="14">
        <f>'איכות הסביבה'!M16</f>
        <v>0</v>
      </c>
      <c r="N19" s="14">
        <f>'איכות הסביבה'!N16</f>
        <v>2000000</v>
      </c>
      <c r="O19" s="14">
        <f>'איכות הסביבה'!O16</f>
        <v>2630000</v>
      </c>
      <c r="P19" s="14">
        <f>'איכות הסביבה'!P16</f>
        <v>0</v>
      </c>
      <c r="Q19" s="14">
        <f>'איכות הסביבה'!Q16</f>
        <v>0</v>
      </c>
      <c r="R19" s="14">
        <f>'איכות הסביבה'!R16</f>
        <v>0</v>
      </c>
      <c r="S19" s="14">
        <f>'איכות הסביבה'!S16</f>
        <v>0</v>
      </c>
      <c r="T19" s="14">
        <f>'איכות הסביבה'!T16</f>
        <v>0</v>
      </c>
      <c r="U19" s="14">
        <f>'איכות הסביבה'!U16</f>
        <v>2000000</v>
      </c>
      <c r="V19" s="14">
        <f>'איכות הסביבה'!V16</f>
        <v>700000</v>
      </c>
      <c r="W19" s="14">
        <f>'איכות הסביבה'!W16</f>
        <v>300000</v>
      </c>
      <c r="X19" s="14">
        <f>'איכות הסביבה'!X16</f>
        <v>0</v>
      </c>
      <c r="Y19" s="14">
        <f>'איכות הסביבה'!Y16</f>
        <v>0</v>
      </c>
      <c r="Z19" s="14">
        <f>'איכות הסביבה'!Z16</f>
        <v>1000000</v>
      </c>
      <c r="AA19" s="101">
        <f>'איכות הסביבה'!AA16</f>
        <v>870000</v>
      </c>
      <c r="AB19" s="112"/>
      <c r="AC19" s="55"/>
      <c r="AD19" s="55"/>
      <c r="AE19" s="57"/>
      <c r="AF19" s="57"/>
      <c r="AG19" s="57"/>
    </row>
    <row r="20" spans="1:34" s="149" customFormat="1">
      <c r="A20" s="81"/>
      <c r="B20" s="81">
        <v>8</v>
      </c>
      <c r="C20" s="81" t="s">
        <v>1045</v>
      </c>
      <c r="D20" s="198">
        <f>SUM(D11:D19)</f>
        <v>8629559</v>
      </c>
      <c r="E20" s="198">
        <f t="shared" ref="E20:Z20" si="2">SUM(E11:E19)</f>
        <v>8479559</v>
      </c>
      <c r="F20" s="198">
        <f t="shared" si="2"/>
        <v>150000</v>
      </c>
      <c r="G20" s="198">
        <f t="shared" si="2"/>
        <v>2399500</v>
      </c>
      <c r="H20" s="198">
        <f t="shared" si="2"/>
        <v>1804215.5599999996</v>
      </c>
      <c r="I20" s="198">
        <f t="shared" si="2"/>
        <v>0</v>
      </c>
      <c r="J20" s="198">
        <f t="shared" si="2"/>
        <v>175540</v>
      </c>
      <c r="K20" s="198">
        <f t="shared" si="2"/>
        <v>175540</v>
      </c>
      <c r="L20" s="198">
        <f t="shared" si="2"/>
        <v>1979755.5599999998</v>
      </c>
      <c r="M20" s="198">
        <f t="shared" si="2"/>
        <v>454745.44</v>
      </c>
      <c r="N20" s="198">
        <f t="shared" si="2"/>
        <v>2461058</v>
      </c>
      <c r="O20" s="198">
        <f t="shared" si="2"/>
        <v>3734000</v>
      </c>
      <c r="P20" s="198">
        <f t="shared" si="2"/>
        <v>419744.44</v>
      </c>
      <c r="Q20" s="198">
        <f t="shared" si="2"/>
        <v>35001</v>
      </c>
      <c r="R20" s="198">
        <f t="shared" si="2"/>
        <v>0</v>
      </c>
      <c r="S20" s="198">
        <f t="shared" si="2"/>
        <v>35001</v>
      </c>
      <c r="T20" s="198">
        <f t="shared" si="2"/>
        <v>0</v>
      </c>
      <c r="U20" s="198">
        <f t="shared" si="2"/>
        <v>2461058</v>
      </c>
      <c r="V20" s="198">
        <f t="shared" si="2"/>
        <v>700000</v>
      </c>
      <c r="W20" s="198">
        <f t="shared" si="2"/>
        <v>700000</v>
      </c>
      <c r="X20" s="198">
        <f t="shared" si="2"/>
        <v>0</v>
      </c>
      <c r="Y20" s="198">
        <f t="shared" si="2"/>
        <v>0</v>
      </c>
      <c r="Z20" s="198">
        <f t="shared" si="2"/>
        <v>1061058</v>
      </c>
      <c r="AA20" s="763"/>
      <c r="AB20" s="764"/>
      <c r="AC20" s="765"/>
      <c r="AD20" s="766"/>
      <c r="AE20" s="766"/>
      <c r="AF20" s="767"/>
      <c r="AG20" s="767"/>
      <c r="AH20" s="766"/>
    </row>
    <row r="21" spans="1:34" s="15" customFormat="1">
      <c r="A21" s="13"/>
      <c r="B21" s="13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01"/>
      <c r="AB21" s="112"/>
      <c r="AC21" s="55"/>
      <c r="AD21" s="55"/>
      <c r="AE21" s="57"/>
      <c r="AF21" s="57"/>
      <c r="AG21" s="57"/>
    </row>
    <row r="22" spans="1:34" s="99" customFormat="1" ht="15.75">
      <c r="A22" s="85">
        <f>A19</f>
        <v>12</v>
      </c>
      <c r="B22" s="85"/>
      <c r="C22" s="85" t="s">
        <v>134</v>
      </c>
      <c r="D22" s="27">
        <f>D20+D9</f>
        <v>18511559</v>
      </c>
      <c r="E22" s="27">
        <f t="shared" ref="E22:Z22" si="3">E20+E9</f>
        <v>15596559</v>
      </c>
      <c r="F22" s="27">
        <f t="shared" si="3"/>
        <v>2915000</v>
      </c>
      <c r="G22" s="27">
        <f t="shared" si="3"/>
        <v>6127500</v>
      </c>
      <c r="H22" s="27">
        <f t="shared" si="3"/>
        <v>5145429.09</v>
      </c>
      <c r="I22" s="27">
        <f t="shared" si="3"/>
        <v>0</v>
      </c>
      <c r="J22" s="27">
        <f t="shared" si="3"/>
        <v>197696.93</v>
      </c>
      <c r="K22" s="27">
        <f t="shared" si="3"/>
        <v>197696.93</v>
      </c>
      <c r="L22" s="27">
        <f t="shared" si="3"/>
        <v>5343126.0199999996</v>
      </c>
      <c r="M22" s="27">
        <f t="shared" si="3"/>
        <v>819374.98</v>
      </c>
      <c r="N22" s="27">
        <f t="shared" si="3"/>
        <v>3211058</v>
      </c>
      <c r="O22" s="27">
        <f t="shared" si="3"/>
        <v>9138000</v>
      </c>
      <c r="P22" s="27">
        <f t="shared" si="3"/>
        <v>784373.98</v>
      </c>
      <c r="Q22" s="27">
        <f t="shared" si="3"/>
        <v>35001</v>
      </c>
      <c r="R22" s="27">
        <f t="shared" si="3"/>
        <v>0</v>
      </c>
      <c r="S22" s="27">
        <f t="shared" si="3"/>
        <v>35001</v>
      </c>
      <c r="T22" s="27">
        <f t="shared" si="3"/>
        <v>0</v>
      </c>
      <c r="U22" s="27">
        <f t="shared" si="3"/>
        <v>3211058</v>
      </c>
      <c r="V22" s="27">
        <f t="shared" si="3"/>
        <v>1300000</v>
      </c>
      <c r="W22" s="27">
        <f t="shared" si="3"/>
        <v>850000</v>
      </c>
      <c r="X22" s="27">
        <f t="shared" si="3"/>
        <v>0</v>
      </c>
      <c r="Y22" s="27">
        <f t="shared" si="3"/>
        <v>0</v>
      </c>
      <c r="Z22" s="27">
        <f t="shared" si="3"/>
        <v>1061058</v>
      </c>
      <c r="AA22" s="126"/>
      <c r="AB22" s="113"/>
      <c r="AC22" s="106"/>
      <c r="AD22" s="106"/>
      <c r="AE22" s="106"/>
      <c r="AF22" s="106"/>
      <c r="AG22" s="106"/>
    </row>
    <row r="23" spans="1:34" s="99" customFormat="1" ht="15.75">
      <c r="A23" s="85"/>
      <c r="B23" s="85"/>
      <c r="C23" s="8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98"/>
      <c r="AB23" s="113"/>
      <c r="AC23" s="62"/>
      <c r="AD23" s="62"/>
      <c r="AE23" s="62"/>
      <c r="AF23" s="62"/>
      <c r="AG23" s="62"/>
    </row>
    <row r="24" spans="1:34" s="39" customFormat="1" ht="16.5" customHeight="1"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Z24" s="103"/>
      <c r="AA24" s="109"/>
      <c r="AB24" s="114"/>
      <c r="AC24" s="86"/>
      <c r="AD24" s="86"/>
      <c r="AE24" s="86"/>
      <c r="AF24" s="86"/>
      <c r="AG24" s="86"/>
    </row>
    <row r="25" spans="1:34" s="108" customFormat="1" ht="16.5" customHeight="1">
      <c r="A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15"/>
      <c r="AC25" s="107"/>
      <c r="AD25" s="107"/>
      <c r="AE25" s="107"/>
      <c r="AF25" s="107"/>
      <c r="AG25" s="107"/>
    </row>
    <row r="26" spans="1:34" s="108" customFormat="1" ht="16.5" customHeight="1">
      <c r="D26" s="107"/>
      <c r="E26" s="107"/>
      <c r="F26" s="107"/>
      <c r="G26" s="107"/>
      <c r="H26" s="107"/>
      <c r="I26" s="107"/>
      <c r="J26" s="107"/>
      <c r="K26" s="107"/>
      <c r="L26" s="107">
        <f>K25+H25</f>
        <v>0</v>
      </c>
      <c r="M26" s="107">
        <f>P25+S25-T25</f>
        <v>0</v>
      </c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B26" s="115"/>
    </row>
    <row r="27" spans="1:34">
      <c r="O27" s="107"/>
      <c r="P27" s="107"/>
      <c r="Q27" s="107"/>
      <c r="R27" s="107"/>
      <c r="S27" s="107"/>
      <c r="T27" s="107"/>
      <c r="U27" s="107"/>
      <c r="V27" s="107"/>
    </row>
    <row r="28" spans="1:34">
      <c r="O28" s="107"/>
      <c r="P28" s="107"/>
      <c r="Q28" s="107"/>
      <c r="R28" s="107"/>
      <c r="S28" s="107"/>
      <c r="T28" s="107"/>
      <c r="U28" s="107"/>
      <c r="V28" s="107"/>
      <c r="W28" s="105"/>
      <c r="X28" s="105"/>
      <c r="Y28" s="105"/>
      <c r="Z28" s="212"/>
    </row>
    <row r="29" spans="1:34">
      <c r="U29" s="42"/>
      <c r="V29" s="105"/>
      <c r="W29" s="105"/>
      <c r="X29" s="105"/>
      <c r="Y29" s="105"/>
      <c r="Z29" s="212"/>
    </row>
    <row r="30" spans="1:34">
      <c r="U30" s="42"/>
      <c r="V30" s="105"/>
      <c r="W30" s="105"/>
      <c r="X30" s="105"/>
      <c r="Y30" s="105"/>
      <c r="Z30" s="212"/>
    </row>
    <row r="31" spans="1:34">
      <c r="U31" s="42"/>
      <c r="V31" s="105"/>
      <c r="W31" s="105"/>
      <c r="X31" s="105"/>
      <c r="Y31" s="105"/>
      <c r="Z31" s="212"/>
    </row>
    <row r="32" spans="1:34">
      <c r="U32" s="42"/>
      <c r="V32" s="105"/>
      <c r="W32" s="105"/>
      <c r="X32" s="105"/>
      <c r="Y32" s="105"/>
      <c r="Z32" s="212"/>
    </row>
    <row r="33" spans="1:26">
      <c r="A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1:26">
      <c r="A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U34" s="42"/>
      <c r="W34" s="105"/>
      <c r="Z34" s="212"/>
    </row>
    <row r="35" spans="1:26">
      <c r="A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U35" s="42"/>
      <c r="W35" s="105"/>
      <c r="Z35" s="212"/>
    </row>
    <row r="36" spans="1:26">
      <c r="A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O36" s="29"/>
      <c r="U36" s="42"/>
      <c r="W36" s="105"/>
      <c r="Z36" s="212"/>
    </row>
    <row r="37" spans="1:26">
      <c r="A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U37" s="42"/>
      <c r="W37" s="105"/>
      <c r="Z37" s="212"/>
    </row>
    <row r="38" spans="1:26">
      <c r="A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U38" s="42"/>
      <c r="W38" s="105"/>
      <c r="Z38" s="212"/>
    </row>
    <row r="39" spans="1:26">
      <c r="A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U39" s="42"/>
      <c r="W39" s="105"/>
      <c r="Z39" s="212"/>
    </row>
    <row r="40" spans="1:26">
      <c r="A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U40" s="42"/>
      <c r="W40" s="105"/>
      <c r="Z40" s="212"/>
    </row>
    <row r="41" spans="1:26">
      <c r="A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U41" s="42"/>
      <c r="W41" s="105"/>
      <c r="Z41" s="212"/>
    </row>
    <row r="42" spans="1:26">
      <c r="A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U42" s="42"/>
      <c r="W42" s="105"/>
      <c r="Z42" s="212"/>
    </row>
    <row r="43" spans="1:26">
      <c r="A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R43" s="29"/>
      <c r="S43" s="29"/>
    </row>
    <row r="44" spans="1:26">
      <c r="A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  <row r="45" spans="1:26">
      <c r="A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8" spans="1:26">
      <c r="A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O48" s="31" t="s">
        <v>188</v>
      </c>
      <c r="R48" s="31" t="s">
        <v>188</v>
      </c>
      <c r="S48" s="31" t="s">
        <v>365</v>
      </c>
    </row>
    <row r="49" spans="1:20">
      <c r="A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O49" s="31" t="s">
        <v>364</v>
      </c>
      <c r="Q49" s="31">
        <v>25000</v>
      </c>
      <c r="R49" s="31">
        <v>160000</v>
      </c>
    </row>
    <row r="50" spans="1:20">
      <c r="A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R50" s="31" t="e">
        <f>#REF!</f>
        <v>#REF!</v>
      </c>
      <c r="S50" s="31" t="s">
        <v>373</v>
      </c>
    </row>
    <row r="51" spans="1:20">
      <c r="A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31" t="e">
        <f>SUM(R49:R50)</f>
        <v>#REF!</v>
      </c>
      <c r="S51" s="29"/>
      <c r="T51" s="29"/>
    </row>
  </sheetData>
  <sheetProtection formatCells="0" formatColumns="0" formatRows="0" insertColumns="0" insertRows="0" insertHyperlinks="0" deleteColumns="0" deleteRows="0" sort="0" autoFilter="0" pivotTables="0"/>
  <sortState ref="A6:AG8">
    <sortCondition ref="B6:B8"/>
  </sortState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4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E3" s="710"/>
    </row>
    <row r="5" spans="1:17" ht="20.25">
      <c r="A5" s="708"/>
      <c r="C5" s="710" t="s">
        <v>1016</v>
      </c>
      <c r="D5" s="708"/>
      <c r="E5" s="708"/>
      <c r="F5" s="708"/>
      <c r="G5" s="708"/>
      <c r="H5" s="708"/>
      <c r="I5" s="708"/>
      <c r="J5" s="708"/>
      <c r="K5" s="708"/>
      <c r="L5" s="708"/>
    </row>
    <row r="6" spans="1:17" ht="21" thickBot="1">
      <c r="A6" s="708"/>
      <c r="C6" s="710"/>
      <c r="D6" s="708"/>
      <c r="E6" s="708"/>
      <c r="F6" s="708"/>
      <c r="G6" s="708"/>
      <c r="H6" s="708"/>
      <c r="I6" s="708"/>
      <c r="J6" s="708"/>
      <c r="K6" s="708"/>
      <c r="L6" s="708"/>
    </row>
    <row r="7" spans="1:17" ht="16.5" thickBot="1">
      <c r="A7" s="708"/>
      <c r="B7" s="711" t="s">
        <v>455</v>
      </c>
      <c r="C7" s="708" t="s">
        <v>1020</v>
      </c>
      <c r="D7" s="708"/>
      <c r="E7" s="708"/>
      <c r="F7" s="712">
        <f>'החברה לתיירות '!U19</f>
        <v>9180000</v>
      </c>
      <c r="I7" s="708"/>
      <c r="J7" s="708"/>
      <c r="K7" s="708"/>
      <c r="L7" s="708"/>
    </row>
    <row r="8" spans="1:17" ht="21" thickBot="1">
      <c r="A8" s="708"/>
      <c r="C8" s="710"/>
      <c r="D8" s="708"/>
      <c r="E8" s="708"/>
      <c r="F8" s="708"/>
      <c r="H8" s="708"/>
      <c r="I8" s="708"/>
      <c r="J8" s="708"/>
      <c r="K8" s="708"/>
      <c r="L8" s="708"/>
    </row>
    <row r="9" spans="1:17" ht="16.5" thickBot="1">
      <c r="B9" s="711" t="s">
        <v>455</v>
      </c>
      <c r="C9" s="708" t="s">
        <v>1152</v>
      </c>
      <c r="D9" s="708"/>
      <c r="F9" s="736">
        <f>'החברה לתיירות '!A19</f>
        <v>13</v>
      </c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F10" s="714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/>
      <c r="C11" s="708"/>
      <c r="D11" s="708"/>
      <c r="F11" s="714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B12" s="711" t="s">
        <v>455</v>
      </c>
      <c r="C12" s="708" t="s">
        <v>972</v>
      </c>
      <c r="D12" s="708"/>
      <c r="E12" s="708"/>
      <c r="F12" s="708"/>
      <c r="G12" s="708"/>
      <c r="H12" s="708"/>
      <c r="I12" s="708"/>
      <c r="J12" s="708"/>
      <c r="K12" s="708"/>
      <c r="L12" s="708"/>
    </row>
    <row r="13" spans="1:17" ht="16.5" thickBot="1"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D14" s="737" t="s">
        <v>973</v>
      </c>
      <c r="E14" s="738" t="s">
        <v>974</v>
      </c>
      <c r="F14" s="739" t="s">
        <v>987</v>
      </c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5" t="s">
        <v>13</v>
      </c>
      <c r="E15" s="740">
        <f>'החברה לתיירות '!V19</f>
        <v>2391000</v>
      </c>
      <c r="F15" s="749">
        <f>E15/$E$17</f>
        <v>0.2604575163398693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184</v>
      </c>
      <c r="E16" s="740">
        <f>'החברה לתיירות '!Z19</f>
        <v>6789000</v>
      </c>
      <c r="F16" s="749">
        <f>E16/$E$17</f>
        <v>0.73954248366013076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2:17" ht="16.5" thickBot="1">
      <c r="C17" s="711"/>
      <c r="D17" s="718" t="s">
        <v>208</v>
      </c>
      <c r="E17" s="742">
        <f>SUM(E15:E16)</f>
        <v>9180000</v>
      </c>
      <c r="F17" s="326">
        <f>SUM(F15:F16)</f>
        <v>1</v>
      </c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C18" s="711"/>
      <c r="D18" s="714"/>
      <c r="E18" s="752"/>
      <c r="F18" s="756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2:17" ht="15.75">
      <c r="C19" s="711"/>
      <c r="D19" s="714"/>
      <c r="E19" s="752"/>
      <c r="F19" s="756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B20" s="711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2:17" ht="15.75">
      <c r="B21" s="711" t="s">
        <v>455</v>
      </c>
      <c r="C21" s="708" t="s">
        <v>995</v>
      </c>
      <c r="D21" s="708"/>
      <c r="F21" s="708"/>
      <c r="H21" s="708"/>
      <c r="I21" s="708"/>
      <c r="J21" s="708"/>
      <c r="K21" s="708"/>
      <c r="L21" s="708"/>
      <c r="M21" s="708"/>
      <c r="N21" s="708"/>
      <c r="O21" s="708"/>
      <c r="P21" s="708"/>
      <c r="Q21" s="708"/>
    </row>
    <row r="22" spans="2:17" ht="15.75">
      <c r="C22" s="708"/>
      <c r="D22" s="708" t="s">
        <v>1087</v>
      </c>
      <c r="E22" s="708"/>
      <c r="F22" s="708"/>
      <c r="H22" s="708"/>
      <c r="I22" s="708"/>
      <c r="J22" s="708"/>
      <c r="K22" s="708"/>
      <c r="L22" s="708"/>
    </row>
    <row r="23" spans="2:17" ht="15.75">
      <c r="B23" s="711"/>
      <c r="C23" s="708"/>
      <c r="D23" s="708"/>
      <c r="E23" s="708"/>
      <c r="F23" s="708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2:17" ht="15.75">
      <c r="B24" s="711"/>
      <c r="C24" s="708"/>
      <c r="D24" s="708"/>
      <c r="E24" s="708"/>
      <c r="F24" s="708"/>
      <c r="G24" s="708"/>
      <c r="I24" s="708"/>
      <c r="J24" s="708"/>
      <c r="K24" s="708"/>
      <c r="L24" s="708"/>
      <c r="M24" s="708"/>
      <c r="N24" s="708"/>
      <c r="O24" s="708"/>
      <c r="P24" s="708"/>
      <c r="Q24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34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1.5703125" style="39" customWidth="1"/>
    <col min="4" max="5" width="10.85546875" style="31" customWidth="1"/>
    <col min="6" max="6" width="9.85546875" style="31" customWidth="1"/>
    <col min="7" max="10" width="12.7109375" style="31" hidden="1" customWidth="1"/>
    <col min="11" max="11" width="11.28515625" style="31" hidden="1" customWidth="1"/>
    <col min="12" max="12" width="10.5703125" style="31" customWidth="1"/>
    <col min="13" max="13" width="9.85546875" style="31" customWidth="1"/>
    <col min="14" max="14" width="10" style="31" customWidth="1"/>
    <col min="15" max="15" width="10.5703125" style="31" customWidth="1"/>
    <col min="16" max="16" width="10.85546875" style="31" hidden="1" customWidth="1"/>
    <col min="17" max="17" width="9.7109375" style="31" hidden="1" customWidth="1"/>
    <col min="18" max="19" width="9.5703125" style="31" hidden="1" customWidth="1"/>
    <col min="20" max="20" width="10.28515625" style="31" hidden="1" customWidth="1"/>
    <col min="21" max="21" width="10.7109375" style="29" customWidth="1"/>
    <col min="22" max="22" width="10.85546875" style="29" customWidth="1"/>
    <col min="23" max="23" width="8" style="29" hidden="1" customWidth="1"/>
    <col min="24" max="25" width="11.85546875" style="29" hidden="1" customWidth="1"/>
    <col min="26" max="26" width="11.42578125" style="29" customWidth="1"/>
    <col min="27" max="27" width="7.85546875" style="29" hidden="1" customWidth="1"/>
    <col min="28" max="29" width="9.140625" style="37" customWidth="1"/>
    <col min="30" max="16384" width="9.140625" style="29"/>
  </cols>
  <sheetData>
    <row r="2" spans="1:32" ht="18.75">
      <c r="A2" s="194" t="s">
        <v>223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32" s="67" customFormat="1" ht="90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9</v>
      </c>
      <c r="J4" s="21" t="s">
        <v>423</v>
      </c>
      <c r="K4" s="21" t="s">
        <v>10</v>
      </c>
      <c r="L4" s="21" t="s">
        <v>11</v>
      </c>
      <c r="M4" s="21" t="s">
        <v>414</v>
      </c>
      <c r="N4" s="21" t="s">
        <v>415</v>
      </c>
      <c r="O4" s="21" t="s">
        <v>416</v>
      </c>
      <c r="P4" s="21" t="s">
        <v>12</v>
      </c>
      <c r="Q4" s="21" t="s">
        <v>417</v>
      </c>
      <c r="R4" s="21" t="s">
        <v>418</v>
      </c>
      <c r="S4" s="21" t="s">
        <v>419</v>
      </c>
      <c r="T4" s="21" t="s">
        <v>420</v>
      </c>
      <c r="U4" s="21" t="s">
        <v>421</v>
      </c>
      <c r="V4" s="21" t="s">
        <v>13</v>
      </c>
      <c r="W4" s="21" t="s">
        <v>14</v>
      </c>
      <c r="X4" s="21" t="s">
        <v>15</v>
      </c>
      <c r="Y4" s="21" t="s">
        <v>914</v>
      </c>
      <c r="Z4" s="21" t="s">
        <v>184</v>
      </c>
      <c r="AA4" s="21" t="s">
        <v>16</v>
      </c>
      <c r="AB4" s="60"/>
      <c r="AC4" s="60"/>
    </row>
    <row r="5" spans="1:32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90"/>
      <c r="AB5" s="57"/>
      <c r="AC5" s="57"/>
    </row>
    <row r="6" spans="1:32" s="16" customFormat="1">
      <c r="A6" s="13">
        <f>A5+1</f>
        <v>1</v>
      </c>
      <c r="B6" s="13">
        <v>1519</v>
      </c>
      <c r="C6" s="13" t="s">
        <v>181</v>
      </c>
      <c r="D6" s="14">
        <v>8493000</v>
      </c>
      <c r="E6" s="14">
        <v>2030000</v>
      </c>
      <c r="F6" s="14">
        <f>D6-E6</f>
        <v>6463000</v>
      </c>
      <c r="G6" s="14">
        <v>730000</v>
      </c>
      <c r="H6" s="14">
        <v>727317.36</v>
      </c>
      <c r="I6" s="14"/>
      <c r="J6" s="14"/>
      <c r="K6" s="14">
        <f>SUM(I6:J6)</f>
        <v>0</v>
      </c>
      <c r="L6" s="14">
        <f t="shared" ref="L6:L18" si="0">H6+K6</f>
        <v>727317.36</v>
      </c>
      <c r="M6" s="14">
        <f t="shared" ref="M6:M18" si="1">P6+S6</f>
        <v>2682.640000000014</v>
      </c>
      <c r="N6" s="14">
        <f>3300000-2300000</f>
        <v>1000000</v>
      </c>
      <c r="O6" s="14">
        <f t="shared" ref="O6:O18" si="2">D6-L6-M6-N6</f>
        <v>6763000</v>
      </c>
      <c r="P6" s="14">
        <f t="shared" ref="P6:P18" si="3">G6-L6</f>
        <v>2682.640000000014</v>
      </c>
      <c r="Q6" s="14"/>
      <c r="R6" s="14"/>
      <c r="S6" s="14">
        <f t="shared" ref="S6:S18" si="4">SUM(Q6:R6)</f>
        <v>0</v>
      </c>
      <c r="T6" s="14">
        <f>P6-M6+S6</f>
        <v>0</v>
      </c>
      <c r="U6" s="14">
        <f>N6</f>
        <v>1000000</v>
      </c>
      <c r="V6" s="14">
        <f t="shared" ref="V6:V18" si="5">U6-W6-Y6-Z6</f>
        <v>1000000</v>
      </c>
      <c r="W6" s="14"/>
      <c r="X6" s="14"/>
      <c r="Y6" s="14"/>
      <c r="Z6" s="14"/>
      <c r="AA6" s="13">
        <v>732000</v>
      </c>
      <c r="AB6" s="57"/>
      <c r="AC6" s="55"/>
    </row>
    <row r="7" spans="1:32" s="15" customFormat="1">
      <c r="A7" s="13">
        <f>A6+1</f>
        <v>2</v>
      </c>
      <c r="B7" s="13">
        <v>1867</v>
      </c>
      <c r="C7" s="13" t="s">
        <v>310</v>
      </c>
      <c r="D7" s="14">
        <v>1520000</v>
      </c>
      <c r="E7" s="14">
        <v>720000</v>
      </c>
      <c r="F7" s="14">
        <f t="shared" ref="F7:F18" si="6">D7-E7</f>
        <v>800000</v>
      </c>
      <c r="G7" s="14">
        <v>200000</v>
      </c>
      <c r="H7" s="14">
        <v>139575.9</v>
      </c>
      <c r="I7" s="14"/>
      <c r="J7" s="14"/>
      <c r="K7" s="14">
        <f t="shared" ref="K7:K14" si="7">SUM(I7:J7)</f>
        <v>0</v>
      </c>
      <c r="L7" s="14">
        <f t="shared" si="0"/>
        <v>139575.9</v>
      </c>
      <c r="M7" s="14">
        <f t="shared" si="1"/>
        <v>60424.100000000006</v>
      </c>
      <c r="N7" s="14">
        <v>250000</v>
      </c>
      <c r="O7" s="14">
        <f t="shared" si="2"/>
        <v>1070000</v>
      </c>
      <c r="P7" s="14">
        <f t="shared" si="3"/>
        <v>60424.100000000006</v>
      </c>
      <c r="Q7" s="14"/>
      <c r="R7" s="14"/>
      <c r="S7" s="14">
        <f t="shared" si="4"/>
        <v>0</v>
      </c>
      <c r="T7" s="14"/>
      <c r="U7" s="14">
        <f t="shared" ref="U7:U15" si="8">N7</f>
        <v>250000</v>
      </c>
      <c r="V7" s="14">
        <f t="shared" si="5"/>
        <v>250000</v>
      </c>
      <c r="W7" s="14"/>
      <c r="X7" s="14"/>
      <c r="Y7" s="14"/>
      <c r="Z7" s="13"/>
      <c r="AA7" s="13">
        <v>732000</v>
      </c>
      <c r="AB7" s="57"/>
      <c r="AC7" s="55"/>
    </row>
    <row r="8" spans="1:32" s="15" customFormat="1">
      <c r="A8" s="13">
        <f t="shared" ref="A8:A15" si="9">A7+1</f>
        <v>3</v>
      </c>
      <c r="B8" s="13">
        <v>1869</v>
      </c>
      <c r="C8" s="13" t="s">
        <v>311</v>
      </c>
      <c r="D8" s="14">
        <v>8200000</v>
      </c>
      <c r="E8" s="14">
        <v>500000</v>
      </c>
      <c r="F8" s="14">
        <f t="shared" si="6"/>
        <v>7700000</v>
      </c>
      <c r="G8" s="14">
        <v>100000</v>
      </c>
      <c r="H8" s="14">
        <v>0</v>
      </c>
      <c r="I8" s="14"/>
      <c r="J8" s="14"/>
      <c r="K8" s="14">
        <f t="shared" si="7"/>
        <v>0</v>
      </c>
      <c r="L8" s="14">
        <f t="shared" si="0"/>
        <v>0</v>
      </c>
      <c r="M8" s="14">
        <f t="shared" si="1"/>
        <v>100000</v>
      </c>
      <c r="N8" s="14">
        <v>400000</v>
      </c>
      <c r="O8" s="14">
        <f t="shared" si="2"/>
        <v>7700000</v>
      </c>
      <c r="P8" s="14">
        <f t="shared" si="3"/>
        <v>100000</v>
      </c>
      <c r="Q8" s="14"/>
      <c r="R8" s="14"/>
      <c r="S8" s="14">
        <f t="shared" si="4"/>
        <v>0</v>
      </c>
      <c r="T8" s="14">
        <f t="shared" ref="T8:T18" si="10">P8-M8+S8</f>
        <v>0</v>
      </c>
      <c r="U8" s="14">
        <f t="shared" si="8"/>
        <v>400000</v>
      </c>
      <c r="V8" s="14">
        <f t="shared" si="5"/>
        <v>400000</v>
      </c>
      <c r="W8" s="14"/>
      <c r="X8" s="14"/>
      <c r="Y8" s="14"/>
      <c r="Z8" s="13"/>
      <c r="AA8" s="13">
        <v>742000</v>
      </c>
      <c r="AB8" s="57"/>
      <c r="AC8" s="55"/>
    </row>
    <row r="9" spans="1:32" s="15" customFormat="1">
      <c r="A9" s="13">
        <f t="shared" si="9"/>
        <v>4</v>
      </c>
      <c r="B9" s="13">
        <v>1870</v>
      </c>
      <c r="C9" s="13" t="s">
        <v>313</v>
      </c>
      <c r="D9" s="14">
        <v>7230000</v>
      </c>
      <c r="E9" s="14">
        <v>7230000</v>
      </c>
      <c r="F9" s="14">
        <f t="shared" si="6"/>
        <v>0</v>
      </c>
      <c r="G9" s="14">
        <v>6500000</v>
      </c>
      <c r="H9" s="14">
        <v>5149035.42</v>
      </c>
      <c r="I9" s="14"/>
      <c r="J9" s="14"/>
      <c r="K9" s="14">
        <f t="shared" si="7"/>
        <v>0</v>
      </c>
      <c r="L9" s="14">
        <f t="shared" si="0"/>
        <v>5149035.42</v>
      </c>
      <c r="M9" s="14">
        <f t="shared" si="1"/>
        <v>1350964.58</v>
      </c>
      <c r="N9" s="14">
        <v>730000</v>
      </c>
      <c r="O9" s="14">
        <f t="shared" si="2"/>
        <v>0</v>
      </c>
      <c r="P9" s="14">
        <f t="shared" si="3"/>
        <v>1350964.58</v>
      </c>
      <c r="Q9" s="14"/>
      <c r="R9" s="14"/>
      <c r="S9" s="14">
        <f t="shared" si="4"/>
        <v>0</v>
      </c>
      <c r="T9" s="14">
        <f t="shared" si="10"/>
        <v>0</v>
      </c>
      <c r="U9" s="14">
        <f t="shared" si="8"/>
        <v>730000</v>
      </c>
      <c r="V9" s="14">
        <f t="shared" si="5"/>
        <v>730000</v>
      </c>
      <c r="W9" s="14"/>
      <c r="X9" s="14"/>
      <c r="Y9" s="14"/>
      <c r="Z9" s="13"/>
      <c r="AA9" s="13">
        <v>742000</v>
      </c>
      <c r="AB9" s="57"/>
      <c r="AC9" s="55"/>
    </row>
    <row r="10" spans="1:32" s="15" customFormat="1">
      <c r="A10" s="13">
        <f t="shared" si="9"/>
        <v>5</v>
      </c>
      <c r="B10" s="13">
        <v>1932</v>
      </c>
      <c r="C10" s="13" t="s">
        <v>312</v>
      </c>
      <c r="D10" s="14">
        <v>5000000</v>
      </c>
      <c r="E10" s="14">
        <v>5000000</v>
      </c>
      <c r="F10" s="14">
        <f t="shared" si="6"/>
        <v>0</v>
      </c>
      <c r="G10" s="14">
        <v>200000</v>
      </c>
      <c r="H10" s="14">
        <v>97534.29</v>
      </c>
      <c r="I10" s="14"/>
      <c r="J10" s="14"/>
      <c r="K10" s="14">
        <f t="shared" si="7"/>
        <v>0</v>
      </c>
      <c r="L10" s="14">
        <f t="shared" si="0"/>
        <v>97534.29</v>
      </c>
      <c r="M10" s="14">
        <f t="shared" si="1"/>
        <v>102465.71</v>
      </c>
      <c r="N10" s="14">
        <v>4800000</v>
      </c>
      <c r="O10" s="14">
        <f t="shared" si="2"/>
        <v>0</v>
      </c>
      <c r="P10" s="14">
        <f t="shared" si="3"/>
        <v>102465.71</v>
      </c>
      <c r="Q10" s="14"/>
      <c r="R10" s="14"/>
      <c r="S10" s="14">
        <f t="shared" si="4"/>
        <v>0</v>
      </c>
      <c r="T10" s="14">
        <f t="shared" si="10"/>
        <v>0</v>
      </c>
      <c r="U10" s="14">
        <f t="shared" si="8"/>
        <v>4800000</v>
      </c>
      <c r="V10" s="14">
        <f t="shared" si="5"/>
        <v>0</v>
      </c>
      <c r="W10" s="14"/>
      <c r="X10" s="14"/>
      <c r="Y10" s="14"/>
      <c r="Z10" s="14">
        <v>4800000</v>
      </c>
      <c r="AA10" s="13">
        <v>746000</v>
      </c>
      <c r="AB10" s="57"/>
      <c r="AC10" s="55"/>
      <c r="AF10" s="55"/>
    </row>
    <row r="11" spans="1:32" s="15" customFormat="1" ht="15.75">
      <c r="A11" s="13">
        <f t="shared" si="9"/>
        <v>6</v>
      </c>
      <c r="B11" s="13">
        <v>1934</v>
      </c>
      <c r="C11" s="13" t="s">
        <v>379</v>
      </c>
      <c r="D11" s="127">
        <v>3300000</v>
      </c>
      <c r="E11" s="127">
        <v>3300000</v>
      </c>
      <c r="F11" s="14">
        <f t="shared" si="6"/>
        <v>0</v>
      </c>
      <c r="G11" s="14">
        <v>1300000</v>
      </c>
      <c r="H11" s="14">
        <v>1299322.6599999999</v>
      </c>
      <c r="I11" s="14"/>
      <c r="J11" s="14"/>
      <c r="K11" s="14">
        <f t="shared" si="7"/>
        <v>0</v>
      </c>
      <c r="L11" s="14">
        <f t="shared" si="0"/>
        <v>1299322.6599999999</v>
      </c>
      <c r="M11" s="14">
        <f t="shared" si="1"/>
        <v>2000677.34</v>
      </c>
      <c r="N11" s="14"/>
      <c r="O11" s="14">
        <f t="shared" si="2"/>
        <v>0</v>
      </c>
      <c r="P11" s="14">
        <f t="shared" si="3"/>
        <v>677.34000000008382</v>
      </c>
      <c r="Q11" s="14"/>
      <c r="R11" s="14">
        <v>2000000</v>
      </c>
      <c r="S11" s="14">
        <f t="shared" si="4"/>
        <v>2000000</v>
      </c>
      <c r="T11" s="14">
        <f t="shared" si="10"/>
        <v>0</v>
      </c>
      <c r="U11" s="14">
        <f t="shared" si="8"/>
        <v>0</v>
      </c>
      <c r="V11" s="14">
        <f t="shared" si="5"/>
        <v>-1988999.9999999998</v>
      </c>
      <c r="W11" s="14"/>
      <c r="X11" s="14"/>
      <c r="Y11" s="14"/>
      <c r="Z11" s="14">
        <f>1700000*1.17</f>
        <v>1988999.9999999998</v>
      </c>
      <c r="AA11" s="13">
        <v>742000</v>
      </c>
      <c r="AB11" s="57"/>
      <c r="AC11" s="55"/>
      <c r="AF11" s="55"/>
    </row>
    <row r="12" spans="1:32" s="15" customFormat="1" ht="15.75">
      <c r="A12" s="13">
        <f t="shared" si="9"/>
        <v>7</v>
      </c>
      <c r="B12" s="13">
        <v>1979</v>
      </c>
      <c r="C12" s="13" t="s">
        <v>380</v>
      </c>
      <c r="D12" s="127">
        <v>195000</v>
      </c>
      <c r="E12" s="127">
        <v>195000</v>
      </c>
      <c r="F12" s="14">
        <f t="shared" si="6"/>
        <v>0</v>
      </c>
      <c r="G12" s="14">
        <f>195000-145000</f>
        <v>50000</v>
      </c>
      <c r="H12" s="14">
        <v>0</v>
      </c>
      <c r="I12" s="14"/>
      <c r="J12" s="14"/>
      <c r="K12" s="14">
        <f t="shared" si="7"/>
        <v>0</v>
      </c>
      <c r="L12" s="14">
        <f t="shared" si="0"/>
        <v>0</v>
      </c>
      <c r="M12" s="14">
        <f t="shared" si="1"/>
        <v>50000</v>
      </c>
      <c r="N12" s="14">
        <v>145000</v>
      </c>
      <c r="O12" s="14">
        <f t="shared" si="2"/>
        <v>0</v>
      </c>
      <c r="P12" s="14">
        <v>50000</v>
      </c>
      <c r="Q12" s="14"/>
      <c r="R12" s="14"/>
      <c r="S12" s="14">
        <f t="shared" si="4"/>
        <v>0</v>
      </c>
      <c r="T12" s="14"/>
      <c r="U12" s="14">
        <f t="shared" si="8"/>
        <v>145000</v>
      </c>
      <c r="V12" s="14">
        <f t="shared" si="5"/>
        <v>145000</v>
      </c>
      <c r="W12" s="14"/>
      <c r="X12" s="14"/>
      <c r="Y12" s="14"/>
      <c r="Z12" s="13"/>
      <c r="AA12" s="13">
        <v>732000</v>
      </c>
      <c r="AB12" s="57"/>
      <c r="AC12" s="55"/>
      <c r="AF12" s="55"/>
    </row>
    <row r="13" spans="1:32" s="15" customFormat="1" ht="30">
      <c r="A13" s="13">
        <f t="shared" si="9"/>
        <v>8</v>
      </c>
      <c r="B13" s="13">
        <v>1980</v>
      </c>
      <c r="C13" s="13" t="s">
        <v>452</v>
      </c>
      <c r="D13" s="127">
        <v>1150000</v>
      </c>
      <c r="E13" s="127">
        <v>1150000</v>
      </c>
      <c r="F13" s="14">
        <f t="shared" si="6"/>
        <v>0</v>
      </c>
      <c r="G13" s="14">
        <f>350000+100000</f>
        <v>450000</v>
      </c>
      <c r="H13" s="14">
        <v>292539.62</v>
      </c>
      <c r="I13" s="14"/>
      <c r="J13" s="14"/>
      <c r="K13" s="14">
        <f t="shared" si="7"/>
        <v>0</v>
      </c>
      <c r="L13" s="14">
        <f t="shared" si="0"/>
        <v>292539.62</v>
      </c>
      <c r="M13" s="14">
        <f t="shared" si="1"/>
        <v>157460.38</v>
      </c>
      <c r="N13" s="14">
        <v>400000</v>
      </c>
      <c r="O13" s="14">
        <f t="shared" si="2"/>
        <v>300000</v>
      </c>
      <c r="P13" s="14">
        <f t="shared" si="3"/>
        <v>157460.38</v>
      </c>
      <c r="Q13" s="14"/>
      <c r="R13" s="14"/>
      <c r="S13" s="14">
        <f t="shared" si="4"/>
        <v>0</v>
      </c>
      <c r="T13" s="14">
        <f t="shared" si="10"/>
        <v>0</v>
      </c>
      <c r="U13" s="14">
        <f t="shared" si="8"/>
        <v>400000</v>
      </c>
      <c r="V13" s="14">
        <f t="shared" si="5"/>
        <v>400000</v>
      </c>
      <c r="W13" s="14"/>
      <c r="X13" s="14"/>
      <c r="Y13" s="14"/>
      <c r="Z13" s="13"/>
      <c r="AA13" s="13">
        <v>746000</v>
      </c>
      <c r="AB13" s="57"/>
      <c r="AC13" s="55"/>
      <c r="AF13" s="55"/>
    </row>
    <row r="14" spans="1:32" s="15" customFormat="1" ht="15.75">
      <c r="A14" s="13">
        <f t="shared" si="9"/>
        <v>9</v>
      </c>
      <c r="B14" s="13">
        <v>1981</v>
      </c>
      <c r="C14" s="13" t="s">
        <v>381</v>
      </c>
      <c r="D14" s="127">
        <v>1100000</v>
      </c>
      <c r="E14" s="127">
        <v>980000</v>
      </c>
      <c r="F14" s="14">
        <f t="shared" si="6"/>
        <v>120000</v>
      </c>
      <c r="G14" s="14">
        <f>400000+200000</f>
        <v>600000</v>
      </c>
      <c r="H14" s="14">
        <v>384914.67</v>
      </c>
      <c r="I14" s="14"/>
      <c r="J14" s="14"/>
      <c r="K14" s="14">
        <f t="shared" si="7"/>
        <v>0</v>
      </c>
      <c r="L14" s="14">
        <f t="shared" si="0"/>
        <v>384914.67</v>
      </c>
      <c r="M14" s="14">
        <f t="shared" si="1"/>
        <v>215085.33000000002</v>
      </c>
      <c r="N14" s="14">
        <v>400000</v>
      </c>
      <c r="O14" s="14">
        <f t="shared" si="2"/>
        <v>100000.00000000006</v>
      </c>
      <c r="P14" s="14">
        <f t="shared" si="3"/>
        <v>215085.33000000002</v>
      </c>
      <c r="Q14" s="14"/>
      <c r="R14" s="14"/>
      <c r="S14" s="14">
        <f t="shared" si="4"/>
        <v>0</v>
      </c>
      <c r="T14" s="14">
        <f t="shared" si="10"/>
        <v>0</v>
      </c>
      <c r="U14" s="14">
        <f t="shared" si="8"/>
        <v>400000</v>
      </c>
      <c r="V14" s="14">
        <f t="shared" si="5"/>
        <v>400000</v>
      </c>
      <c r="W14" s="14"/>
      <c r="X14" s="14"/>
      <c r="Y14" s="14"/>
      <c r="Z14" s="13"/>
      <c r="AA14" s="13">
        <v>746000</v>
      </c>
      <c r="AB14" s="57"/>
      <c r="AC14" s="55"/>
      <c r="AF14" s="55"/>
    </row>
    <row r="15" spans="1:32" s="15" customFormat="1" ht="15.75">
      <c r="A15" s="13">
        <f t="shared" si="9"/>
        <v>10</v>
      </c>
      <c r="B15" s="13">
        <v>2002</v>
      </c>
      <c r="C15" s="13" t="s">
        <v>499</v>
      </c>
      <c r="D15" s="127">
        <v>865000</v>
      </c>
      <c r="E15" s="127">
        <v>865000</v>
      </c>
      <c r="F15" s="14">
        <f t="shared" si="6"/>
        <v>0</v>
      </c>
      <c r="G15" s="14">
        <v>865000</v>
      </c>
      <c r="H15" s="14"/>
      <c r="I15" s="14"/>
      <c r="J15" s="14"/>
      <c r="K15" s="14"/>
      <c r="L15" s="14">
        <f t="shared" si="0"/>
        <v>0</v>
      </c>
      <c r="M15" s="14">
        <f t="shared" si="1"/>
        <v>865000</v>
      </c>
      <c r="N15" s="14"/>
      <c r="O15" s="14">
        <f t="shared" si="2"/>
        <v>0</v>
      </c>
      <c r="P15" s="14">
        <f t="shared" si="3"/>
        <v>865000</v>
      </c>
      <c r="Q15" s="14"/>
      <c r="R15" s="14"/>
      <c r="S15" s="14">
        <f t="shared" si="4"/>
        <v>0</v>
      </c>
      <c r="T15" s="14">
        <f t="shared" si="10"/>
        <v>0</v>
      </c>
      <c r="U15" s="14">
        <f t="shared" si="8"/>
        <v>0</v>
      </c>
      <c r="V15" s="14">
        <f t="shared" si="5"/>
        <v>0</v>
      </c>
      <c r="W15" s="14"/>
      <c r="X15" s="14"/>
      <c r="Y15" s="14"/>
      <c r="Z15" s="13"/>
      <c r="AA15" s="13">
        <v>742000</v>
      </c>
      <c r="AB15" s="57"/>
      <c r="AC15" s="55"/>
      <c r="AF15" s="55"/>
    </row>
    <row r="16" spans="1:32" s="15" customFormat="1" ht="15.75">
      <c r="A16" s="13">
        <f>A15+1</f>
        <v>11</v>
      </c>
      <c r="B16" s="13">
        <v>2052</v>
      </c>
      <c r="C16" s="13" t="s">
        <v>500</v>
      </c>
      <c r="D16" s="127">
        <v>355000</v>
      </c>
      <c r="E16" s="127"/>
      <c r="F16" s="14">
        <f t="shared" si="6"/>
        <v>355000</v>
      </c>
      <c r="G16" s="14">
        <v>0</v>
      </c>
      <c r="H16" s="14">
        <v>0</v>
      </c>
      <c r="I16" s="14"/>
      <c r="J16" s="14"/>
      <c r="K16" s="14">
        <f>SUM(I16:J16)</f>
        <v>0</v>
      </c>
      <c r="L16" s="14">
        <f t="shared" si="0"/>
        <v>0</v>
      </c>
      <c r="M16" s="14">
        <f t="shared" si="1"/>
        <v>0</v>
      </c>
      <c r="N16" s="14">
        <v>355000</v>
      </c>
      <c r="O16" s="14">
        <f t="shared" si="2"/>
        <v>0</v>
      </c>
      <c r="P16" s="14">
        <f t="shared" si="3"/>
        <v>0</v>
      </c>
      <c r="Q16" s="14"/>
      <c r="R16" s="14"/>
      <c r="S16" s="14">
        <f t="shared" si="4"/>
        <v>0</v>
      </c>
      <c r="T16" s="14">
        <f t="shared" si="10"/>
        <v>0</v>
      </c>
      <c r="U16" s="14">
        <f>N16-T16</f>
        <v>355000</v>
      </c>
      <c r="V16" s="14">
        <f t="shared" si="5"/>
        <v>355000</v>
      </c>
      <c r="W16" s="14"/>
      <c r="X16" s="14"/>
      <c r="Y16" s="14"/>
      <c r="Z16" s="13"/>
      <c r="AA16" s="13">
        <v>732000</v>
      </c>
      <c r="AB16" s="57"/>
      <c r="AC16" s="55"/>
      <c r="AF16" s="78"/>
    </row>
    <row r="17" spans="1:32" s="15" customFormat="1" ht="15.75">
      <c r="A17" s="13">
        <f>A16+1</f>
        <v>12</v>
      </c>
      <c r="B17" s="13">
        <v>2053</v>
      </c>
      <c r="C17" s="13" t="s">
        <v>501</v>
      </c>
      <c r="D17" s="127">
        <v>1000000</v>
      </c>
      <c r="E17" s="127"/>
      <c r="F17" s="14">
        <f t="shared" si="6"/>
        <v>1000000</v>
      </c>
      <c r="G17" s="14">
        <v>0</v>
      </c>
      <c r="H17" s="14">
        <v>0</v>
      </c>
      <c r="I17" s="14"/>
      <c r="J17" s="14"/>
      <c r="K17" s="14">
        <f>SUM(I17:J17)</f>
        <v>0</v>
      </c>
      <c r="L17" s="14">
        <f t="shared" si="0"/>
        <v>0</v>
      </c>
      <c r="M17" s="14">
        <f t="shared" si="1"/>
        <v>0</v>
      </c>
      <c r="N17" s="14">
        <f>1000000-500000</f>
        <v>500000</v>
      </c>
      <c r="O17" s="14">
        <f t="shared" si="2"/>
        <v>500000</v>
      </c>
      <c r="P17" s="14">
        <f t="shared" si="3"/>
        <v>0</v>
      </c>
      <c r="Q17" s="14"/>
      <c r="R17" s="14"/>
      <c r="S17" s="14">
        <f t="shared" si="4"/>
        <v>0</v>
      </c>
      <c r="T17" s="14">
        <f t="shared" si="10"/>
        <v>0</v>
      </c>
      <c r="U17" s="14">
        <f>N17-T17</f>
        <v>500000</v>
      </c>
      <c r="V17" s="14">
        <f t="shared" si="5"/>
        <v>500000</v>
      </c>
      <c r="W17" s="14"/>
      <c r="X17" s="14"/>
      <c r="Y17" s="14"/>
      <c r="Z17" s="13"/>
      <c r="AA17" s="13">
        <v>749000</v>
      </c>
      <c r="AB17" s="57"/>
      <c r="AC17" s="55"/>
    </row>
    <row r="18" spans="1:32" s="15" customFormat="1" ht="15.75">
      <c r="A18" s="13">
        <f>A17+1</f>
        <v>13</v>
      </c>
      <c r="B18" s="13">
        <v>2054</v>
      </c>
      <c r="C18" s="13" t="s">
        <v>502</v>
      </c>
      <c r="D18" s="127">
        <v>650000</v>
      </c>
      <c r="E18" s="127"/>
      <c r="F18" s="14">
        <f t="shared" si="6"/>
        <v>650000</v>
      </c>
      <c r="G18" s="14">
        <v>0</v>
      </c>
      <c r="H18" s="14">
        <v>0</v>
      </c>
      <c r="I18" s="14"/>
      <c r="J18" s="14"/>
      <c r="K18" s="14">
        <f>SUM(I18:J18)</f>
        <v>0</v>
      </c>
      <c r="L18" s="14">
        <f t="shared" si="0"/>
        <v>0</v>
      </c>
      <c r="M18" s="14">
        <f t="shared" si="1"/>
        <v>0</v>
      </c>
      <c r="N18" s="14">
        <f>650000-450000</f>
        <v>200000</v>
      </c>
      <c r="O18" s="14">
        <f t="shared" si="2"/>
        <v>450000</v>
      </c>
      <c r="P18" s="14">
        <f t="shared" si="3"/>
        <v>0</v>
      </c>
      <c r="Q18" s="14"/>
      <c r="R18" s="14"/>
      <c r="S18" s="14">
        <f t="shared" si="4"/>
        <v>0</v>
      </c>
      <c r="T18" s="14">
        <f t="shared" si="10"/>
        <v>0</v>
      </c>
      <c r="U18" s="14">
        <f>N18-T18</f>
        <v>200000</v>
      </c>
      <c r="V18" s="14">
        <f t="shared" si="5"/>
        <v>200000</v>
      </c>
      <c r="W18" s="14"/>
      <c r="X18" s="14"/>
      <c r="Y18" s="14"/>
      <c r="Z18" s="13"/>
      <c r="AA18" s="13">
        <v>749000</v>
      </c>
      <c r="AB18" s="57"/>
      <c r="AC18" s="55"/>
    </row>
    <row r="19" spans="1:32" s="99" customFormat="1" ht="15.75">
      <c r="A19" s="85">
        <f>A18</f>
        <v>13</v>
      </c>
      <c r="B19" s="123"/>
      <c r="C19" s="85" t="s">
        <v>874</v>
      </c>
      <c r="D19" s="219">
        <f t="shared" ref="D19:Z19" si="11">SUM(D6:D18)</f>
        <v>39058000</v>
      </c>
      <c r="E19" s="219">
        <f t="shared" si="11"/>
        <v>21970000</v>
      </c>
      <c r="F19" s="219">
        <f t="shared" si="11"/>
        <v>17088000</v>
      </c>
      <c r="G19" s="219">
        <f t="shared" si="11"/>
        <v>10995000</v>
      </c>
      <c r="H19" s="219">
        <f t="shared" si="11"/>
        <v>8090239.9199999999</v>
      </c>
      <c r="I19" s="219">
        <f t="shared" si="11"/>
        <v>0</v>
      </c>
      <c r="J19" s="219">
        <f t="shared" si="11"/>
        <v>0</v>
      </c>
      <c r="K19" s="219">
        <f t="shared" si="11"/>
        <v>0</v>
      </c>
      <c r="L19" s="219">
        <f t="shared" si="11"/>
        <v>8090239.9199999999</v>
      </c>
      <c r="M19" s="219">
        <f t="shared" si="11"/>
        <v>4904760.08</v>
      </c>
      <c r="N19" s="219">
        <f t="shared" si="11"/>
        <v>9180000</v>
      </c>
      <c r="O19" s="219">
        <f t="shared" si="11"/>
        <v>16883000</v>
      </c>
      <c r="P19" s="219">
        <f t="shared" si="11"/>
        <v>2904760.08</v>
      </c>
      <c r="Q19" s="219">
        <f t="shared" si="11"/>
        <v>0</v>
      </c>
      <c r="R19" s="219">
        <f t="shared" si="11"/>
        <v>2000000</v>
      </c>
      <c r="S19" s="219">
        <f t="shared" si="11"/>
        <v>2000000</v>
      </c>
      <c r="T19" s="219">
        <f t="shared" si="11"/>
        <v>0</v>
      </c>
      <c r="U19" s="219">
        <f t="shared" si="11"/>
        <v>9180000</v>
      </c>
      <c r="V19" s="219">
        <f t="shared" si="11"/>
        <v>2391000</v>
      </c>
      <c r="W19" s="219">
        <f t="shared" si="11"/>
        <v>0</v>
      </c>
      <c r="X19" s="219">
        <f t="shared" si="11"/>
        <v>0</v>
      </c>
      <c r="Y19" s="219">
        <f t="shared" si="11"/>
        <v>0</v>
      </c>
      <c r="Z19" s="219">
        <f t="shared" si="11"/>
        <v>6789000</v>
      </c>
      <c r="AA19" s="219"/>
      <c r="AB19" s="131"/>
      <c r="AC19" s="131"/>
      <c r="AF19" s="63"/>
    </row>
    <row r="20" spans="1:32" s="16" customFormat="1" ht="15.75">
      <c r="A20" s="19"/>
      <c r="B20" s="123"/>
      <c r="C20" s="19"/>
      <c r="D20" s="219"/>
      <c r="E20" s="219"/>
      <c r="F20" s="14">
        <f>D20-E20</f>
        <v>0</v>
      </c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131"/>
      <c r="AC20" s="131"/>
      <c r="AF20" s="55"/>
    </row>
    <row r="21" spans="1:32" s="15" customFormat="1">
      <c r="A21" s="57"/>
      <c r="B21" s="57"/>
      <c r="C21" s="57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7"/>
      <c r="AA21" s="57"/>
      <c r="AB21" s="57"/>
      <c r="AC21" s="57"/>
    </row>
    <row r="22" spans="1:32">
      <c r="U22" s="31"/>
    </row>
    <row r="23" spans="1:32">
      <c r="M23" s="52"/>
      <c r="U23" s="31"/>
    </row>
    <row r="24" spans="1:32">
      <c r="M24" s="52"/>
      <c r="U24" s="31"/>
    </row>
    <row r="25" spans="1:32">
      <c r="M25" s="52"/>
      <c r="P25" s="82"/>
    </row>
    <row r="26" spans="1:32">
      <c r="G26" s="221"/>
      <c r="M26" s="52"/>
      <c r="P26" s="82"/>
    </row>
    <row r="27" spans="1:32">
      <c r="G27" s="221"/>
      <c r="M27" s="52"/>
      <c r="P27" s="52"/>
    </row>
    <row r="28" spans="1:32">
      <c r="G28" s="221"/>
      <c r="L28" s="31">
        <v>0</v>
      </c>
    </row>
    <row r="29" spans="1:32">
      <c r="G29" s="221"/>
      <c r="L29" s="31">
        <v>0</v>
      </c>
      <c r="P29" s="52"/>
    </row>
    <row r="30" spans="1:32">
      <c r="G30" s="221"/>
    </row>
    <row r="31" spans="1:32">
      <c r="G31" s="221"/>
    </row>
    <row r="32" spans="1:32">
      <c r="G32" s="221"/>
    </row>
    <row r="33" spans="7:7">
      <c r="G33" s="221"/>
    </row>
    <row r="34" spans="7:7">
      <c r="G34" s="221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38"/>
  <sheetViews>
    <sheetView showZeros="0" rightToLeft="1" zoomScaleNormal="100" workbookViewId="0">
      <pane xSplit="3" ySplit="4" topLeftCell="D14" activePane="bottomRight" state="frozen"/>
      <selection activeCell="E28" sqref="E28"/>
      <selection pane="topRight" activeCell="E28" sqref="E28"/>
      <selection pane="bottomLeft" activeCell="E28" sqref="E28"/>
      <selection pane="bottomRight" activeCell="O26" sqref="O26:U28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1.5703125" style="39" customWidth="1"/>
    <col min="4" max="4" width="10.85546875" style="31" customWidth="1"/>
    <col min="5" max="5" width="10.85546875" style="31" hidden="1" customWidth="1"/>
    <col min="6" max="6" width="9.85546875" style="31" hidden="1" customWidth="1"/>
    <col min="7" max="10" width="12.7109375" style="31" hidden="1" customWidth="1"/>
    <col min="11" max="11" width="11.28515625" style="31" hidden="1" customWidth="1"/>
    <col min="12" max="12" width="10.5703125" style="31" customWidth="1"/>
    <col min="13" max="13" width="9.85546875" style="31" customWidth="1"/>
    <col min="14" max="14" width="10" style="31" customWidth="1"/>
    <col min="15" max="15" width="10.5703125" style="31" customWidth="1"/>
    <col min="16" max="16" width="10.85546875" style="31" hidden="1" customWidth="1"/>
    <col min="17" max="17" width="9.7109375" style="31" hidden="1" customWidth="1"/>
    <col min="18" max="19" width="9.5703125" style="31" hidden="1" customWidth="1"/>
    <col min="20" max="20" width="10.28515625" style="31" hidden="1" customWidth="1"/>
    <col min="21" max="21" width="10.7109375" style="29" customWidth="1"/>
    <col min="22" max="22" width="10.85546875" style="29" customWidth="1"/>
    <col min="23" max="23" width="8" style="29" customWidth="1"/>
    <col min="24" max="25" width="11.85546875" style="29" customWidth="1"/>
    <col min="26" max="26" width="9.140625" style="29" customWidth="1"/>
    <col min="27" max="27" width="7.85546875" style="29" customWidth="1"/>
    <col min="28" max="29" width="9.140625" style="37" customWidth="1"/>
    <col min="30" max="16384" width="9.140625" style="29"/>
  </cols>
  <sheetData>
    <row r="2" spans="1:34" ht="18.75">
      <c r="A2" s="194" t="s">
        <v>223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34" s="67" customFormat="1" ht="90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9</v>
      </c>
      <c r="J4" s="21" t="s">
        <v>423</v>
      </c>
      <c r="K4" s="21" t="s">
        <v>10</v>
      </c>
      <c r="L4" s="21" t="s">
        <v>11</v>
      </c>
      <c r="M4" s="21" t="s">
        <v>414</v>
      </c>
      <c r="N4" s="21" t="s">
        <v>415</v>
      </c>
      <c r="O4" s="21" t="s">
        <v>416</v>
      </c>
      <c r="P4" s="21" t="s">
        <v>12</v>
      </c>
      <c r="Q4" s="21" t="s">
        <v>417</v>
      </c>
      <c r="R4" s="21" t="s">
        <v>418</v>
      </c>
      <c r="S4" s="21" t="s">
        <v>419</v>
      </c>
      <c r="T4" s="21" t="s">
        <v>420</v>
      </c>
      <c r="U4" s="21" t="s">
        <v>421</v>
      </c>
      <c r="V4" s="21" t="s">
        <v>13</v>
      </c>
      <c r="W4" s="21" t="s">
        <v>14</v>
      </c>
      <c r="X4" s="21" t="s">
        <v>15</v>
      </c>
      <c r="Y4" s="21" t="s">
        <v>914</v>
      </c>
      <c r="Z4" s="21" t="s">
        <v>184</v>
      </c>
      <c r="AA4" s="21" t="s">
        <v>16</v>
      </c>
      <c r="AB4" s="60"/>
      <c r="AC4" s="60"/>
    </row>
    <row r="5" spans="1:34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3"/>
      <c r="AA5" s="90"/>
      <c r="AB5" s="57"/>
      <c r="AC5" s="57"/>
    </row>
    <row r="6" spans="1:34" s="16" customFormat="1">
      <c r="A6" s="13">
        <f>A5+1</f>
        <v>1</v>
      </c>
      <c r="B6" s="13">
        <v>1519</v>
      </c>
      <c r="C6" s="13" t="s">
        <v>181</v>
      </c>
      <c r="D6" s="14">
        <f>'החברה לתיירות '!D6</f>
        <v>8493000</v>
      </c>
      <c r="E6" s="14">
        <f>'החברה לתיירות '!E6</f>
        <v>2030000</v>
      </c>
      <c r="F6" s="14">
        <f>'החברה לתיירות '!F6</f>
        <v>6463000</v>
      </c>
      <c r="G6" s="14">
        <f>'החברה לתיירות '!G6</f>
        <v>730000</v>
      </c>
      <c r="H6" s="14">
        <f>'החברה לתיירות '!H6</f>
        <v>727317.36</v>
      </c>
      <c r="I6" s="14">
        <f>'החברה לתיירות '!I6</f>
        <v>0</v>
      </c>
      <c r="J6" s="14">
        <f>'החברה לתיירות '!J6</f>
        <v>0</v>
      </c>
      <c r="K6" s="14">
        <f>'החברה לתיירות '!K6</f>
        <v>0</v>
      </c>
      <c r="L6" s="14">
        <f>'החברה לתיירות '!L6</f>
        <v>727317.36</v>
      </c>
      <c r="M6" s="14">
        <f>'החברה לתיירות '!M6</f>
        <v>2682.640000000014</v>
      </c>
      <c r="N6" s="14">
        <f>'החברה לתיירות '!N6</f>
        <v>1000000</v>
      </c>
      <c r="O6" s="14">
        <f>'החברה לתיירות '!O6</f>
        <v>6763000</v>
      </c>
      <c r="P6" s="14">
        <f>'החברה לתיירות '!P6</f>
        <v>2682.640000000014</v>
      </c>
      <c r="Q6" s="14">
        <f>'החברה לתיירות '!Q6</f>
        <v>0</v>
      </c>
      <c r="R6" s="14">
        <f>'החברה לתיירות '!R6</f>
        <v>0</v>
      </c>
      <c r="S6" s="14">
        <f>'החברה לתיירות '!S6</f>
        <v>0</v>
      </c>
      <c r="T6" s="14">
        <f>'החברה לתיירות '!T6</f>
        <v>0</v>
      </c>
      <c r="U6" s="14">
        <f>'החברה לתיירות '!U6</f>
        <v>1000000</v>
      </c>
      <c r="V6" s="14">
        <f>'החברה לתיירות '!V6</f>
        <v>1000000</v>
      </c>
      <c r="W6" s="14">
        <f>'החברה לתיירות '!W6</f>
        <v>0</v>
      </c>
      <c r="X6" s="14">
        <f>'החברה לתיירות '!X6</f>
        <v>0</v>
      </c>
      <c r="Y6" s="14">
        <f>'החברה לתיירות '!Y6</f>
        <v>0</v>
      </c>
      <c r="Z6" s="14">
        <f>'החברה לתיירות '!Z6</f>
        <v>0</v>
      </c>
      <c r="AA6" s="13">
        <f>'החברה לתיירות '!AA6</f>
        <v>732000</v>
      </c>
      <c r="AB6" s="57"/>
      <c r="AC6" s="55"/>
    </row>
    <row r="7" spans="1:34" s="15" customFormat="1">
      <c r="A7" s="13">
        <f>A6+1</f>
        <v>2</v>
      </c>
      <c r="B7" s="13">
        <v>1867</v>
      </c>
      <c r="C7" s="13" t="s">
        <v>310</v>
      </c>
      <c r="D7" s="14">
        <f>'החברה לתיירות '!D7</f>
        <v>1520000</v>
      </c>
      <c r="E7" s="14">
        <f>'החברה לתיירות '!E7</f>
        <v>720000</v>
      </c>
      <c r="F7" s="14">
        <f>'החברה לתיירות '!F7</f>
        <v>800000</v>
      </c>
      <c r="G7" s="14">
        <f>'החברה לתיירות '!G7</f>
        <v>200000</v>
      </c>
      <c r="H7" s="14">
        <f>'החברה לתיירות '!H7</f>
        <v>139575.9</v>
      </c>
      <c r="I7" s="14">
        <f>'החברה לתיירות '!I7</f>
        <v>0</v>
      </c>
      <c r="J7" s="14">
        <f>'החברה לתיירות '!J7</f>
        <v>0</v>
      </c>
      <c r="K7" s="14">
        <f>'החברה לתיירות '!K7</f>
        <v>0</v>
      </c>
      <c r="L7" s="14">
        <f>'החברה לתיירות '!L7</f>
        <v>139575.9</v>
      </c>
      <c r="M7" s="14">
        <f>'החברה לתיירות '!M7</f>
        <v>60424.100000000006</v>
      </c>
      <c r="N7" s="14">
        <f>'החברה לתיירות '!N7</f>
        <v>250000</v>
      </c>
      <c r="O7" s="14">
        <f>'החברה לתיירות '!O7</f>
        <v>1070000</v>
      </c>
      <c r="P7" s="14">
        <f>'החברה לתיירות '!P7</f>
        <v>60424.100000000006</v>
      </c>
      <c r="Q7" s="14">
        <f>'החברה לתיירות '!Q7</f>
        <v>0</v>
      </c>
      <c r="R7" s="14">
        <f>'החברה לתיירות '!R7</f>
        <v>0</v>
      </c>
      <c r="S7" s="14">
        <f>'החברה לתיירות '!S7</f>
        <v>0</v>
      </c>
      <c r="T7" s="14">
        <f>'החברה לתיירות '!T7</f>
        <v>0</v>
      </c>
      <c r="U7" s="14">
        <f>'החברה לתיירות '!U7</f>
        <v>250000</v>
      </c>
      <c r="V7" s="14">
        <f>'החברה לתיירות '!V7</f>
        <v>250000</v>
      </c>
      <c r="W7" s="14">
        <f>'החברה לתיירות '!W7</f>
        <v>0</v>
      </c>
      <c r="X7" s="14">
        <f>'החברה לתיירות '!X7</f>
        <v>0</v>
      </c>
      <c r="Y7" s="14">
        <f>'החברה לתיירות '!Y7</f>
        <v>0</v>
      </c>
      <c r="Z7" s="14">
        <f>'החברה לתיירות '!Z7</f>
        <v>0</v>
      </c>
      <c r="AA7" s="13">
        <f>'החברה לתיירות '!AA7</f>
        <v>732000</v>
      </c>
      <c r="AB7" s="57"/>
      <c r="AC7" s="55"/>
    </row>
    <row r="8" spans="1:34" s="15" customFormat="1">
      <c r="A8" s="13">
        <f>A7+1</f>
        <v>3</v>
      </c>
      <c r="B8" s="13">
        <v>1979</v>
      </c>
      <c r="C8" s="13" t="s">
        <v>380</v>
      </c>
      <c r="D8" s="14">
        <f>'החברה לתיירות '!D12</f>
        <v>195000</v>
      </c>
      <c r="E8" s="14">
        <f>'החברה לתיירות '!E12</f>
        <v>195000</v>
      </c>
      <c r="F8" s="14">
        <f>'החברה לתיירות '!F12</f>
        <v>0</v>
      </c>
      <c r="G8" s="14">
        <f>'החברה לתיירות '!G12</f>
        <v>50000</v>
      </c>
      <c r="H8" s="14">
        <f>'החברה לתיירות '!H12</f>
        <v>0</v>
      </c>
      <c r="I8" s="14">
        <f>'החברה לתיירות '!I12</f>
        <v>0</v>
      </c>
      <c r="J8" s="14">
        <f>'החברה לתיירות '!J12</f>
        <v>0</v>
      </c>
      <c r="K8" s="14">
        <f>'החברה לתיירות '!K12</f>
        <v>0</v>
      </c>
      <c r="L8" s="14">
        <f>'החברה לתיירות '!L12</f>
        <v>0</v>
      </c>
      <c r="M8" s="14">
        <f>'החברה לתיירות '!M12</f>
        <v>50000</v>
      </c>
      <c r="N8" s="14">
        <f>'החברה לתיירות '!N12</f>
        <v>145000</v>
      </c>
      <c r="O8" s="14">
        <f>'החברה לתיירות '!O12</f>
        <v>0</v>
      </c>
      <c r="P8" s="14">
        <f>'החברה לתיירות '!P12</f>
        <v>50000</v>
      </c>
      <c r="Q8" s="14">
        <f>'החברה לתיירות '!Q12</f>
        <v>0</v>
      </c>
      <c r="R8" s="14">
        <f>'החברה לתיירות '!R12</f>
        <v>0</v>
      </c>
      <c r="S8" s="14">
        <f>'החברה לתיירות '!S12</f>
        <v>0</v>
      </c>
      <c r="T8" s="14">
        <f>'החברה לתיירות '!T12</f>
        <v>0</v>
      </c>
      <c r="U8" s="14">
        <f>'החברה לתיירות '!U12</f>
        <v>145000</v>
      </c>
      <c r="V8" s="14">
        <f>'החברה לתיירות '!V12</f>
        <v>145000</v>
      </c>
      <c r="W8" s="14">
        <f>'החברה לתיירות '!W12</f>
        <v>0</v>
      </c>
      <c r="X8" s="14">
        <f>'החברה לתיירות '!X12</f>
        <v>0</v>
      </c>
      <c r="Y8" s="14">
        <f>'החברה לתיירות '!Y12</f>
        <v>0</v>
      </c>
      <c r="Z8" s="14">
        <f>'החברה לתיירות '!Z12</f>
        <v>0</v>
      </c>
      <c r="AA8" s="13">
        <f>'החברה לתיירות '!AA12</f>
        <v>732000</v>
      </c>
      <c r="AB8" s="57"/>
      <c r="AC8" s="55"/>
      <c r="AF8" s="55"/>
    </row>
    <row r="9" spans="1:34" s="15" customFormat="1">
      <c r="A9" s="13">
        <f>A8+1</f>
        <v>4</v>
      </c>
      <c r="B9" s="13">
        <v>2052</v>
      </c>
      <c r="C9" s="13" t="s">
        <v>500</v>
      </c>
      <c r="D9" s="14">
        <f>'החברה לתיירות '!D16</f>
        <v>355000</v>
      </c>
      <c r="E9" s="14">
        <f>'החברה לתיירות '!E16</f>
        <v>0</v>
      </c>
      <c r="F9" s="14">
        <f>'החברה לתיירות '!F16</f>
        <v>355000</v>
      </c>
      <c r="G9" s="14">
        <f>'החברה לתיירות '!G16</f>
        <v>0</v>
      </c>
      <c r="H9" s="14">
        <f>'החברה לתיירות '!H16</f>
        <v>0</v>
      </c>
      <c r="I9" s="14">
        <f>'החברה לתיירות '!I16</f>
        <v>0</v>
      </c>
      <c r="J9" s="14">
        <f>'החברה לתיירות '!J16</f>
        <v>0</v>
      </c>
      <c r="K9" s="14">
        <f>'החברה לתיירות '!K16</f>
        <v>0</v>
      </c>
      <c r="L9" s="14">
        <f>'החברה לתיירות '!L16</f>
        <v>0</v>
      </c>
      <c r="M9" s="14">
        <f>'החברה לתיירות '!M16</f>
        <v>0</v>
      </c>
      <c r="N9" s="14">
        <f>'החברה לתיירות '!N16</f>
        <v>355000</v>
      </c>
      <c r="O9" s="14">
        <f>'החברה לתיירות '!O16</f>
        <v>0</v>
      </c>
      <c r="P9" s="14">
        <f>'החברה לתיירות '!P16</f>
        <v>0</v>
      </c>
      <c r="Q9" s="14">
        <f>'החברה לתיירות '!Q16</f>
        <v>0</v>
      </c>
      <c r="R9" s="14">
        <f>'החברה לתיירות '!R16</f>
        <v>0</v>
      </c>
      <c r="S9" s="14">
        <f>'החברה לתיירות '!S16</f>
        <v>0</v>
      </c>
      <c r="T9" s="14">
        <f>'החברה לתיירות '!T16</f>
        <v>0</v>
      </c>
      <c r="U9" s="14">
        <f>'החברה לתיירות '!U16</f>
        <v>355000</v>
      </c>
      <c r="V9" s="14">
        <f>'החברה לתיירות '!V16</f>
        <v>355000</v>
      </c>
      <c r="W9" s="14">
        <f>'החברה לתיירות '!W16</f>
        <v>0</v>
      </c>
      <c r="X9" s="14">
        <f>'החברה לתיירות '!X16</f>
        <v>0</v>
      </c>
      <c r="Y9" s="14">
        <f>'החברה לתיירות '!Y16</f>
        <v>0</v>
      </c>
      <c r="Z9" s="14">
        <f>'החברה לתיירות '!Z16</f>
        <v>0</v>
      </c>
      <c r="AA9" s="13">
        <f>'החברה לתיירות '!AA16</f>
        <v>732000</v>
      </c>
      <c r="AB9" s="57"/>
      <c r="AC9" s="55"/>
      <c r="AF9" s="78"/>
    </row>
    <row r="10" spans="1:34" s="149" customFormat="1">
      <c r="A10" s="81"/>
      <c r="B10" s="81">
        <v>2</v>
      </c>
      <c r="C10" s="81" t="s">
        <v>1037</v>
      </c>
      <c r="D10" s="198">
        <f>SUM(D6:D9)</f>
        <v>10563000</v>
      </c>
      <c r="E10" s="198">
        <f t="shared" ref="E10:Z10" si="0">SUM(E6:E9)</f>
        <v>2945000</v>
      </c>
      <c r="F10" s="198">
        <f t="shared" si="0"/>
        <v>7618000</v>
      </c>
      <c r="G10" s="198">
        <f t="shared" si="0"/>
        <v>980000</v>
      </c>
      <c r="H10" s="198">
        <f t="shared" si="0"/>
        <v>866893.26</v>
      </c>
      <c r="I10" s="198">
        <f t="shared" si="0"/>
        <v>0</v>
      </c>
      <c r="J10" s="198">
        <f t="shared" si="0"/>
        <v>0</v>
      </c>
      <c r="K10" s="198">
        <f t="shared" si="0"/>
        <v>0</v>
      </c>
      <c r="L10" s="198">
        <f t="shared" si="0"/>
        <v>866893.26</v>
      </c>
      <c r="M10" s="198">
        <f t="shared" si="0"/>
        <v>113106.74000000002</v>
      </c>
      <c r="N10" s="198">
        <f t="shared" si="0"/>
        <v>1750000</v>
      </c>
      <c r="O10" s="198">
        <f t="shared" si="0"/>
        <v>7833000</v>
      </c>
      <c r="P10" s="198">
        <f t="shared" si="0"/>
        <v>113106.74000000002</v>
      </c>
      <c r="Q10" s="198">
        <f t="shared" si="0"/>
        <v>0</v>
      </c>
      <c r="R10" s="198">
        <f t="shared" si="0"/>
        <v>0</v>
      </c>
      <c r="S10" s="198">
        <f t="shared" si="0"/>
        <v>0</v>
      </c>
      <c r="T10" s="198">
        <f t="shared" si="0"/>
        <v>0</v>
      </c>
      <c r="U10" s="198">
        <f t="shared" si="0"/>
        <v>1750000</v>
      </c>
      <c r="V10" s="198">
        <f t="shared" si="0"/>
        <v>1750000</v>
      </c>
      <c r="W10" s="198">
        <f t="shared" si="0"/>
        <v>0</v>
      </c>
      <c r="X10" s="198">
        <f t="shared" si="0"/>
        <v>0</v>
      </c>
      <c r="Y10" s="198">
        <f t="shared" si="0"/>
        <v>0</v>
      </c>
      <c r="Z10" s="198">
        <f t="shared" si="0"/>
        <v>0</v>
      </c>
      <c r="AA10" s="763"/>
      <c r="AB10" s="764"/>
      <c r="AC10" s="765"/>
      <c r="AD10" s="766"/>
      <c r="AE10" s="766"/>
      <c r="AF10" s="767"/>
      <c r="AG10" s="767"/>
      <c r="AH10" s="766"/>
    </row>
    <row r="11" spans="1:34" s="15" customFormat="1">
      <c r="A11" s="13"/>
      <c r="B11" s="13"/>
      <c r="C11" s="13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3"/>
      <c r="AB11" s="57"/>
      <c r="AC11" s="55"/>
      <c r="AF11" s="78"/>
    </row>
    <row r="12" spans="1:34" s="15" customFormat="1">
      <c r="A12" s="13">
        <f>A9+1</f>
        <v>5</v>
      </c>
      <c r="B12" s="13">
        <v>1869</v>
      </c>
      <c r="C12" s="13" t="s">
        <v>311</v>
      </c>
      <c r="D12" s="14">
        <f>'החברה לתיירות '!D8</f>
        <v>8200000</v>
      </c>
      <c r="E12" s="14">
        <f>'החברה לתיירות '!E8</f>
        <v>500000</v>
      </c>
      <c r="F12" s="14">
        <f>'החברה לתיירות '!F8</f>
        <v>7700000</v>
      </c>
      <c r="G12" s="14">
        <f>'החברה לתיירות '!G8</f>
        <v>100000</v>
      </c>
      <c r="H12" s="14">
        <f>'החברה לתיירות '!H8</f>
        <v>0</v>
      </c>
      <c r="I12" s="14">
        <f>'החברה לתיירות '!I8</f>
        <v>0</v>
      </c>
      <c r="J12" s="14">
        <f>'החברה לתיירות '!J8</f>
        <v>0</v>
      </c>
      <c r="K12" s="14">
        <f>'החברה לתיירות '!K8</f>
        <v>0</v>
      </c>
      <c r="L12" s="14">
        <f>'החברה לתיירות '!L8</f>
        <v>0</v>
      </c>
      <c r="M12" s="14">
        <f>'החברה לתיירות '!M8</f>
        <v>100000</v>
      </c>
      <c r="N12" s="14">
        <f>'החברה לתיירות '!N8</f>
        <v>400000</v>
      </c>
      <c r="O12" s="14">
        <f>'החברה לתיירות '!O8</f>
        <v>7700000</v>
      </c>
      <c r="P12" s="14">
        <f>'החברה לתיירות '!P8</f>
        <v>100000</v>
      </c>
      <c r="Q12" s="14">
        <f>'החברה לתיירות '!Q8</f>
        <v>0</v>
      </c>
      <c r="R12" s="14">
        <f>'החברה לתיירות '!R8</f>
        <v>0</v>
      </c>
      <c r="S12" s="14">
        <f>'החברה לתיירות '!S8</f>
        <v>0</v>
      </c>
      <c r="T12" s="14">
        <f>'החברה לתיירות '!T8</f>
        <v>0</v>
      </c>
      <c r="U12" s="14">
        <f>'החברה לתיירות '!U8</f>
        <v>400000</v>
      </c>
      <c r="V12" s="14">
        <f>'החברה לתיירות '!V8</f>
        <v>400000</v>
      </c>
      <c r="W12" s="14">
        <f>'החברה לתיירות '!W8</f>
        <v>0</v>
      </c>
      <c r="X12" s="14">
        <f>'החברה לתיירות '!X8</f>
        <v>0</v>
      </c>
      <c r="Y12" s="14">
        <f>'החברה לתיירות '!Y8</f>
        <v>0</v>
      </c>
      <c r="Z12" s="14">
        <f>'החברה לתיירות '!Z8</f>
        <v>0</v>
      </c>
      <c r="AA12" s="13">
        <f>'החברה לתיירות '!AA8</f>
        <v>742000</v>
      </c>
      <c r="AB12" s="57"/>
      <c r="AC12" s="55"/>
    </row>
    <row r="13" spans="1:34" s="15" customFormat="1">
      <c r="A13" s="13">
        <f>A12+1</f>
        <v>6</v>
      </c>
      <c r="B13" s="13">
        <v>1870</v>
      </c>
      <c r="C13" s="13" t="s">
        <v>313</v>
      </c>
      <c r="D13" s="14">
        <f>'החברה לתיירות '!D9</f>
        <v>7230000</v>
      </c>
      <c r="E13" s="14">
        <f>'החברה לתיירות '!E9</f>
        <v>7230000</v>
      </c>
      <c r="F13" s="14">
        <f>'החברה לתיירות '!F9</f>
        <v>0</v>
      </c>
      <c r="G13" s="14">
        <f>'החברה לתיירות '!G9</f>
        <v>6500000</v>
      </c>
      <c r="H13" s="14">
        <f>'החברה לתיירות '!H9</f>
        <v>5149035.42</v>
      </c>
      <c r="I13" s="14">
        <f>'החברה לתיירות '!I9</f>
        <v>0</v>
      </c>
      <c r="J13" s="14">
        <f>'החברה לתיירות '!J9</f>
        <v>0</v>
      </c>
      <c r="K13" s="14">
        <f>'החברה לתיירות '!K9</f>
        <v>0</v>
      </c>
      <c r="L13" s="14">
        <f>'החברה לתיירות '!L9</f>
        <v>5149035.42</v>
      </c>
      <c r="M13" s="14">
        <f>'החברה לתיירות '!M9</f>
        <v>1350964.58</v>
      </c>
      <c r="N13" s="14">
        <f>'החברה לתיירות '!N9</f>
        <v>730000</v>
      </c>
      <c r="O13" s="14">
        <f>'החברה לתיירות '!O9</f>
        <v>0</v>
      </c>
      <c r="P13" s="14">
        <f>'החברה לתיירות '!P9</f>
        <v>1350964.58</v>
      </c>
      <c r="Q13" s="14">
        <f>'החברה לתיירות '!Q9</f>
        <v>0</v>
      </c>
      <c r="R13" s="14">
        <f>'החברה לתיירות '!R9</f>
        <v>0</v>
      </c>
      <c r="S13" s="14">
        <f>'החברה לתיירות '!S9</f>
        <v>0</v>
      </c>
      <c r="T13" s="14">
        <f>'החברה לתיירות '!T9</f>
        <v>0</v>
      </c>
      <c r="U13" s="14">
        <f>'החברה לתיירות '!U9</f>
        <v>730000</v>
      </c>
      <c r="V13" s="14">
        <f>'החברה לתיירות '!V9</f>
        <v>730000</v>
      </c>
      <c r="W13" s="14">
        <f>'החברה לתיירות '!W9</f>
        <v>0</v>
      </c>
      <c r="X13" s="14">
        <f>'החברה לתיירות '!X9</f>
        <v>0</v>
      </c>
      <c r="Y13" s="14">
        <f>'החברה לתיירות '!Y9</f>
        <v>0</v>
      </c>
      <c r="Z13" s="14">
        <f>'החברה לתיירות '!Z9</f>
        <v>0</v>
      </c>
      <c r="AA13" s="13">
        <f>'החברה לתיירות '!AA9</f>
        <v>742000</v>
      </c>
      <c r="AB13" s="57"/>
      <c r="AC13" s="55"/>
    </row>
    <row r="14" spans="1:34" s="15" customFormat="1">
      <c r="A14" s="13">
        <f t="shared" ref="A14:A20" si="1">A13+1</f>
        <v>7</v>
      </c>
      <c r="B14" s="13">
        <v>1934</v>
      </c>
      <c r="C14" s="13" t="s">
        <v>379</v>
      </c>
      <c r="D14" s="14">
        <f>'החברה לתיירות '!D11</f>
        <v>3300000</v>
      </c>
      <c r="E14" s="14">
        <f>'החברה לתיירות '!E11</f>
        <v>3300000</v>
      </c>
      <c r="F14" s="14">
        <f>'החברה לתיירות '!F11</f>
        <v>0</v>
      </c>
      <c r="G14" s="14">
        <f>'החברה לתיירות '!G11</f>
        <v>1300000</v>
      </c>
      <c r="H14" s="14">
        <f>'החברה לתיירות '!H11</f>
        <v>1299322.6599999999</v>
      </c>
      <c r="I14" s="14">
        <f>'החברה לתיירות '!I11</f>
        <v>0</v>
      </c>
      <c r="J14" s="14">
        <f>'החברה לתיירות '!J11</f>
        <v>0</v>
      </c>
      <c r="K14" s="14">
        <f>'החברה לתיירות '!K11</f>
        <v>0</v>
      </c>
      <c r="L14" s="14">
        <f>'החברה לתיירות '!L11</f>
        <v>1299322.6599999999</v>
      </c>
      <c r="M14" s="14">
        <f>'החברה לתיירות '!M11</f>
        <v>2000677.34</v>
      </c>
      <c r="N14" s="14">
        <f>'החברה לתיירות '!N11</f>
        <v>0</v>
      </c>
      <c r="O14" s="14">
        <f>'החברה לתיירות '!O11</f>
        <v>0</v>
      </c>
      <c r="P14" s="14">
        <f>'החברה לתיירות '!P11</f>
        <v>677.34000000008382</v>
      </c>
      <c r="Q14" s="14">
        <f>'החברה לתיירות '!Q11</f>
        <v>0</v>
      </c>
      <c r="R14" s="14">
        <f>'החברה לתיירות '!R11</f>
        <v>2000000</v>
      </c>
      <c r="S14" s="14">
        <f>'החברה לתיירות '!S11</f>
        <v>2000000</v>
      </c>
      <c r="T14" s="14">
        <f>'החברה לתיירות '!T11</f>
        <v>0</v>
      </c>
      <c r="U14" s="14">
        <f>'החברה לתיירות '!U11</f>
        <v>0</v>
      </c>
      <c r="V14" s="14">
        <f>'החברה לתיירות '!V11</f>
        <v>-1988999.9999999998</v>
      </c>
      <c r="W14" s="14">
        <f>'החברה לתיירות '!W11</f>
        <v>0</v>
      </c>
      <c r="X14" s="14">
        <f>'החברה לתיירות '!X11</f>
        <v>0</v>
      </c>
      <c r="Y14" s="14">
        <f>'החברה לתיירות '!Y11</f>
        <v>0</v>
      </c>
      <c r="Z14" s="14">
        <f>'החברה לתיירות '!Z11</f>
        <v>1988999.9999999998</v>
      </c>
      <c r="AA14" s="13">
        <f>'החברה לתיירות '!AA11</f>
        <v>742000</v>
      </c>
      <c r="AB14" s="57"/>
      <c r="AC14" s="55"/>
      <c r="AF14" s="55"/>
    </row>
    <row r="15" spans="1:34" s="15" customFormat="1">
      <c r="A15" s="13">
        <f t="shared" si="1"/>
        <v>8</v>
      </c>
      <c r="B15" s="13">
        <v>2002</v>
      </c>
      <c r="C15" s="13" t="s">
        <v>499</v>
      </c>
      <c r="D15" s="14">
        <f>'החברה לתיירות '!D15</f>
        <v>865000</v>
      </c>
      <c r="E15" s="14">
        <f>'החברה לתיירות '!E15</f>
        <v>865000</v>
      </c>
      <c r="F15" s="14">
        <f>'החברה לתיירות '!F15</f>
        <v>0</v>
      </c>
      <c r="G15" s="14">
        <f>'החברה לתיירות '!G15</f>
        <v>865000</v>
      </c>
      <c r="H15" s="14">
        <f>'החברה לתיירות '!H15</f>
        <v>0</v>
      </c>
      <c r="I15" s="14">
        <f>'החברה לתיירות '!I15</f>
        <v>0</v>
      </c>
      <c r="J15" s="14">
        <f>'החברה לתיירות '!J15</f>
        <v>0</v>
      </c>
      <c r="K15" s="14">
        <f>'החברה לתיירות '!K15</f>
        <v>0</v>
      </c>
      <c r="L15" s="14">
        <f>'החברה לתיירות '!L15</f>
        <v>0</v>
      </c>
      <c r="M15" s="14">
        <f>'החברה לתיירות '!M15</f>
        <v>865000</v>
      </c>
      <c r="N15" s="14">
        <f>'החברה לתיירות '!N15</f>
        <v>0</v>
      </c>
      <c r="O15" s="14">
        <f>'החברה לתיירות '!O15</f>
        <v>0</v>
      </c>
      <c r="P15" s="14">
        <f>'החברה לתיירות '!P15</f>
        <v>865000</v>
      </c>
      <c r="Q15" s="14">
        <f>'החברה לתיירות '!Q15</f>
        <v>0</v>
      </c>
      <c r="R15" s="14">
        <f>'החברה לתיירות '!R15</f>
        <v>0</v>
      </c>
      <c r="S15" s="14">
        <f>'החברה לתיירות '!S15</f>
        <v>0</v>
      </c>
      <c r="T15" s="14">
        <f>'החברה לתיירות '!T15</f>
        <v>0</v>
      </c>
      <c r="U15" s="14">
        <f>'החברה לתיירות '!U15</f>
        <v>0</v>
      </c>
      <c r="V15" s="14">
        <f>'החברה לתיירות '!V15</f>
        <v>0</v>
      </c>
      <c r="W15" s="14">
        <f>'החברה לתיירות '!W15</f>
        <v>0</v>
      </c>
      <c r="X15" s="14">
        <f>'החברה לתיירות '!X15</f>
        <v>0</v>
      </c>
      <c r="Y15" s="14">
        <f>'החברה לתיירות '!Y15</f>
        <v>0</v>
      </c>
      <c r="Z15" s="14">
        <f>'החברה לתיירות '!Z15</f>
        <v>0</v>
      </c>
      <c r="AA15" s="13">
        <f>'החברה לתיירות '!AA15</f>
        <v>742000</v>
      </c>
      <c r="AB15" s="57"/>
      <c r="AC15" s="55"/>
      <c r="AF15" s="55"/>
    </row>
    <row r="16" spans="1:34" s="15" customFormat="1">
      <c r="A16" s="13">
        <f t="shared" si="1"/>
        <v>9</v>
      </c>
      <c r="B16" s="13">
        <v>1932</v>
      </c>
      <c r="C16" s="13" t="s">
        <v>312</v>
      </c>
      <c r="D16" s="14">
        <f>'החברה לתיירות '!D10</f>
        <v>5000000</v>
      </c>
      <c r="E16" s="14">
        <f>'החברה לתיירות '!E10</f>
        <v>5000000</v>
      </c>
      <c r="F16" s="14">
        <f>'החברה לתיירות '!F10</f>
        <v>0</v>
      </c>
      <c r="G16" s="14">
        <f>'החברה לתיירות '!G10</f>
        <v>200000</v>
      </c>
      <c r="H16" s="14">
        <f>'החברה לתיירות '!H10</f>
        <v>97534.29</v>
      </c>
      <c r="I16" s="14">
        <f>'החברה לתיירות '!I10</f>
        <v>0</v>
      </c>
      <c r="J16" s="14">
        <f>'החברה לתיירות '!J10</f>
        <v>0</v>
      </c>
      <c r="K16" s="14">
        <f>'החברה לתיירות '!K10</f>
        <v>0</v>
      </c>
      <c r="L16" s="14">
        <f>'החברה לתיירות '!L10</f>
        <v>97534.29</v>
      </c>
      <c r="M16" s="14">
        <f>'החברה לתיירות '!M10</f>
        <v>102465.71</v>
      </c>
      <c r="N16" s="14">
        <f>'החברה לתיירות '!N10</f>
        <v>4800000</v>
      </c>
      <c r="O16" s="14">
        <f>'החברה לתיירות '!O10</f>
        <v>0</v>
      </c>
      <c r="P16" s="14">
        <f>'החברה לתיירות '!P10</f>
        <v>102465.71</v>
      </c>
      <c r="Q16" s="14">
        <f>'החברה לתיירות '!Q10</f>
        <v>0</v>
      </c>
      <c r="R16" s="14">
        <f>'החברה לתיירות '!R10</f>
        <v>0</v>
      </c>
      <c r="S16" s="14">
        <f>'החברה לתיירות '!S10</f>
        <v>0</v>
      </c>
      <c r="T16" s="14">
        <f>'החברה לתיירות '!T10</f>
        <v>0</v>
      </c>
      <c r="U16" s="14">
        <f>'החברה לתיירות '!U10</f>
        <v>4800000</v>
      </c>
      <c r="V16" s="14">
        <f>'החברה לתיירות '!V10</f>
        <v>0</v>
      </c>
      <c r="W16" s="14">
        <f>'החברה לתיירות '!W10</f>
        <v>0</v>
      </c>
      <c r="X16" s="14">
        <f>'החברה לתיירות '!X10</f>
        <v>0</v>
      </c>
      <c r="Y16" s="14">
        <f>'החברה לתיירות '!Y10</f>
        <v>0</v>
      </c>
      <c r="Z16" s="14">
        <f>'החברה לתיירות '!Z10</f>
        <v>4800000</v>
      </c>
      <c r="AA16" s="13">
        <f>'החברה לתיירות '!AA10</f>
        <v>746000</v>
      </c>
      <c r="AB16" s="57"/>
      <c r="AC16" s="55"/>
      <c r="AF16" s="55"/>
    </row>
    <row r="17" spans="1:34" s="15" customFormat="1" ht="30">
      <c r="A17" s="13">
        <f t="shared" si="1"/>
        <v>10</v>
      </c>
      <c r="B17" s="13">
        <v>1980</v>
      </c>
      <c r="C17" s="13" t="s">
        <v>452</v>
      </c>
      <c r="D17" s="14">
        <f>'החברה לתיירות '!D13</f>
        <v>1150000</v>
      </c>
      <c r="E17" s="14">
        <f>'החברה לתיירות '!E13</f>
        <v>1150000</v>
      </c>
      <c r="F17" s="14">
        <f>'החברה לתיירות '!F13</f>
        <v>0</v>
      </c>
      <c r="G17" s="14">
        <f>'החברה לתיירות '!G13</f>
        <v>450000</v>
      </c>
      <c r="H17" s="14">
        <f>'החברה לתיירות '!H13</f>
        <v>292539.62</v>
      </c>
      <c r="I17" s="14">
        <f>'החברה לתיירות '!I13</f>
        <v>0</v>
      </c>
      <c r="J17" s="14">
        <f>'החברה לתיירות '!J13</f>
        <v>0</v>
      </c>
      <c r="K17" s="14">
        <f>'החברה לתיירות '!K13</f>
        <v>0</v>
      </c>
      <c r="L17" s="14">
        <f>'החברה לתיירות '!L13</f>
        <v>292539.62</v>
      </c>
      <c r="M17" s="14">
        <f>'החברה לתיירות '!M13</f>
        <v>157460.38</v>
      </c>
      <c r="N17" s="14">
        <f>'החברה לתיירות '!N13</f>
        <v>400000</v>
      </c>
      <c r="O17" s="14">
        <f>'החברה לתיירות '!O13</f>
        <v>300000</v>
      </c>
      <c r="P17" s="14">
        <f>'החברה לתיירות '!P13</f>
        <v>157460.38</v>
      </c>
      <c r="Q17" s="14">
        <f>'החברה לתיירות '!Q13</f>
        <v>0</v>
      </c>
      <c r="R17" s="14">
        <f>'החברה לתיירות '!R13</f>
        <v>0</v>
      </c>
      <c r="S17" s="14">
        <f>'החברה לתיירות '!S13</f>
        <v>0</v>
      </c>
      <c r="T17" s="14">
        <f>'החברה לתיירות '!T13</f>
        <v>0</v>
      </c>
      <c r="U17" s="14">
        <f>'החברה לתיירות '!U13</f>
        <v>400000</v>
      </c>
      <c r="V17" s="14">
        <f>'החברה לתיירות '!V13</f>
        <v>400000</v>
      </c>
      <c r="W17" s="14">
        <f>'החברה לתיירות '!W13</f>
        <v>0</v>
      </c>
      <c r="X17" s="14">
        <f>'החברה לתיירות '!X13</f>
        <v>0</v>
      </c>
      <c r="Y17" s="14">
        <f>'החברה לתיירות '!Y13</f>
        <v>0</v>
      </c>
      <c r="Z17" s="14">
        <f>'החברה לתיירות '!Z13</f>
        <v>0</v>
      </c>
      <c r="AA17" s="13">
        <f>'החברה לתיירות '!AA13</f>
        <v>746000</v>
      </c>
      <c r="AB17" s="57"/>
      <c r="AC17" s="55"/>
      <c r="AF17" s="55"/>
    </row>
    <row r="18" spans="1:34" s="15" customFormat="1">
      <c r="A18" s="13">
        <f t="shared" si="1"/>
        <v>11</v>
      </c>
      <c r="B18" s="13">
        <v>1981</v>
      </c>
      <c r="C18" s="13" t="s">
        <v>381</v>
      </c>
      <c r="D18" s="14">
        <f>'החברה לתיירות '!D14</f>
        <v>1100000</v>
      </c>
      <c r="E18" s="14">
        <f>'החברה לתיירות '!E14</f>
        <v>980000</v>
      </c>
      <c r="F18" s="14">
        <f>'החברה לתיירות '!F14</f>
        <v>120000</v>
      </c>
      <c r="G18" s="14">
        <f>'החברה לתיירות '!G14</f>
        <v>600000</v>
      </c>
      <c r="H18" s="14">
        <f>'החברה לתיירות '!H14</f>
        <v>384914.67</v>
      </c>
      <c r="I18" s="14">
        <f>'החברה לתיירות '!I14</f>
        <v>0</v>
      </c>
      <c r="J18" s="14">
        <f>'החברה לתיירות '!J14</f>
        <v>0</v>
      </c>
      <c r="K18" s="14">
        <f>'החברה לתיירות '!K14</f>
        <v>0</v>
      </c>
      <c r="L18" s="14">
        <f>'החברה לתיירות '!L14</f>
        <v>384914.67</v>
      </c>
      <c r="M18" s="14">
        <f>'החברה לתיירות '!M14</f>
        <v>215085.33000000002</v>
      </c>
      <c r="N18" s="14">
        <f>'החברה לתיירות '!N14</f>
        <v>400000</v>
      </c>
      <c r="O18" s="14">
        <f>'החברה לתיירות '!O14</f>
        <v>100000.00000000006</v>
      </c>
      <c r="P18" s="14">
        <f>'החברה לתיירות '!P14</f>
        <v>215085.33000000002</v>
      </c>
      <c r="Q18" s="14">
        <f>'החברה לתיירות '!Q14</f>
        <v>0</v>
      </c>
      <c r="R18" s="14">
        <f>'החברה לתיירות '!R14</f>
        <v>0</v>
      </c>
      <c r="S18" s="14">
        <f>'החברה לתיירות '!S14</f>
        <v>0</v>
      </c>
      <c r="T18" s="14">
        <f>'החברה לתיירות '!T14</f>
        <v>0</v>
      </c>
      <c r="U18" s="14">
        <f>'החברה לתיירות '!U14</f>
        <v>400000</v>
      </c>
      <c r="V18" s="14">
        <f>'החברה לתיירות '!V14</f>
        <v>400000</v>
      </c>
      <c r="W18" s="14">
        <f>'החברה לתיירות '!W14</f>
        <v>0</v>
      </c>
      <c r="X18" s="14">
        <f>'החברה לתיירות '!X14</f>
        <v>0</v>
      </c>
      <c r="Y18" s="14">
        <f>'החברה לתיירות '!Y14</f>
        <v>0</v>
      </c>
      <c r="Z18" s="14">
        <f>'החברה לתיירות '!Z14</f>
        <v>0</v>
      </c>
      <c r="AA18" s="13">
        <f>'החברה לתיירות '!AA14</f>
        <v>746000</v>
      </c>
      <c r="AB18" s="57"/>
      <c r="AC18" s="55"/>
      <c r="AF18" s="55"/>
    </row>
    <row r="19" spans="1:34" s="15" customFormat="1">
      <c r="A19" s="13">
        <f t="shared" si="1"/>
        <v>12</v>
      </c>
      <c r="B19" s="13">
        <v>2053</v>
      </c>
      <c r="C19" s="13" t="s">
        <v>501</v>
      </c>
      <c r="D19" s="14">
        <f>'החברה לתיירות '!D17</f>
        <v>1000000</v>
      </c>
      <c r="E19" s="14">
        <f>'החברה לתיירות '!E17</f>
        <v>0</v>
      </c>
      <c r="F19" s="14">
        <f>'החברה לתיירות '!F17</f>
        <v>1000000</v>
      </c>
      <c r="G19" s="14">
        <f>'החברה לתיירות '!G17</f>
        <v>0</v>
      </c>
      <c r="H19" s="14">
        <f>'החברה לתיירות '!H17</f>
        <v>0</v>
      </c>
      <c r="I19" s="14">
        <f>'החברה לתיירות '!I17</f>
        <v>0</v>
      </c>
      <c r="J19" s="14">
        <f>'החברה לתיירות '!J17</f>
        <v>0</v>
      </c>
      <c r="K19" s="14">
        <f>'החברה לתיירות '!K17</f>
        <v>0</v>
      </c>
      <c r="L19" s="14">
        <f>'החברה לתיירות '!L17</f>
        <v>0</v>
      </c>
      <c r="M19" s="14">
        <f>'החברה לתיירות '!M17</f>
        <v>0</v>
      </c>
      <c r="N19" s="14">
        <f>'החברה לתיירות '!N17</f>
        <v>500000</v>
      </c>
      <c r="O19" s="14">
        <f>'החברה לתיירות '!O17</f>
        <v>500000</v>
      </c>
      <c r="P19" s="14">
        <f>'החברה לתיירות '!P17</f>
        <v>0</v>
      </c>
      <c r="Q19" s="14">
        <f>'החברה לתיירות '!Q17</f>
        <v>0</v>
      </c>
      <c r="R19" s="14">
        <f>'החברה לתיירות '!R17</f>
        <v>0</v>
      </c>
      <c r="S19" s="14">
        <f>'החברה לתיירות '!S17</f>
        <v>0</v>
      </c>
      <c r="T19" s="14">
        <f>'החברה לתיירות '!T17</f>
        <v>0</v>
      </c>
      <c r="U19" s="14">
        <f>'החברה לתיירות '!U17</f>
        <v>500000</v>
      </c>
      <c r="V19" s="14">
        <f>'החברה לתיירות '!V17</f>
        <v>500000</v>
      </c>
      <c r="W19" s="14">
        <f>'החברה לתיירות '!W17</f>
        <v>0</v>
      </c>
      <c r="X19" s="14">
        <f>'החברה לתיירות '!X17</f>
        <v>0</v>
      </c>
      <c r="Y19" s="14">
        <f>'החברה לתיירות '!Y17</f>
        <v>0</v>
      </c>
      <c r="Z19" s="14">
        <f>'החברה לתיירות '!Z17</f>
        <v>0</v>
      </c>
      <c r="AA19" s="13">
        <f>'החברה לתיירות '!AA17</f>
        <v>749000</v>
      </c>
      <c r="AB19" s="57"/>
      <c r="AC19" s="55"/>
    </row>
    <row r="20" spans="1:34" s="15" customFormat="1">
      <c r="A20" s="13">
        <f t="shared" si="1"/>
        <v>13</v>
      </c>
      <c r="B20" s="13">
        <v>2054</v>
      </c>
      <c r="C20" s="13" t="s">
        <v>502</v>
      </c>
      <c r="D20" s="14">
        <f>'החברה לתיירות '!D18</f>
        <v>650000</v>
      </c>
      <c r="E20" s="14">
        <f>'החברה לתיירות '!E18</f>
        <v>0</v>
      </c>
      <c r="F20" s="14">
        <f>'החברה לתיירות '!F18</f>
        <v>650000</v>
      </c>
      <c r="G20" s="14">
        <f>'החברה לתיירות '!G18</f>
        <v>0</v>
      </c>
      <c r="H20" s="14">
        <f>'החברה לתיירות '!H18</f>
        <v>0</v>
      </c>
      <c r="I20" s="14">
        <f>'החברה לתיירות '!I18</f>
        <v>0</v>
      </c>
      <c r="J20" s="14">
        <f>'החברה לתיירות '!J18</f>
        <v>0</v>
      </c>
      <c r="K20" s="14">
        <f>'החברה לתיירות '!K18</f>
        <v>0</v>
      </c>
      <c r="L20" s="14">
        <f>'החברה לתיירות '!L18</f>
        <v>0</v>
      </c>
      <c r="M20" s="14">
        <f>'החברה לתיירות '!M18</f>
        <v>0</v>
      </c>
      <c r="N20" s="14">
        <f>'החברה לתיירות '!N18</f>
        <v>200000</v>
      </c>
      <c r="O20" s="14">
        <f>'החברה לתיירות '!O18</f>
        <v>450000</v>
      </c>
      <c r="P20" s="14">
        <f>'החברה לתיירות '!P18</f>
        <v>0</v>
      </c>
      <c r="Q20" s="14">
        <f>'החברה לתיירות '!Q18</f>
        <v>0</v>
      </c>
      <c r="R20" s="14">
        <f>'החברה לתיירות '!R18</f>
        <v>0</v>
      </c>
      <c r="S20" s="14">
        <f>'החברה לתיירות '!S18</f>
        <v>0</v>
      </c>
      <c r="T20" s="14">
        <f>'החברה לתיירות '!T18</f>
        <v>0</v>
      </c>
      <c r="U20" s="14">
        <f>'החברה לתיירות '!U18</f>
        <v>200000</v>
      </c>
      <c r="V20" s="14">
        <f>'החברה לתיירות '!V18</f>
        <v>200000</v>
      </c>
      <c r="W20" s="14">
        <f>'החברה לתיירות '!W18</f>
        <v>0</v>
      </c>
      <c r="X20" s="14">
        <f>'החברה לתיירות '!X18</f>
        <v>0</v>
      </c>
      <c r="Y20" s="14">
        <f>'החברה לתיירות '!Y18</f>
        <v>0</v>
      </c>
      <c r="Z20" s="14">
        <f>'החברה לתיירות '!Z18</f>
        <v>0</v>
      </c>
      <c r="AA20" s="13">
        <f>'החברה לתיירות '!AA18</f>
        <v>749000</v>
      </c>
      <c r="AB20" s="57"/>
      <c r="AC20" s="55"/>
    </row>
    <row r="21" spans="1:34" s="149" customFormat="1">
      <c r="A21" s="81"/>
      <c r="B21" s="81">
        <v>3</v>
      </c>
      <c r="C21" s="81" t="s">
        <v>1038</v>
      </c>
      <c r="D21" s="198">
        <f>SUM(D12:D20)</f>
        <v>28495000</v>
      </c>
      <c r="E21" s="198">
        <f t="shared" ref="E21:Z21" si="2">SUM(E12:E20)</f>
        <v>19025000</v>
      </c>
      <c r="F21" s="198">
        <f t="shared" si="2"/>
        <v>9470000</v>
      </c>
      <c r="G21" s="198">
        <f t="shared" si="2"/>
        <v>10015000</v>
      </c>
      <c r="H21" s="198">
        <f t="shared" si="2"/>
        <v>7223346.6600000001</v>
      </c>
      <c r="I21" s="198">
        <f t="shared" si="2"/>
        <v>0</v>
      </c>
      <c r="J21" s="198">
        <f t="shared" si="2"/>
        <v>0</v>
      </c>
      <c r="K21" s="198">
        <f t="shared" si="2"/>
        <v>0</v>
      </c>
      <c r="L21" s="198">
        <f t="shared" si="2"/>
        <v>7223346.6600000001</v>
      </c>
      <c r="M21" s="198">
        <f t="shared" si="2"/>
        <v>4791653.34</v>
      </c>
      <c r="N21" s="198">
        <f t="shared" si="2"/>
        <v>7430000</v>
      </c>
      <c r="O21" s="198">
        <f t="shared" si="2"/>
        <v>9050000</v>
      </c>
      <c r="P21" s="198">
        <f t="shared" si="2"/>
        <v>2791653.34</v>
      </c>
      <c r="Q21" s="198">
        <f t="shared" si="2"/>
        <v>0</v>
      </c>
      <c r="R21" s="198">
        <f t="shared" si="2"/>
        <v>2000000</v>
      </c>
      <c r="S21" s="198">
        <f t="shared" si="2"/>
        <v>2000000</v>
      </c>
      <c r="T21" s="198">
        <f t="shared" si="2"/>
        <v>0</v>
      </c>
      <c r="U21" s="198">
        <f t="shared" si="2"/>
        <v>7430000</v>
      </c>
      <c r="V21" s="198">
        <f t="shared" si="2"/>
        <v>641000.00000000023</v>
      </c>
      <c r="W21" s="198">
        <f t="shared" si="2"/>
        <v>0</v>
      </c>
      <c r="X21" s="198">
        <f t="shared" si="2"/>
        <v>0</v>
      </c>
      <c r="Y21" s="198">
        <f t="shared" si="2"/>
        <v>0</v>
      </c>
      <c r="Z21" s="198">
        <f t="shared" si="2"/>
        <v>6789000</v>
      </c>
      <c r="AA21" s="763"/>
      <c r="AB21" s="764"/>
      <c r="AC21" s="765"/>
      <c r="AD21" s="766"/>
      <c r="AE21" s="766"/>
      <c r="AF21" s="767"/>
      <c r="AG21" s="767"/>
      <c r="AH21" s="766"/>
    </row>
    <row r="22" spans="1:34" s="15" customFormat="1">
      <c r="A22" s="13"/>
      <c r="B22" s="13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3"/>
      <c r="AB22" s="57"/>
      <c r="AC22" s="55"/>
    </row>
    <row r="23" spans="1:34" s="99" customFormat="1" ht="15.75">
      <c r="A23" s="85">
        <f>A20</f>
        <v>13</v>
      </c>
      <c r="B23" s="123"/>
      <c r="C23" s="85" t="s">
        <v>874</v>
      </c>
      <c r="D23" s="219">
        <f>D21+D10</f>
        <v>39058000</v>
      </c>
      <c r="E23" s="219">
        <f t="shared" ref="E23:Z23" si="3">E21+E10</f>
        <v>21970000</v>
      </c>
      <c r="F23" s="219">
        <f t="shared" si="3"/>
        <v>17088000</v>
      </c>
      <c r="G23" s="219">
        <f t="shared" si="3"/>
        <v>10995000</v>
      </c>
      <c r="H23" s="219">
        <f t="shared" si="3"/>
        <v>8090239.9199999999</v>
      </c>
      <c r="I23" s="219">
        <f t="shared" si="3"/>
        <v>0</v>
      </c>
      <c r="J23" s="219">
        <f t="shared" si="3"/>
        <v>0</v>
      </c>
      <c r="K23" s="219">
        <f t="shared" si="3"/>
        <v>0</v>
      </c>
      <c r="L23" s="219">
        <f t="shared" si="3"/>
        <v>8090239.9199999999</v>
      </c>
      <c r="M23" s="219">
        <f t="shared" si="3"/>
        <v>4904760.08</v>
      </c>
      <c r="N23" s="219">
        <f t="shared" si="3"/>
        <v>9180000</v>
      </c>
      <c r="O23" s="219">
        <f t="shared" si="3"/>
        <v>16883000</v>
      </c>
      <c r="P23" s="219">
        <f t="shared" si="3"/>
        <v>2904760.08</v>
      </c>
      <c r="Q23" s="219">
        <f t="shared" si="3"/>
        <v>0</v>
      </c>
      <c r="R23" s="219">
        <f t="shared" si="3"/>
        <v>2000000</v>
      </c>
      <c r="S23" s="219">
        <f t="shared" si="3"/>
        <v>2000000</v>
      </c>
      <c r="T23" s="219">
        <f t="shared" si="3"/>
        <v>0</v>
      </c>
      <c r="U23" s="219">
        <f t="shared" si="3"/>
        <v>9180000</v>
      </c>
      <c r="V23" s="219">
        <f t="shared" si="3"/>
        <v>2391000</v>
      </c>
      <c r="W23" s="219">
        <f t="shared" si="3"/>
        <v>0</v>
      </c>
      <c r="X23" s="219">
        <f t="shared" si="3"/>
        <v>0</v>
      </c>
      <c r="Y23" s="219">
        <f t="shared" si="3"/>
        <v>0</v>
      </c>
      <c r="Z23" s="219">
        <f t="shared" si="3"/>
        <v>6789000</v>
      </c>
      <c r="AA23" s="219"/>
      <c r="AB23" s="131"/>
      <c r="AC23" s="131"/>
      <c r="AF23" s="63"/>
    </row>
    <row r="24" spans="1:34" s="16" customFormat="1" ht="15.75">
      <c r="A24" s="19"/>
      <c r="B24" s="123"/>
      <c r="C24" s="19"/>
      <c r="D24" s="219"/>
      <c r="E24" s="219"/>
      <c r="F24" s="14">
        <f>D24-E24</f>
        <v>0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131"/>
      <c r="AC24" s="131"/>
      <c r="AF24" s="55"/>
    </row>
    <row r="25" spans="1:34" s="15" customFormat="1">
      <c r="A25" s="57"/>
      <c r="B25" s="57"/>
      <c r="C25" s="57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7"/>
      <c r="AA25" s="57"/>
      <c r="AB25" s="57"/>
      <c r="AC25" s="57"/>
    </row>
    <row r="26" spans="1:34">
      <c r="O26" s="29"/>
      <c r="P26" s="29"/>
      <c r="Q26" s="29"/>
      <c r="R26" s="29"/>
      <c r="S26" s="29"/>
      <c r="T26" s="29"/>
    </row>
    <row r="27" spans="1:34">
      <c r="M27" s="52"/>
      <c r="O27" s="29"/>
      <c r="P27" s="29"/>
      <c r="Q27" s="29"/>
      <c r="R27" s="29"/>
      <c r="S27" s="29"/>
      <c r="T27" s="29"/>
    </row>
    <row r="28" spans="1:34">
      <c r="M28" s="52"/>
      <c r="O28" s="29"/>
      <c r="P28" s="29"/>
      <c r="Q28" s="29"/>
      <c r="R28" s="29"/>
      <c r="S28" s="29"/>
      <c r="T28" s="29"/>
    </row>
    <row r="29" spans="1:34">
      <c r="M29" s="52"/>
      <c r="P29" s="82"/>
    </row>
    <row r="30" spans="1:34">
      <c r="G30" s="221"/>
      <c r="M30" s="52"/>
      <c r="P30" s="82"/>
    </row>
    <row r="31" spans="1:34">
      <c r="G31" s="221"/>
      <c r="M31" s="52"/>
      <c r="P31" s="52"/>
    </row>
    <row r="32" spans="1:34">
      <c r="G32" s="221"/>
      <c r="L32" s="31">
        <v>0</v>
      </c>
    </row>
    <row r="33" spans="7:16">
      <c r="G33" s="221"/>
      <c r="L33" s="31">
        <v>0</v>
      </c>
      <c r="P33" s="52"/>
    </row>
    <row r="34" spans="7:16">
      <c r="G34" s="221"/>
    </row>
    <row r="35" spans="7:16">
      <c r="G35" s="221"/>
    </row>
    <row r="36" spans="7:16">
      <c r="G36" s="221"/>
    </row>
    <row r="37" spans="7:16">
      <c r="G37" s="221"/>
    </row>
    <row r="38" spans="7:16">
      <c r="G38" s="221"/>
    </row>
  </sheetData>
  <sheetProtection formatCells="0" formatColumns="0" formatRows="0" insertColumns="0" insertRows="0" insertHyperlinks="0" deleteColumns="0" deleteRows="0" sort="0" autoFilter="0" pivotTables="0"/>
  <sortState ref="A6:AF18">
    <sortCondition ref="AA6:AA18"/>
  </sortState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8"/>
  <sheetViews>
    <sheetView rightToLeft="1" topLeftCell="A4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3" spans="1:17" ht="20.25">
      <c r="E3" s="710"/>
    </row>
    <row r="6" spans="1:17" ht="20.25">
      <c r="A6" s="708"/>
      <c r="C6" s="710" t="s">
        <v>1023</v>
      </c>
      <c r="D6" s="708"/>
      <c r="E6" s="708"/>
      <c r="F6" s="708"/>
      <c r="G6" s="708"/>
      <c r="H6" s="708"/>
      <c r="I6" s="708"/>
      <c r="J6" s="708"/>
      <c r="K6" s="708"/>
      <c r="L6" s="708"/>
    </row>
    <row r="7" spans="1:17" ht="21" thickBot="1">
      <c r="A7" s="708"/>
      <c r="C7" s="710"/>
      <c r="D7" s="708"/>
      <c r="E7" s="708"/>
      <c r="F7" s="708"/>
      <c r="G7" s="708"/>
      <c r="H7" s="708"/>
      <c r="I7" s="708"/>
      <c r="J7" s="708"/>
      <c r="K7" s="708"/>
      <c r="L7" s="708"/>
    </row>
    <row r="8" spans="1:17" ht="16.5" thickBot="1">
      <c r="A8" s="708"/>
      <c r="B8" s="711" t="s">
        <v>455</v>
      </c>
      <c r="C8" s="708" t="s">
        <v>1015</v>
      </c>
      <c r="D8" s="708"/>
      <c r="E8" s="708"/>
      <c r="F8" s="712">
        <f>' מחשוב  '!U14</f>
        <v>9860000</v>
      </c>
      <c r="I8" s="708"/>
      <c r="J8" s="708"/>
      <c r="K8" s="708"/>
      <c r="L8" s="708"/>
    </row>
    <row r="9" spans="1:17" ht="21" thickBot="1">
      <c r="A9" s="708"/>
      <c r="C9" s="710"/>
      <c r="D9" s="708"/>
      <c r="E9" s="708"/>
      <c r="F9" s="708"/>
      <c r="H9" s="708"/>
      <c r="I9" s="708"/>
      <c r="J9" s="708"/>
      <c r="K9" s="708"/>
      <c r="L9" s="708"/>
    </row>
    <row r="10" spans="1:17" ht="16.5" thickBot="1">
      <c r="B10" s="711" t="s">
        <v>455</v>
      </c>
      <c r="C10" s="708" t="s">
        <v>1152</v>
      </c>
      <c r="D10" s="708"/>
      <c r="F10" s="736">
        <f>' מחשוב  '!A14</f>
        <v>8</v>
      </c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B11" s="711"/>
      <c r="C11" s="708"/>
      <c r="D11" s="708"/>
      <c r="F11" s="714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B12" s="711"/>
      <c r="C12" s="708"/>
      <c r="D12" s="708"/>
      <c r="F12" s="714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B13" s="711" t="s">
        <v>455</v>
      </c>
      <c r="C13" s="708" t="s">
        <v>972</v>
      </c>
      <c r="D13" s="708"/>
      <c r="E13" s="708"/>
      <c r="F13" s="708"/>
      <c r="G13" s="708"/>
      <c r="H13" s="708"/>
      <c r="I13" s="708"/>
      <c r="J13" s="708"/>
      <c r="K13" s="708"/>
      <c r="L13" s="708"/>
    </row>
    <row r="14" spans="1:17" ht="16.5" thickBot="1">
      <c r="B14" s="708"/>
      <c r="C14" s="708"/>
      <c r="D14" s="708"/>
      <c r="E14" s="708"/>
      <c r="F14" s="708"/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D15" s="737" t="s">
        <v>973</v>
      </c>
      <c r="E15" s="738" t="s">
        <v>974</v>
      </c>
      <c r="F15" s="739" t="s">
        <v>987</v>
      </c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C16" s="711"/>
      <c r="D16" s="715" t="s">
        <v>13</v>
      </c>
      <c r="E16" s="740">
        <f>' מחשוב  '!V14</f>
        <v>7040000</v>
      </c>
      <c r="F16" s="749">
        <f>E16/$E$18</f>
        <v>0.71399594320486814</v>
      </c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</row>
    <row r="17" spans="1:17" ht="15.75">
      <c r="C17" s="711"/>
      <c r="D17" s="715" t="s">
        <v>14</v>
      </c>
      <c r="E17" s="740">
        <f>' מחשוב  '!W14</f>
        <v>2820000</v>
      </c>
      <c r="F17" s="749">
        <f>E17/$E$18</f>
        <v>0.28600405679513186</v>
      </c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1:17" ht="16.5" thickBot="1">
      <c r="C18" s="711"/>
      <c r="D18" s="718" t="s">
        <v>208</v>
      </c>
      <c r="E18" s="755">
        <f>SUM(E16:E17)</f>
        <v>9860000</v>
      </c>
      <c r="F18" s="326">
        <f>SUM(F16:F17)</f>
        <v>1</v>
      </c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</row>
    <row r="19" spans="1:17" ht="15.75">
      <c r="B19" s="711"/>
      <c r="C19" s="708"/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1:17" ht="15.75">
      <c r="B20" s="711" t="s">
        <v>455</v>
      </c>
      <c r="C20" s="708" t="s">
        <v>995</v>
      </c>
      <c r="D20" s="708"/>
      <c r="F20" s="708"/>
      <c r="H20" s="717"/>
      <c r="I20" s="708"/>
      <c r="J20" s="708"/>
      <c r="K20" s="708"/>
      <c r="L20" s="708"/>
      <c r="M20" s="708"/>
      <c r="N20" s="708"/>
      <c r="O20" s="708"/>
      <c r="P20" s="708"/>
      <c r="Q20" s="708"/>
    </row>
    <row r="21" spans="1:17" ht="15.75">
      <c r="C21" s="708"/>
      <c r="D21" s="708" t="s">
        <v>1088</v>
      </c>
      <c r="E21" s="708"/>
      <c r="F21" s="708"/>
      <c r="H21" s="708"/>
      <c r="I21" s="708"/>
      <c r="J21" s="708"/>
      <c r="K21" s="708"/>
      <c r="L21" s="708"/>
    </row>
    <row r="22" spans="1:17" ht="15.75">
      <c r="B22" s="711"/>
      <c r="C22" s="708"/>
      <c r="D22" s="708" t="s">
        <v>1089</v>
      </c>
      <c r="E22" s="708"/>
      <c r="F22" s="708"/>
      <c r="G22" s="708"/>
      <c r="H22" s="708"/>
      <c r="I22" s="708"/>
      <c r="J22" s="708"/>
      <c r="K22" s="708"/>
      <c r="L22" s="708"/>
      <c r="M22" s="708"/>
      <c r="N22" s="708"/>
      <c r="O22" s="708"/>
      <c r="P22" s="708"/>
      <c r="Q22" s="708"/>
    </row>
    <row r="23" spans="1:17" ht="15.75">
      <c r="B23" s="711"/>
      <c r="C23" s="708"/>
      <c r="D23" s="708"/>
      <c r="E23" s="708"/>
      <c r="F23" s="708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8"/>
    </row>
    <row r="24" spans="1:17" ht="15.75">
      <c r="C24" s="711" t="s">
        <v>455</v>
      </c>
      <c r="D24" s="708" t="s">
        <v>981</v>
      </c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8"/>
    </row>
    <row r="25" spans="1:17" ht="15.75">
      <c r="A25" s="708"/>
      <c r="B25" s="708"/>
      <c r="C25" s="708"/>
      <c r="D25" s="708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</row>
    <row r="26" spans="1:17" ht="15.75">
      <c r="A26" s="708"/>
      <c r="B26" s="708"/>
      <c r="C26" s="708"/>
      <c r="D26" s="708" t="s">
        <v>1025</v>
      </c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</row>
    <row r="28" spans="1:17" ht="15.75">
      <c r="A28" s="708"/>
      <c r="B28" s="708"/>
      <c r="C28" s="708"/>
      <c r="D28" s="708" t="s">
        <v>1024</v>
      </c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C24"/>
  <sheetViews>
    <sheetView rightToLeft="1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6.42578125" style="206" customWidth="1"/>
    <col min="2" max="2" width="12.140625" style="205" customWidth="1"/>
    <col min="3" max="3" width="31" style="205" customWidth="1"/>
    <col min="4" max="5" width="10.5703125" style="222" customWidth="1"/>
    <col min="6" max="6" width="9.85546875" style="222" customWidth="1"/>
    <col min="7" max="10" width="12.7109375" style="222" hidden="1" customWidth="1"/>
    <col min="11" max="11" width="11.28515625" style="222" hidden="1" customWidth="1"/>
    <col min="12" max="12" width="9.85546875" style="222" customWidth="1"/>
    <col min="13" max="14" width="10.28515625" style="222" customWidth="1"/>
    <col min="15" max="15" width="10" style="222" customWidth="1"/>
    <col min="16" max="17" width="11.140625" style="222" hidden="1" customWidth="1"/>
    <col min="18" max="19" width="12" style="222" hidden="1" customWidth="1"/>
    <col min="20" max="20" width="8.7109375" style="222" hidden="1" customWidth="1"/>
    <col min="21" max="21" width="10.140625" style="205" customWidth="1"/>
    <col min="22" max="23" width="10.28515625" style="205" customWidth="1"/>
    <col min="24" max="24" width="6" style="205" hidden="1" customWidth="1"/>
    <col min="25" max="25" width="7.5703125" style="205" hidden="1" customWidth="1"/>
    <col min="26" max="26" width="7" style="205" hidden="1" customWidth="1"/>
    <col min="27" max="27" width="7.85546875" style="205" hidden="1" customWidth="1"/>
    <col min="28" max="28" width="4" style="205" customWidth="1"/>
    <col min="29" max="16384" width="9.140625" style="204"/>
  </cols>
  <sheetData>
    <row r="2" spans="1:29" ht="18.75">
      <c r="A2" s="541" t="s">
        <v>503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AB2" s="204"/>
    </row>
    <row r="3" spans="1:29">
      <c r="AB3" s="204"/>
    </row>
    <row r="4" spans="1:29" ht="75">
      <c r="A4" s="238" t="s">
        <v>0</v>
      </c>
      <c r="B4" s="238" t="s">
        <v>1</v>
      </c>
      <c r="C4" s="238" t="s">
        <v>2</v>
      </c>
      <c r="D4" s="238" t="s">
        <v>3</v>
      </c>
      <c r="E4" s="238" t="s">
        <v>4</v>
      </c>
      <c r="F4" s="238" t="s">
        <v>5</v>
      </c>
      <c r="G4" s="238" t="s">
        <v>6</v>
      </c>
      <c r="H4" s="238" t="s">
        <v>7</v>
      </c>
      <c r="I4" s="238" t="s">
        <v>9</v>
      </c>
      <c r="J4" s="238" t="s">
        <v>423</v>
      </c>
      <c r="K4" s="238" t="s">
        <v>10</v>
      </c>
      <c r="L4" s="238" t="s">
        <v>11</v>
      </c>
      <c r="M4" s="12" t="s">
        <v>414</v>
      </c>
      <c r="N4" s="238" t="s">
        <v>415</v>
      </c>
      <c r="O4" s="238" t="s">
        <v>416</v>
      </c>
      <c r="P4" s="238" t="s">
        <v>12</v>
      </c>
      <c r="Q4" s="238" t="s">
        <v>417</v>
      </c>
      <c r="R4" s="238" t="s">
        <v>418</v>
      </c>
      <c r="S4" s="238" t="s">
        <v>419</v>
      </c>
      <c r="T4" s="238" t="s">
        <v>420</v>
      </c>
      <c r="U4" s="238" t="s">
        <v>421</v>
      </c>
      <c r="V4" s="238" t="s">
        <v>13</v>
      </c>
      <c r="W4" s="238" t="s">
        <v>14</v>
      </c>
      <c r="X4" s="238" t="s">
        <v>15</v>
      </c>
      <c r="Y4" s="238" t="s">
        <v>914</v>
      </c>
      <c r="Z4" s="238" t="s">
        <v>184</v>
      </c>
      <c r="AA4" s="238" t="s">
        <v>16</v>
      </c>
      <c r="AB4" s="204"/>
    </row>
    <row r="5" spans="1:29">
      <c r="A5" s="228"/>
      <c r="B5" s="225"/>
      <c r="C5" s="225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5"/>
      <c r="W5" s="225"/>
      <c r="X5" s="225"/>
      <c r="Y5" s="225"/>
      <c r="Z5" s="225"/>
      <c r="AA5" s="225"/>
      <c r="AB5" s="204"/>
    </row>
    <row r="6" spans="1:29">
      <c r="A6" s="218">
        <f>A5+1</f>
        <v>1</v>
      </c>
      <c r="B6" s="229">
        <v>1002</v>
      </c>
      <c r="C6" s="218" t="s">
        <v>330</v>
      </c>
      <c r="D6" s="230">
        <f>2080000+210000</f>
        <v>2290000</v>
      </c>
      <c r="E6" s="230">
        <v>2080000</v>
      </c>
      <c r="F6" s="230">
        <f t="shared" ref="F6:F13" si="0">D6-E6</f>
        <v>210000</v>
      </c>
      <c r="G6" s="230">
        <f>1980000+60000</f>
        <v>2040000</v>
      </c>
      <c r="H6" s="230">
        <v>1926852.26</v>
      </c>
      <c r="I6" s="230"/>
      <c r="J6" s="230">
        <v>112690.15</v>
      </c>
      <c r="K6" s="230">
        <f>SUM(I6:J6)</f>
        <v>112690.15</v>
      </c>
      <c r="L6" s="230">
        <f t="shared" ref="L6:L13" si="1">H6+K6</f>
        <v>2039542.41</v>
      </c>
      <c r="M6" s="14">
        <f>P6+S6</f>
        <v>457.59000000008382</v>
      </c>
      <c r="N6" s="14">
        <v>100000</v>
      </c>
      <c r="O6" s="14">
        <f t="shared" ref="O6:O13" si="2">D6-L6-M6-N6</f>
        <v>150000</v>
      </c>
      <c r="P6" s="14">
        <f t="shared" ref="P6:P13" si="3">G6-L6</f>
        <v>457.59000000008382</v>
      </c>
      <c r="Q6" s="14"/>
      <c r="R6" s="14"/>
      <c r="S6" s="14">
        <f t="shared" ref="S6:S13" si="4">SUM(Q6:R6)</f>
        <v>0</v>
      </c>
      <c r="T6" s="14">
        <f t="shared" ref="T6:T13" si="5">P6-M6+S6</f>
        <v>0</v>
      </c>
      <c r="U6" s="14">
        <f t="shared" ref="U6:U13" si="6">N6-T6</f>
        <v>100000</v>
      </c>
      <c r="V6" s="14">
        <f t="shared" ref="V6:V11" si="7">U6-W6-Y6-AB6</f>
        <v>0</v>
      </c>
      <c r="W6" s="14">
        <v>100000</v>
      </c>
      <c r="X6" s="230"/>
      <c r="Y6" s="230"/>
      <c r="Z6" s="218"/>
      <c r="AA6" s="218">
        <v>760000</v>
      </c>
      <c r="AB6" s="204"/>
    </row>
    <row r="7" spans="1:29">
      <c r="A7" s="218">
        <f t="shared" ref="A7:A13" si="8">A6+1</f>
        <v>2</v>
      </c>
      <c r="B7" s="218">
        <v>1497</v>
      </c>
      <c r="C7" s="218" t="s">
        <v>135</v>
      </c>
      <c r="D7" s="230">
        <v>8820000</v>
      </c>
      <c r="E7" s="230">
        <v>8820000</v>
      </c>
      <c r="F7" s="230">
        <f t="shared" si="0"/>
        <v>0</v>
      </c>
      <c r="G7" s="230">
        <f>2615000+133000</f>
        <v>2748000</v>
      </c>
      <c r="H7" s="230">
        <v>2353778.5299999998</v>
      </c>
      <c r="I7" s="230"/>
      <c r="J7" s="230">
        <v>98416</v>
      </c>
      <c r="K7" s="230">
        <f t="shared" ref="K7:K13" si="9">SUM(I7:J7)</f>
        <v>98416</v>
      </c>
      <c r="L7" s="230">
        <f t="shared" si="1"/>
        <v>2452194.5299999998</v>
      </c>
      <c r="M7" s="14">
        <f>P7+S7</f>
        <v>295805.4700000002</v>
      </c>
      <c r="N7" s="14">
        <v>200000</v>
      </c>
      <c r="O7" s="14">
        <f t="shared" si="2"/>
        <v>5872000</v>
      </c>
      <c r="P7" s="14">
        <f t="shared" si="3"/>
        <v>295805.4700000002</v>
      </c>
      <c r="Q7" s="14"/>
      <c r="R7" s="14"/>
      <c r="S7" s="14">
        <f t="shared" si="4"/>
        <v>0</v>
      </c>
      <c r="T7" s="14">
        <f t="shared" si="5"/>
        <v>0</v>
      </c>
      <c r="U7" s="14">
        <f t="shared" si="6"/>
        <v>200000</v>
      </c>
      <c r="V7" s="14">
        <f t="shared" si="7"/>
        <v>0</v>
      </c>
      <c r="W7" s="14">
        <v>200000</v>
      </c>
      <c r="X7" s="230"/>
      <c r="Y7" s="230"/>
      <c r="Z7" s="218"/>
      <c r="AA7" s="218">
        <v>610000</v>
      </c>
      <c r="AB7" s="204"/>
    </row>
    <row r="8" spans="1:29">
      <c r="A8" s="218">
        <f t="shared" si="8"/>
        <v>3</v>
      </c>
      <c r="B8" s="218">
        <v>1507</v>
      </c>
      <c r="C8" s="218" t="s">
        <v>1021</v>
      </c>
      <c r="D8" s="230">
        <v>1600000</v>
      </c>
      <c r="E8" s="230">
        <v>1600000</v>
      </c>
      <c r="F8" s="230">
        <f t="shared" si="0"/>
        <v>0</v>
      </c>
      <c r="G8" s="230">
        <v>1600000</v>
      </c>
      <c r="H8" s="230">
        <v>1576614.95</v>
      </c>
      <c r="I8" s="230"/>
      <c r="J8" s="230">
        <v>18654.810000000001</v>
      </c>
      <c r="K8" s="230">
        <f t="shared" si="9"/>
        <v>18654.810000000001</v>
      </c>
      <c r="L8" s="230">
        <f t="shared" si="1"/>
        <v>1595269.76</v>
      </c>
      <c r="M8" s="14">
        <f>P8+S8</f>
        <v>4730.2399999999907</v>
      </c>
      <c r="N8" s="14"/>
      <c r="O8" s="14">
        <f t="shared" si="2"/>
        <v>0</v>
      </c>
      <c r="P8" s="14">
        <f t="shared" si="3"/>
        <v>4730.2399999999907</v>
      </c>
      <c r="Q8" s="14"/>
      <c r="R8" s="14"/>
      <c r="S8" s="14">
        <f t="shared" si="4"/>
        <v>0</v>
      </c>
      <c r="T8" s="14">
        <f t="shared" si="5"/>
        <v>0</v>
      </c>
      <c r="U8" s="14">
        <f t="shared" si="6"/>
        <v>0</v>
      </c>
      <c r="V8" s="14">
        <f t="shared" si="7"/>
        <v>0</v>
      </c>
      <c r="W8" s="14"/>
      <c r="X8" s="230"/>
      <c r="Y8" s="230"/>
      <c r="Z8" s="218"/>
      <c r="AA8" s="218">
        <v>722000</v>
      </c>
      <c r="AB8" s="204"/>
    </row>
    <row r="9" spans="1:29">
      <c r="A9" s="218">
        <f t="shared" si="8"/>
        <v>4</v>
      </c>
      <c r="B9" s="218">
        <v>1647</v>
      </c>
      <c r="C9" s="218" t="s">
        <v>504</v>
      </c>
      <c r="D9" s="230">
        <v>4700000</v>
      </c>
      <c r="E9" s="230">
        <v>4700000</v>
      </c>
      <c r="F9" s="230">
        <f t="shared" si="0"/>
        <v>0</v>
      </c>
      <c r="G9" s="230">
        <f>3200000+750000</f>
        <v>3950000</v>
      </c>
      <c r="H9" s="230">
        <v>2465790.1800000002</v>
      </c>
      <c r="I9" s="230"/>
      <c r="J9" s="230">
        <v>1034689.37</v>
      </c>
      <c r="K9" s="230">
        <f t="shared" si="9"/>
        <v>1034689.37</v>
      </c>
      <c r="L9" s="230">
        <f t="shared" si="1"/>
        <v>3500479.5500000003</v>
      </c>
      <c r="M9" s="14">
        <f>P9+S9</f>
        <v>449520.44999999972</v>
      </c>
      <c r="N9" s="14">
        <v>500000</v>
      </c>
      <c r="O9" s="14">
        <f t="shared" si="2"/>
        <v>250000</v>
      </c>
      <c r="P9" s="14">
        <f t="shared" si="3"/>
        <v>449520.44999999972</v>
      </c>
      <c r="Q9" s="14"/>
      <c r="R9" s="14"/>
      <c r="S9" s="14">
        <f t="shared" si="4"/>
        <v>0</v>
      </c>
      <c r="T9" s="14">
        <f t="shared" si="5"/>
        <v>0</v>
      </c>
      <c r="U9" s="14">
        <f t="shared" si="6"/>
        <v>500000</v>
      </c>
      <c r="V9" s="14">
        <f t="shared" si="7"/>
        <v>100000</v>
      </c>
      <c r="W9" s="14">
        <v>400000</v>
      </c>
      <c r="X9" s="230"/>
      <c r="Y9" s="230"/>
      <c r="Z9" s="218"/>
      <c r="AA9" s="218">
        <v>810000</v>
      </c>
      <c r="AB9" s="204"/>
    </row>
    <row r="10" spans="1:29" s="15" customFormat="1">
      <c r="A10" s="218">
        <f t="shared" si="8"/>
        <v>5</v>
      </c>
      <c r="B10" s="218">
        <v>1790</v>
      </c>
      <c r="C10" s="218" t="s">
        <v>1022</v>
      </c>
      <c r="D10" s="230">
        <v>415000</v>
      </c>
      <c r="E10" s="230">
        <v>415000</v>
      </c>
      <c r="F10" s="230">
        <f t="shared" si="0"/>
        <v>0</v>
      </c>
      <c r="G10" s="230">
        <f>385000+30000</f>
        <v>415000</v>
      </c>
      <c r="H10" s="230">
        <v>313300.67</v>
      </c>
      <c r="I10" s="230"/>
      <c r="J10" s="230">
        <v>67407.210000000006</v>
      </c>
      <c r="K10" s="230">
        <f t="shared" si="9"/>
        <v>67407.210000000006</v>
      </c>
      <c r="L10" s="230">
        <f t="shared" si="1"/>
        <v>380707.88</v>
      </c>
      <c r="M10" s="14">
        <f>P10+S10</f>
        <v>34292.119999999995</v>
      </c>
      <c r="N10" s="14">
        <v>0</v>
      </c>
      <c r="O10" s="14">
        <f t="shared" si="2"/>
        <v>0</v>
      </c>
      <c r="P10" s="14">
        <f t="shared" si="3"/>
        <v>34292.119999999995</v>
      </c>
      <c r="Q10" s="14"/>
      <c r="R10" s="14"/>
      <c r="S10" s="14">
        <f t="shared" si="4"/>
        <v>0</v>
      </c>
      <c r="T10" s="14">
        <f t="shared" si="5"/>
        <v>0</v>
      </c>
      <c r="U10" s="14">
        <f t="shared" si="6"/>
        <v>0</v>
      </c>
      <c r="V10" s="14">
        <f t="shared" si="7"/>
        <v>0</v>
      </c>
      <c r="W10" s="14"/>
      <c r="X10" s="230"/>
      <c r="Y10" s="230"/>
      <c r="Z10" s="218"/>
      <c r="AA10" s="218">
        <v>810000</v>
      </c>
      <c r="AB10" s="204"/>
      <c r="AC10" s="204"/>
    </row>
    <row r="11" spans="1:29" ht="30">
      <c r="A11" s="218">
        <f t="shared" si="8"/>
        <v>6</v>
      </c>
      <c r="B11" s="218">
        <v>1871</v>
      </c>
      <c r="C11" s="218" t="s">
        <v>505</v>
      </c>
      <c r="D11" s="230">
        <v>3200000</v>
      </c>
      <c r="E11" s="230">
        <v>11000000</v>
      </c>
      <c r="F11" s="230">
        <f t="shared" si="0"/>
        <v>-7800000</v>
      </c>
      <c r="G11" s="230">
        <v>0</v>
      </c>
      <c r="H11" s="230">
        <v>0</v>
      </c>
      <c r="I11" s="230"/>
      <c r="J11" s="230"/>
      <c r="K11" s="230">
        <f t="shared" si="9"/>
        <v>0</v>
      </c>
      <c r="L11" s="230">
        <f t="shared" si="1"/>
        <v>0</v>
      </c>
      <c r="M11" s="14">
        <v>0</v>
      </c>
      <c r="N11" s="14">
        <v>1990000</v>
      </c>
      <c r="O11" s="14">
        <f t="shared" si="2"/>
        <v>1210000</v>
      </c>
      <c r="P11" s="14">
        <f t="shared" si="3"/>
        <v>0</v>
      </c>
      <c r="Q11" s="14"/>
      <c r="R11" s="14"/>
      <c r="S11" s="14">
        <f t="shared" si="4"/>
        <v>0</v>
      </c>
      <c r="T11" s="14">
        <f t="shared" si="5"/>
        <v>0</v>
      </c>
      <c r="U11" s="14">
        <f t="shared" si="6"/>
        <v>1990000</v>
      </c>
      <c r="V11" s="14">
        <f t="shared" si="7"/>
        <v>1990000</v>
      </c>
      <c r="W11" s="14"/>
      <c r="X11" s="230"/>
      <c r="Y11" s="230"/>
      <c r="Z11" s="218"/>
      <c r="AA11" s="218">
        <v>760000</v>
      </c>
      <c r="AB11" s="204"/>
    </row>
    <row r="12" spans="1:29">
      <c r="A12" s="218">
        <f t="shared" si="8"/>
        <v>7</v>
      </c>
      <c r="B12" s="13">
        <v>1893</v>
      </c>
      <c r="C12" s="13" t="s">
        <v>316</v>
      </c>
      <c r="D12" s="14">
        <v>300000</v>
      </c>
      <c r="E12" s="14">
        <v>300000</v>
      </c>
      <c r="F12" s="14">
        <f t="shared" si="0"/>
        <v>0</v>
      </c>
      <c r="G12" s="14">
        <f>150000+30000</f>
        <v>180000</v>
      </c>
      <c r="H12" s="14">
        <v>41149</v>
      </c>
      <c r="I12" s="14"/>
      <c r="J12" s="14">
        <v>79847</v>
      </c>
      <c r="K12" s="230">
        <f t="shared" si="9"/>
        <v>79847</v>
      </c>
      <c r="L12" s="14">
        <f t="shared" si="1"/>
        <v>120996</v>
      </c>
      <c r="M12" s="14">
        <f>P12+S12</f>
        <v>59004</v>
      </c>
      <c r="N12" s="14">
        <v>120000</v>
      </c>
      <c r="O12" s="14">
        <f t="shared" si="2"/>
        <v>0</v>
      </c>
      <c r="P12" s="14">
        <f t="shared" si="3"/>
        <v>59004</v>
      </c>
      <c r="Q12" s="14"/>
      <c r="R12" s="14"/>
      <c r="S12" s="14">
        <f t="shared" si="4"/>
        <v>0</v>
      </c>
      <c r="T12" s="14">
        <f t="shared" si="5"/>
        <v>0</v>
      </c>
      <c r="U12" s="14">
        <f t="shared" si="6"/>
        <v>120000</v>
      </c>
      <c r="V12" s="14"/>
      <c r="W12" s="14">
        <f>U12-V12-Y12-AB12</f>
        <v>120000</v>
      </c>
      <c r="X12" s="14"/>
      <c r="Y12" s="14"/>
      <c r="Z12" s="13"/>
      <c r="AA12" s="670">
        <v>714000</v>
      </c>
      <c r="AB12" s="204"/>
    </row>
    <row r="13" spans="1:29" ht="30">
      <c r="A13" s="218">
        <f t="shared" si="8"/>
        <v>8</v>
      </c>
      <c r="B13" s="218">
        <v>1982</v>
      </c>
      <c r="C13" s="218" t="s">
        <v>1026</v>
      </c>
      <c r="D13" s="230">
        <v>22500000</v>
      </c>
      <c r="E13" s="230">
        <v>1500000</v>
      </c>
      <c r="F13" s="230">
        <f t="shared" si="0"/>
        <v>21000000</v>
      </c>
      <c r="G13" s="230">
        <v>100000</v>
      </c>
      <c r="H13" s="230">
        <v>0</v>
      </c>
      <c r="I13" s="230"/>
      <c r="J13" s="230">
        <v>7300</v>
      </c>
      <c r="K13" s="230">
        <f t="shared" si="9"/>
        <v>7300</v>
      </c>
      <c r="L13" s="230">
        <f t="shared" si="1"/>
        <v>7300</v>
      </c>
      <c r="M13" s="14">
        <f>P13+S13</f>
        <v>92700</v>
      </c>
      <c r="N13" s="14">
        <f>7950000-1000000</f>
        <v>6950000</v>
      </c>
      <c r="O13" s="14">
        <f t="shared" si="2"/>
        <v>15450000</v>
      </c>
      <c r="P13" s="14">
        <f t="shared" si="3"/>
        <v>92700</v>
      </c>
      <c r="Q13" s="14"/>
      <c r="R13" s="14"/>
      <c r="S13" s="14">
        <f t="shared" si="4"/>
        <v>0</v>
      </c>
      <c r="T13" s="14">
        <f t="shared" si="5"/>
        <v>0</v>
      </c>
      <c r="U13" s="14">
        <f t="shared" si="6"/>
        <v>6950000</v>
      </c>
      <c r="V13" s="14">
        <f>U13-W13-Y13-AB13</f>
        <v>4950000</v>
      </c>
      <c r="W13" s="14">
        <f>4700000-1000000-1700000</f>
        <v>2000000</v>
      </c>
      <c r="X13" s="230"/>
      <c r="Y13" s="230"/>
      <c r="Z13" s="218"/>
      <c r="AA13" s="218">
        <v>722000</v>
      </c>
      <c r="AB13" s="204"/>
    </row>
    <row r="14" spans="1:29" s="693" customFormat="1" ht="15.75">
      <c r="A14" s="234">
        <f>A13</f>
        <v>8</v>
      </c>
      <c r="B14" s="234"/>
      <c r="C14" s="234" t="s">
        <v>970</v>
      </c>
      <c r="D14" s="235">
        <f t="shared" ref="D14:Z14" si="10">SUM(D6:D13)</f>
        <v>43825000</v>
      </c>
      <c r="E14" s="235">
        <f t="shared" si="10"/>
        <v>30415000</v>
      </c>
      <c r="F14" s="235">
        <f t="shared" si="10"/>
        <v>13410000</v>
      </c>
      <c r="G14" s="235">
        <f t="shared" si="10"/>
        <v>11033000</v>
      </c>
      <c r="H14" s="235">
        <f t="shared" si="10"/>
        <v>8677485.5899999999</v>
      </c>
      <c r="I14" s="235">
        <f t="shared" si="10"/>
        <v>0</v>
      </c>
      <c r="J14" s="235">
        <f t="shared" si="10"/>
        <v>1419004.54</v>
      </c>
      <c r="K14" s="235">
        <f t="shared" si="10"/>
        <v>1419004.54</v>
      </c>
      <c r="L14" s="235">
        <f t="shared" si="10"/>
        <v>10096490.130000001</v>
      </c>
      <c r="M14" s="235">
        <f t="shared" si="10"/>
        <v>936509.87</v>
      </c>
      <c r="N14" s="235">
        <f t="shared" si="10"/>
        <v>9860000</v>
      </c>
      <c r="O14" s="235">
        <f t="shared" si="10"/>
        <v>22932000</v>
      </c>
      <c r="P14" s="235">
        <f t="shared" si="10"/>
        <v>936509.87</v>
      </c>
      <c r="Q14" s="235">
        <f t="shared" si="10"/>
        <v>0</v>
      </c>
      <c r="R14" s="235">
        <f t="shared" si="10"/>
        <v>0</v>
      </c>
      <c r="S14" s="235">
        <f t="shared" si="10"/>
        <v>0</v>
      </c>
      <c r="T14" s="235">
        <f t="shared" si="10"/>
        <v>0</v>
      </c>
      <c r="U14" s="235">
        <f t="shared" si="10"/>
        <v>9860000</v>
      </c>
      <c r="V14" s="235">
        <f t="shared" si="10"/>
        <v>7040000</v>
      </c>
      <c r="W14" s="235">
        <f t="shared" si="10"/>
        <v>2820000</v>
      </c>
      <c r="X14" s="235">
        <f t="shared" si="10"/>
        <v>0</v>
      </c>
      <c r="Y14" s="235">
        <f t="shared" si="10"/>
        <v>0</v>
      </c>
      <c r="Z14" s="235">
        <f t="shared" si="10"/>
        <v>0</v>
      </c>
      <c r="AA14" s="234"/>
      <c r="AB14" s="204">
        <f>SUM(AB6:AB13)</f>
        <v>0</v>
      </c>
      <c r="AC14" s="204"/>
    </row>
    <row r="15" spans="1:29">
      <c r="A15" s="218"/>
      <c r="B15" s="218"/>
      <c r="C15" s="233"/>
      <c r="D15" s="230"/>
      <c r="E15" s="230"/>
      <c r="F15" s="230"/>
      <c r="G15" s="230"/>
      <c r="H15" s="230"/>
      <c r="I15" s="230"/>
      <c r="J15" s="230"/>
      <c r="K15" s="230">
        <f>SUM(I15:J15)</f>
        <v>0</v>
      </c>
      <c r="L15" s="230">
        <f>H15+K15</f>
        <v>0</v>
      </c>
      <c r="M15" s="230">
        <f>P15+S15</f>
        <v>0</v>
      </c>
      <c r="N15" s="230"/>
      <c r="O15" s="230">
        <f>D15-L15-M15-N15</f>
        <v>0</v>
      </c>
      <c r="P15" s="230">
        <f>G15-L15</f>
        <v>0</v>
      </c>
      <c r="Q15" s="230"/>
      <c r="R15" s="230"/>
      <c r="S15" s="230">
        <f>SUM(Q15:R15)</f>
        <v>0</v>
      </c>
      <c r="T15" s="230"/>
      <c r="U15" s="230"/>
      <c r="V15" s="230"/>
      <c r="W15" s="230">
        <f>U15-V15</f>
        <v>0</v>
      </c>
      <c r="X15" s="230"/>
      <c r="Y15" s="230"/>
      <c r="Z15" s="218"/>
      <c r="AA15" s="218"/>
      <c r="AB15" s="204"/>
    </row>
    <row r="16" spans="1:29">
      <c r="AB16" s="204"/>
    </row>
    <row r="17" spans="1:28">
      <c r="AB17" s="204"/>
    </row>
    <row r="20" spans="1:28">
      <c r="O20" s="623"/>
    </row>
    <row r="22" spans="1:28">
      <c r="A22" s="204"/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</row>
    <row r="23" spans="1:28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</row>
    <row r="24" spans="1:28" ht="14.25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</row>
  </sheetData>
  <conditionalFormatting sqref="F9">
    <cfRule type="cellIs" dxfId="26" priority="12" operator="equal">
      <formula>0</formula>
    </cfRule>
  </conditionalFormatting>
  <conditionalFormatting sqref="A23:W1048576 Q21:W22 A21:O22 A1:Z4 AB1:XFD1 A6:W20 X18:XFD1048576 X6:AA17 AD6:XFD17 AD2:XFD4">
    <cfRule type="cellIs" dxfId="25" priority="11" operator="equal">
      <formula>0</formula>
    </cfRule>
  </conditionalFormatting>
  <conditionalFormatting sqref="AA1:AA4">
    <cfRule type="cellIs" dxfId="24" priority="2" operator="equal">
      <formula>0</formula>
    </cfRule>
  </conditionalFormatting>
  <conditionalFormatting sqref="AB2:AC17">
    <cfRule type="cellIs" dxfId="2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6"/>
  <sheetViews>
    <sheetView rightToLeft="1" topLeftCell="A13" workbookViewId="0">
      <selection activeCell="T10" sqref="T10"/>
    </sheetView>
  </sheetViews>
  <sheetFormatPr defaultRowHeight="14.25"/>
  <cols>
    <col min="1" max="3" width="4.140625" style="274" customWidth="1"/>
    <col min="4" max="4" width="33" style="274" customWidth="1"/>
    <col min="5" max="9" width="12.140625" style="274" customWidth="1"/>
    <col min="10" max="10" width="7.85546875" style="274" customWidth="1"/>
    <col min="11" max="16384" width="9.140625" style="274"/>
  </cols>
  <sheetData>
    <row r="3" spans="1:17" ht="20.25">
      <c r="E3" s="275"/>
    </row>
    <row r="4" spans="1:17" s="286" customFormat="1" ht="18.75">
      <c r="A4" s="284" t="s">
        <v>568</v>
      </c>
      <c r="C4" s="285" t="s">
        <v>413</v>
      </c>
    </row>
    <row r="5" spans="1:17" ht="15.75">
      <c r="A5" s="276"/>
      <c r="C5" s="277"/>
      <c r="G5" s="277" t="s">
        <v>547</v>
      </c>
    </row>
    <row r="6" spans="1:17" ht="16.5" thickBot="1">
      <c r="A6" s="276"/>
      <c r="C6" s="277"/>
    </row>
    <row r="7" spans="1:17" ht="16.5" thickBot="1">
      <c r="A7" s="276">
        <v>3.1</v>
      </c>
      <c r="C7" s="276" t="s">
        <v>567</v>
      </c>
      <c r="D7" s="276"/>
      <c r="E7" s="276"/>
      <c r="F7" s="276"/>
      <c r="G7" s="296">
        <f>מבוא!E26</f>
        <v>537095.94900000002</v>
      </c>
    </row>
    <row r="8" spans="1:17" ht="16.5" thickBot="1">
      <c r="A8" s="276"/>
      <c r="C8" s="276"/>
      <c r="D8" s="276"/>
      <c r="E8" s="276"/>
      <c r="F8" s="276"/>
      <c r="G8" s="281"/>
    </row>
    <row r="9" spans="1:17" ht="16.5" thickBot="1">
      <c r="A9" s="276"/>
      <c r="C9" s="276" t="s">
        <v>632</v>
      </c>
      <c r="D9" s="276"/>
      <c r="E9" s="276"/>
      <c r="F9" s="276"/>
      <c r="G9" s="296">
        <f>מבוא!E28</f>
        <v>564915.06299999997</v>
      </c>
      <c r="I9" s="276"/>
      <c r="J9" s="276"/>
      <c r="K9" s="276"/>
      <c r="L9" s="276"/>
    </row>
    <row r="10" spans="1:17" ht="16.5" thickBot="1">
      <c r="A10" s="276"/>
      <c r="C10" s="276"/>
      <c r="D10" s="276"/>
      <c r="E10" s="276"/>
      <c r="F10" s="276"/>
      <c r="G10" s="281"/>
      <c r="I10" s="276"/>
      <c r="J10" s="276"/>
      <c r="K10" s="276"/>
      <c r="L10" s="276"/>
    </row>
    <row r="11" spans="1:17" ht="16.5" thickBot="1">
      <c r="A11" s="276"/>
      <c r="C11" s="276" t="s">
        <v>548</v>
      </c>
      <c r="D11" s="276"/>
      <c r="E11" s="276"/>
      <c r="F11" s="276"/>
      <c r="G11" s="296">
        <f>מבוא!E30</f>
        <v>4141219.83</v>
      </c>
      <c r="I11" s="276"/>
      <c r="J11" s="276"/>
      <c r="K11" s="276"/>
      <c r="L11" s="276"/>
      <c r="O11" s="276"/>
      <c r="P11" s="276"/>
      <c r="Q11" s="276"/>
    </row>
    <row r="12" spans="1:17" ht="15.75">
      <c r="A12" s="276"/>
      <c r="C12" s="276"/>
      <c r="D12" s="276"/>
      <c r="E12" s="276"/>
      <c r="F12" s="276"/>
      <c r="G12" s="295"/>
      <c r="I12" s="276"/>
      <c r="J12" s="276"/>
      <c r="K12" s="276"/>
      <c r="L12" s="276"/>
      <c r="O12" s="276"/>
      <c r="P12" s="276"/>
      <c r="Q12" s="276"/>
    </row>
    <row r="13" spans="1:17" ht="15.75">
      <c r="A13" s="276"/>
      <c r="C13" s="276"/>
      <c r="D13" s="276"/>
      <c r="E13" s="276"/>
      <c r="F13" s="276"/>
      <c r="G13" s="295"/>
      <c r="I13" s="276"/>
      <c r="J13" s="276"/>
      <c r="K13" s="276"/>
      <c r="L13" s="276"/>
      <c r="O13" s="276"/>
      <c r="P13" s="276"/>
      <c r="Q13" s="276"/>
    </row>
    <row r="14" spans="1:17" ht="15.75">
      <c r="A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O14" s="276"/>
      <c r="P14" s="276"/>
      <c r="Q14" s="276"/>
    </row>
    <row r="15" spans="1:17" ht="15.75">
      <c r="A15" s="276">
        <v>3.2</v>
      </c>
      <c r="C15" s="276" t="s">
        <v>805</v>
      </c>
      <c r="D15" s="276"/>
      <c r="E15" s="276"/>
      <c r="F15" s="276"/>
      <c r="G15" s="276"/>
      <c r="H15" s="276"/>
      <c r="I15" s="276"/>
      <c r="J15" s="276"/>
      <c r="K15" s="276"/>
      <c r="L15" s="276"/>
      <c r="O15" s="276"/>
      <c r="P15" s="276"/>
      <c r="Q15" s="276"/>
    </row>
    <row r="16" spans="1:17" ht="15.75">
      <c r="A16" s="276"/>
      <c r="B16" s="279" t="s">
        <v>455</v>
      </c>
      <c r="C16" s="276" t="s">
        <v>566</v>
      </c>
      <c r="D16" s="276"/>
      <c r="E16" s="276"/>
      <c r="F16" s="276"/>
      <c r="G16" s="276"/>
      <c r="H16" s="276"/>
      <c r="I16" s="276"/>
      <c r="J16" s="276"/>
      <c r="K16" s="276"/>
      <c r="L16" s="276"/>
      <c r="O16" s="276"/>
      <c r="P16" s="276"/>
      <c r="Q16" s="276"/>
    </row>
    <row r="17" spans="1:17" ht="15.75">
      <c r="A17" s="276"/>
      <c r="B17" s="279" t="s">
        <v>455</v>
      </c>
      <c r="C17" s="276" t="s">
        <v>1059</v>
      </c>
      <c r="D17" s="276"/>
      <c r="E17" s="276"/>
      <c r="F17" s="276"/>
      <c r="G17" s="276"/>
      <c r="H17" s="276"/>
      <c r="I17" s="276"/>
      <c r="J17" s="276"/>
      <c r="K17" s="276"/>
      <c r="L17" s="276"/>
      <c r="O17" s="276"/>
      <c r="P17" s="276"/>
      <c r="Q17" s="276"/>
    </row>
    <row r="18" spans="1:17" ht="15.75">
      <c r="A18" s="276"/>
      <c r="B18" s="279" t="s">
        <v>455</v>
      </c>
      <c r="C18" s="276" t="s">
        <v>565</v>
      </c>
      <c r="D18" s="276"/>
      <c r="E18" s="276"/>
      <c r="F18" s="276"/>
      <c r="G18" s="276"/>
      <c r="H18" s="276"/>
      <c r="I18" s="276"/>
      <c r="J18" s="276"/>
      <c r="K18" s="276"/>
      <c r="L18" s="276"/>
      <c r="O18" s="276"/>
      <c r="P18" s="276"/>
      <c r="Q18" s="276"/>
    </row>
    <row r="19" spans="1:17" ht="15.75">
      <c r="A19" s="276"/>
      <c r="B19" s="279" t="s">
        <v>455</v>
      </c>
      <c r="C19" s="276" t="s">
        <v>564</v>
      </c>
      <c r="D19" s="276"/>
      <c r="E19" s="276"/>
      <c r="F19" s="276"/>
      <c r="G19" s="276"/>
      <c r="H19" s="276"/>
      <c r="I19" s="276"/>
      <c r="J19" s="276"/>
      <c r="K19" s="276"/>
      <c r="L19" s="276"/>
      <c r="O19" s="276"/>
      <c r="P19" s="276"/>
      <c r="Q19" s="276"/>
    </row>
    <row r="20" spans="1:17" ht="15.75">
      <c r="A20" s="276"/>
      <c r="B20" s="279" t="s">
        <v>455</v>
      </c>
      <c r="C20" s="276" t="s">
        <v>1140</v>
      </c>
      <c r="D20" s="276"/>
      <c r="E20" s="276"/>
      <c r="F20" s="276"/>
      <c r="G20" s="276"/>
      <c r="H20" s="276"/>
      <c r="I20" s="276"/>
      <c r="J20" s="276"/>
      <c r="K20" s="276"/>
      <c r="L20" s="276"/>
      <c r="O20" s="276"/>
      <c r="P20" s="276"/>
      <c r="Q20" s="276"/>
    </row>
    <row r="21" spans="1:17" ht="15.75">
      <c r="A21" s="276"/>
      <c r="B21" s="279" t="s">
        <v>455</v>
      </c>
      <c r="C21" s="276" t="s">
        <v>563</v>
      </c>
      <c r="D21" s="276"/>
      <c r="E21" s="276"/>
      <c r="F21" s="276"/>
      <c r="G21" s="276"/>
      <c r="H21" s="276"/>
      <c r="I21" s="276"/>
      <c r="J21" s="276"/>
      <c r="K21" s="276"/>
      <c r="L21" s="276"/>
      <c r="O21" s="276"/>
      <c r="P21" s="276"/>
      <c r="Q21" s="276"/>
    </row>
    <row r="22" spans="1:17" ht="15.75">
      <c r="A22" s="276"/>
      <c r="B22" s="279" t="s">
        <v>455</v>
      </c>
      <c r="C22" s="276" t="s">
        <v>1064</v>
      </c>
      <c r="D22" s="276"/>
      <c r="E22" s="276"/>
      <c r="F22" s="276"/>
      <c r="G22" s="276"/>
      <c r="H22" s="276"/>
      <c r="I22" s="276"/>
      <c r="J22" s="276"/>
      <c r="K22" s="276"/>
      <c r="L22" s="276"/>
      <c r="O22" s="276"/>
      <c r="P22" s="276"/>
      <c r="Q22" s="276"/>
    </row>
    <row r="23" spans="1:17" ht="15.75">
      <c r="A23" s="276"/>
      <c r="B23" s="279" t="s">
        <v>455</v>
      </c>
      <c r="C23" s="276" t="s">
        <v>562</v>
      </c>
      <c r="D23" s="276"/>
      <c r="E23" s="276"/>
      <c r="F23" s="276"/>
      <c r="G23" s="276"/>
      <c r="H23" s="276"/>
      <c r="I23" s="276"/>
      <c r="J23" s="276"/>
      <c r="K23" s="276"/>
      <c r="L23" s="276"/>
      <c r="O23" s="276"/>
      <c r="P23" s="276"/>
      <c r="Q23" s="276"/>
    </row>
    <row r="24" spans="1:17" ht="15.75">
      <c r="A24" s="276"/>
      <c r="B24" s="279" t="s">
        <v>455</v>
      </c>
      <c r="C24" s="276" t="s">
        <v>1141</v>
      </c>
      <c r="D24" s="276"/>
      <c r="E24" s="276"/>
      <c r="F24" s="276"/>
      <c r="G24" s="276"/>
      <c r="H24" s="276"/>
      <c r="I24" s="276"/>
      <c r="J24" s="276"/>
      <c r="K24" s="276"/>
      <c r="L24" s="276"/>
      <c r="O24" s="276"/>
      <c r="P24" s="276"/>
      <c r="Q24" s="276"/>
    </row>
    <row r="25" spans="1:17" ht="15.75">
      <c r="A25" s="276"/>
      <c r="B25" s="279" t="s">
        <v>455</v>
      </c>
      <c r="C25" s="276" t="s">
        <v>561</v>
      </c>
      <c r="D25" s="276"/>
      <c r="E25" s="276"/>
      <c r="F25" s="276"/>
      <c r="G25" s="276"/>
      <c r="H25" s="276"/>
      <c r="I25" s="276"/>
      <c r="J25" s="276"/>
      <c r="K25" s="276"/>
      <c r="L25" s="276"/>
      <c r="O25" s="276"/>
      <c r="P25" s="276"/>
      <c r="Q25" s="276"/>
    </row>
    <row r="26" spans="1:17" ht="15.75">
      <c r="A26" s="276"/>
      <c r="B26" s="279" t="s">
        <v>455</v>
      </c>
      <c r="C26" s="276" t="s">
        <v>560</v>
      </c>
      <c r="D26" s="276"/>
      <c r="E26" s="276"/>
      <c r="F26" s="276"/>
      <c r="G26" s="276"/>
      <c r="H26" s="276"/>
      <c r="I26" s="276"/>
      <c r="J26" s="276"/>
      <c r="K26" s="276"/>
      <c r="L26" s="276"/>
      <c r="O26" s="276"/>
      <c r="P26" s="276"/>
      <c r="Q26" s="276"/>
    </row>
    <row r="27" spans="1:17" ht="15.75">
      <c r="A27" s="276"/>
      <c r="B27" s="279" t="s">
        <v>455</v>
      </c>
      <c r="C27" s="276" t="s">
        <v>1062</v>
      </c>
      <c r="D27" s="276"/>
      <c r="E27" s="276"/>
      <c r="F27" s="276"/>
      <c r="G27" s="276"/>
      <c r="H27" s="276"/>
      <c r="I27" s="276"/>
      <c r="J27" s="276"/>
      <c r="K27" s="276"/>
      <c r="L27" s="276"/>
      <c r="O27" s="276"/>
      <c r="P27" s="276"/>
      <c r="Q27" s="276"/>
    </row>
    <row r="28" spans="1:17" ht="15.75">
      <c r="A28" s="276"/>
      <c r="B28" s="279" t="s">
        <v>455</v>
      </c>
      <c r="C28" s="276" t="s">
        <v>1065</v>
      </c>
      <c r="D28" s="276"/>
      <c r="E28" s="276"/>
      <c r="F28" s="276"/>
      <c r="G28" s="276"/>
      <c r="H28" s="276"/>
      <c r="I28" s="276"/>
      <c r="J28" s="276"/>
      <c r="K28" s="276"/>
      <c r="L28" s="276"/>
      <c r="O28" s="276"/>
      <c r="P28" s="276"/>
      <c r="Q28" s="276"/>
    </row>
    <row r="29" spans="1:17" ht="15.75">
      <c r="A29" s="276"/>
      <c r="B29" s="279" t="s">
        <v>455</v>
      </c>
      <c r="C29" s="276" t="s">
        <v>559</v>
      </c>
      <c r="D29" s="276"/>
      <c r="E29" s="276"/>
      <c r="F29" s="276"/>
      <c r="G29" s="276"/>
      <c r="H29" s="276"/>
      <c r="I29" s="276"/>
      <c r="J29" s="276"/>
      <c r="K29" s="276"/>
      <c r="L29" s="276"/>
      <c r="O29" s="276"/>
      <c r="P29" s="276"/>
      <c r="Q29" s="276"/>
    </row>
    <row r="30" spans="1:17" ht="15.75">
      <c r="A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O30" s="276"/>
      <c r="P30" s="276"/>
      <c r="Q30" s="276"/>
    </row>
    <row r="31" spans="1:17" ht="15.75">
      <c r="A31" s="276"/>
      <c r="N31" s="276"/>
      <c r="O31" s="276"/>
      <c r="P31" s="276"/>
      <c r="Q31" s="276"/>
    </row>
    <row r="32" spans="1:17" ht="15.75">
      <c r="A32" s="276"/>
      <c r="N32" s="276"/>
      <c r="O32" s="276"/>
      <c r="P32" s="276"/>
      <c r="Q32" s="276"/>
    </row>
    <row r="33" spans="1:17" ht="15.75">
      <c r="A33" s="276"/>
      <c r="B33" s="283"/>
      <c r="C33" s="283"/>
      <c r="D33" s="283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</row>
    <row r="34" spans="1:17" ht="15.75">
      <c r="A34" s="283"/>
      <c r="B34" s="283"/>
      <c r="C34" s="283"/>
      <c r="D34" s="283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</row>
    <row r="35" spans="1:17" ht="15.75"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</row>
    <row r="36" spans="1:17" ht="15.75"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34"/>
  <sheetViews>
    <sheetView rightToLeft="1" workbookViewId="0">
      <pane xSplit="3" ySplit="4" topLeftCell="D17" activePane="bottomRight" state="frozen"/>
      <selection activeCell="E28" sqref="E28"/>
      <selection pane="topRight" activeCell="E28" sqref="E28"/>
      <selection pane="bottomLeft" activeCell="E28" sqref="E28"/>
      <selection pane="bottomRight" activeCell="Y31" sqref="Y31"/>
    </sheetView>
  </sheetViews>
  <sheetFormatPr defaultColWidth="9.140625" defaultRowHeight="15"/>
  <cols>
    <col min="1" max="1" width="6.42578125" style="206" customWidth="1"/>
    <col min="2" max="2" width="12.140625" style="205" customWidth="1"/>
    <col min="3" max="3" width="31" style="205" customWidth="1"/>
    <col min="4" max="4" width="10.5703125" style="222" customWidth="1"/>
    <col min="5" max="5" width="10.5703125" style="222" hidden="1" customWidth="1"/>
    <col min="6" max="6" width="9.85546875" style="222" hidden="1" customWidth="1"/>
    <col min="7" max="10" width="12.7109375" style="222" hidden="1" customWidth="1"/>
    <col min="11" max="11" width="11.28515625" style="222" hidden="1" customWidth="1"/>
    <col min="12" max="12" width="9.85546875" style="222" customWidth="1"/>
    <col min="13" max="14" width="10.28515625" style="222" customWidth="1"/>
    <col min="15" max="15" width="10" style="222" customWidth="1"/>
    <col min="16" max="17" width="11.140625" style="222" hidden="1" customWidth="1"/>
    <col min="18" max="19" width="12" style="222" hidden="1" customWidth="1"/>
    <col min="20" max="20" width="8.7109375" style="222" hidden="1" customWidth="1"/>
    <col min="21" max="21" width="10.140625" style="205" customWidth="1"/>
    <col min="22" max="23" width="10.28515625" style="205" customWidth="1"/>
    <col min="24" max="24" width="6" style="205" customWidth="1"/>
    <col min="25" max="25" width="7.5703125" style="205" customWidth="1"/>
    <col min="26" max="26" width="7" style="205" customWidth="1"/>
    <col min="27" max="27" width="7.85546875" style="205" customWidth="1"/>
    <col min="28" max="28" width="4" style="205" customWidth="1"/>
    <col min="29" max="16384" width="9.140625" style="204"/>
  </cols>
  <sheetData>
    <row r="2" spans="1:34" ht="18.75">
      <c r="A2" s="541" t="s">
        <v>503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</row>
    <row r="4" spans="1:34" ht="75">
      <c r="A4" s="238" t="s">
        <v>0</v>
      </c>
      <c r="B4" s="238" t="s">
        <v>1</v>
      </c>
      <c r="C4" s="238" t="s">
        <v>2</v>
      </c>
      <c r="D4" s="238" t="s">
        <v>3</v>
      </c>
      <c r="E4" s="238" t="s">
        <v>4</v>
      </c>
      <c r="F4" s="238" t="s">
        <v>5</v>
      </c>
      <c r="G4" s="238" t="s">
        <v>6</v>
      </c>
      <c r="H4" s="238" t="s">
        <v>7</v>
      </c>
      <c r="I4" s="238" t="s">
        <v>9</v>
      </c>
      <c r="J4" s="238" t="s">
        <v>423</v>
      </c>
      <c r="K4" s="238" t="s">
        <v>10</v>
      </c>
      <c r="L4" s="238" t="s">
        <v>11</v>
      </c>
      <c r="M4" s="12" t="s">
        <v>414</v>
      </c>
      <c r="N4" s="238" t="s">
        <v>415</v>
      </c>
      <c r="O4" s="238" t="s">
        <v>416</v>
      </c>
      <c r="P4" s="238" t="s">
        <v>12</v>
      </c>
      <c r="Q4" s="238" t="s">
        <v>417</v>
      </c>
      <c r="R4" s="238" t="s">
        <v>418</v>
      </c>
      <c r="S4" s="238" t="s">
        <v>419</v>
      </c>
      <c r="T4" s="238" t="s">
        <v>420</v>
      </c>
      <c r="U4" s="238" t="s">
        <v>421</v>
      </c>
      <c r="V4" s="238" t="s">
        <v>13</v>
      </c>
      <c r="W4" s="238" t="s">
        <v>14</v>
      </c>
      <c r="X4" s="238" t="s">
        <v>15</v>
      </c>
      <c r="Y4" s="238" t="s">
        <v>914</v>
      </c>
      <c r="Z4" s="238" t="s">
        <v>184</v>
      </c>
      <c r="AA4" s="238" t="s">
        <v>16</v>
      </c>
      <c r="AB4" s="223"/>
    </row>
    <row r="5" spans="1:34">
      <c r="A5" s="228"/>
      <c r="B5" s="225"/>
      <c r="C5" s="225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5"/>
      <c r="W5" s="225"/>
      <c r="X5" s="225"/>
      <c r="Y5" s="225"/>
      <c r="Z5" s="225"/>
      <c r="AA5" s="225"/>
      <c r="AB5" s="227"/>
    </row>
    <row r="6" spans="1:34">
      <c r="A6" s="218">
        <f>A5+1</f>
        <v>1</v>
      </c>
      <c r="B6" s="218">
        <v>1497</v>
      </c>
      <c r="C6" s="218" t="s">
        <v>135</v>
      </c>
      <c r="D6" s="230">
        <f>' מחשוב  '!D7</f>
        <v>8820000</v>
      </c>
      <c r="E6" s="230">
        <f>' מחשוב  '!E7</f>
        <v>8820000</v>
      </c>
      <c r="F6" s="230">
        <f>' מחשוב  '!F7</f>
        <v>0</v>
      </c>
      <c r="G6" s="230">
        <f>' מחשוב  '!G7</f>
        <v>2748000</v>
      </c>
      <c r="H6" s="230">
        <f>' מחשוב  '!H7</f>
        <v>2353778.5299999998</v>
      </c>
      <c r="I6" s="230">
        <f>' מחשוב  '!I7</f>
        <v>0</v>
      </c>
      <c r="J6" s="230">
        <f>' מחשוב  '!J7</f>
        <v>98416</v>
      </c>
      <c r="K6" s="230">
        <f>' מחשוב  '!K7</f>
        <v>98416</v>
      </c>
      <c r="L6" s="230">
        <f>' מחשוב  '!L7</f>
        <v>2452194.5299999998</v>
      </c>
      <c r="M6" s="230">
        <f>' מחשוב  '!M7</f>
        <v>295805.4700000002</v>
      </c>
      <c r="N6" s="230">
        <f>' מחשוב  '!N7</f>
        <v>200000</v>
      </c>
      <c r="O6" s="230">
        <f>' מחשוב  '!O7</f>
        <v>5872000</v>
      </c>
      <c r="P6" s="230">
        <f>' מחשוב  '!P7</f>
        <v>295805.4700000002</v>
      </c>
      <c r="Q6" s="230">
        <f>' מחשוב  '!Q7</f>
        <v>0</v>
      </c>
      <c r="R6" s="230">
        <f>' מחשוב  '!R7</f>
        <v>0</v>
      </c>
      <c r="S6" s="230">
        <f>' מחשוב  '!S7</f>
        <v>0</v>
      </c>
      <c r="T6" s="230">
        <f>' מחשוב  '!T7</f>
        <v>0</v>
      </c>
      <c r="U6" s="230">
        <f>' מחשוב  '!U7</f>
        <v>200000</v>
      </c>
      <c r="V6" s="230">
        <f>' מחשוב  '!V7</f>
        <v>0</v>
      </c>
      <c r="W6" s="230">
        <f>' מחשוב  '!W7</f>
        <v>200000</v>
      </c>
      <c r="X6" s="230">
        <f>' מחשוב  '!X7</f>
        <v>0</v>
      </c>
      <c r="Y6" s="230">
        <f>' מחשוב  '!Y7</f>
        <v>0</v>
      </c>
      <c r="Z6" s="230">
        <f>' מחשוב  '!Z7</f>
        <v>0</v>
      </c>
      <c r="AA6" s="218">
        <f>' מחשוב  '!AA7</f>
        <v>610000</v>
      </c>
      <c r="AB6" s="231"/>
    </row>
    <row r="7" spans="1:34" s="149" customFormat="1">
      <c r="A7" s="81"/>
      <c r="B7" s="81">
        <v>1</v>
      </c>
      <c r="C7" s="81" t="s">
        <v>1056</v>
      </c>
      <c r="D7" s="198">
        <f>SUM(D6)</f>
        <v>8820000</v>
      </c>
      <c r="E7" s="198">
        <f t="shared" ref="E7:Z7" si="0">SUM(E6)</f>
        <v>8820000</v>
      </c>
      <c r="F7" s="198">
        <f t="shared" si="0"/>
        <v>0</v>
      </c>
      <c r="G7" s="198">
        <f t="shared" si="0"/>
        <v>2748000</v>
      </c>
      <c r="H7" s="198">
        <f t="shared" si="0"/>
        <v>2353778.5299999998</v>
      </c>
      <c r="I7" s="198">
        <f t="shared" si="0"/>
        <v>0</v>
      </c>
      <c r="J7" s="198">
        <f t="shared" si="0"/>
        <v>98416</v>
      </c>
      <c r="K7" s="198">
        <f t="shared" si="0"/>
        <v>98416</v>
      </c>
      <c r="L7" s="198">
        <f t="shared" si="0"/>
        <v>2452194.5299999998</v>
      </c>
      <c r="M7" s="198">
        <f t="shared" si="0"/>
        <v>295805.4700000002</v>
      </c>
      <c r="N7" s="198">
        <f t="shared" si="0"/>
        <v>200000</v>
      </c>
      <c r="O7" s="198">
        <f t="shared" si="0"/>
        <v>5872000</v>
      </c>
      <c r="P7" s="198">
        <f t="shared" si="0"/>
        <v>295805.4700000002</v>
      </c>
      <c r="Q7" s="198">
        <f t="shared" si="0"/>
        <v>0</v>
      </c>
      <c r="R7" s="198">
        <f t="shared" si="0"/>
        <v>0</v>
      </c>
      <c r="S7" s="198">
        <f t="shared" si="0"/>
        <v>0</v>
      </c>
      <c r="T7" s="198">
        <f t="shared" si="0"/>
        <v>0</v>
      </c>
      <c r="U7" s="198">
        <f t="shared" si="0"/>
        <v>200000</v>
      </c>
      <c r="V7" s="198">
        <f t="shared" si="0"/>
        <v>0</v>
      </c>
      <c r="W7" s="198">
        <f t="shared" si="0"/>
        <v>200000</v>
      </c>
      <c r="X7" s="198">
        <f t="shared" si="0"/>
        <v>0</v>
      </c>
      <c r="Y7" s="198">
        <f t="shared" si="0"/>
        <v>0</v>
      </c>
      <c r="Z7" s="198">
        <f t="shared" si="0"/>
        <v>0</v>
      </c>
      <c r="AA7" s="763"/>
      <c r="AB7" s="764"/>
      <c r="AC7" s="765"/>
      <c r="AD7" s="766"/>
      <c r="AE7" s="766"/>
      <c r="AF7" s="767"/>
      <c r="AG7" s="767"/>
      <c r="AH7" s="766"/>
    </row>
    <row r="8" spans="1:34">
      <c r="A8" s="218"/>
      <c r="B8" s="218"/>
      <c r="C8" s="218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18"/>
      <c r="AB8" s="231"/>
    </row>
    <row r="9" spans="1:34">
      <c r="A9" s="218">
        <f>A6+1</f>
        <v>2</v>
      </c>
      <c r="B9" s="13">
        <v>1893</v>
      </c>
      <c r="C9" s="13" t="s">
        <v>316</v>
      </c>
      <c r="D9" s="230">
        <f>' מחשוב  '!D12</f>
        <v>300000</v>
      </c>
      <c r="E9" s="230">
        <f>' מחשוב  '!E12</f>
        <v>300000</v>
      </c>
      <c r="F9" s="230">
        <f>' מחשוב  '!F12</f>
        <v>0</v>
      </c>
      <c r="G9" s="230">
        <f>' מחשוב  '!G12</f>
        <v>180000</v>
      </c>
      <c r="H9" s="230">
        <f>' מחשוב  '!H12</f>
        <v>41149</v>
      </c>
      <c r="I9" s="230">
        <f>' מחשוב  '!I12</f>
        <v>0</v>
      </c>
      <c r="J9" s="230">
        <f>' מחשוב  '!J12</f>
        <v>79847</v>
      </c>
      <c r="K9" s="230">
        <f>' מחשוב  '!K12</f>
        <v>79847</v>
      </c>
      <c r="L9" s="230">
        <f>' מחשוב  '!L12</f>
        <v>120996</v>
      </c>
      <c r="M9" s="230">
        <f>' מחשוב  '!M12</f>
        <v>59004</v>
      </c>
      <c r="N9" s="230">
        <f>' מחשוב  '!N12</f>
        <v>120000</v>
      </c>
      <c r="O9" s="230">
        <f>' מחשוב  '!O12</f>
        <v>0</v>
      </c>
      <c r="P9" s="230">
        <f>' מחשוב  '!P12</f>
        <v>59004</v>
      </c>
      <c r="Q9" s="230">
        <f>' מחשוב  '!Q12</f>
        <v>0</v>
      </c>
      <c r="R9" s="230">
        <f>' מחשוב  '!R12</f>
        <v>0</v>
      </c>
      <c r="S9" s="230">
        <f>' מחשוב  '!S12</f>
        <v>0</v>
      </c>
      <c r="T9" s="230">
        <f>' מחשוב  '!T12</f>
        <v>0</v>
      </c>
      <c r="U9" s="230">
        <f>' מחשוב  '!U12</f>
        <v>120000</v>
      </c>
      <c r="V9" s="230">
        <f>' מחשוב  '!V12</f>
        <v>0</v>
      </c>
      <c r="W9" s="230">
        <f>' מחשוב  '!W12</f>
        <v>120000</v>
      </c>
      <c r="X9" s="230">
        <f>' מחשוב  '!X12</f>
        <v>0</v>
      </c>
      <c r="Y9" s="230">
        <f>' מחשוב  '!Y12</f>
        <v>0</v>
      </c>
      <c r="Z9" s="230">
        <f>' מחשוב  '!Z12</f>
        <v>0</v>
      </c>
      <c r="AA9" s="218">
        <f>' מחשוב  '!AA12</f>
        <v>714000</v>
      </c>
      <c r="AB9" s="56"/>
    </row>
    <row r="10" spans="1:34" s="149" customFormat="1">
      <c r="A10" s="81"/>
      <c r="B10" s="81">
        <v>5</v>
      </c>
      <c r="C10" s="81" t="s">
        <v>1047</v>
      </c>
      <c r="D10" s="198">
        <f>SUM(D9)</f>
        <v>300000</v>
      </c>
      <c r="E10" s="198">
        <f t="shared" ref="E10:Z10" si="1">SUM(E9)</f>
        <v>300000</v>
      </c>
      <c r="F10" s="198">
        <f t="shared" si="1"/>
        <v>0</v>
      </c>
      <c r="G10" s="198">
        <f t="shared" si="1"/>
        <v>180000</v>
      </c>
      <c r="H10" s="198">
        <f t="shared" si="1"/>
        <v>41149</v>
      </c>
      <c r="I10" s="198">
        <f t="shared" si="1"/>
        <v>0</v>
      </c>
      <c r="J10" s="198">
        <f t="shared" si="1"/>
        <v>79847</v>
      </c>
      <c r="K10" s="198">
        <f t="shared" si="1"/>
        <v>79847</v>
      </c>
      <c r="L10" s="198">
        <f t="shared" si="1"/>
        <v>120996</v>
      </c>
      <c r="M10" s="198">
        <f t="shared" si="1"/>
        <v>59004</v>
      </c>
      <c r="N10" s="198">
        <f t="shared" si="1"/>
        <v>120000</v>
      </c>
      <c r="O10" s="198">
        <f t="shared" si="1"/>
        <v>0</v>
      </c>
      <c r="P10" s="198">
        <f t="shared" si="1"/>
        <v>59004</v>
      </c>
      <c r="Q10" s="198">
        <f t="shared" si="1"/>
        <v>0</v>
      </c>
      <c r="R10" s="198">
        <f t="shared" si="1"/>
        <v>0</v>
      </c>
      <c r="S10" s="198">
        <f t="shared" si="1"/>
        <v>0</v>
      </c>
      <c r="T10" s="198">
        <f t="shared" si="1"/>
        <v>0</v>
      </c>
      <c r="U10" s="198">
        <f t="shared" si="1"/>
        <v>120000</v>
      </c>
      <c r="V10" s="198">
        <f t="shared" si="1"/>
        <v>0</v>
      </c>
      <c r="W10" s="198">
        <f t="shared" si="1"/>
        <v>120000</v>
      </c>
      <c r="X10" s="198">
        <f t="shared" si="1"/>
        <v>0</v>
      </c>
      <c r="Y10" s="198">
        <f t="shared" si="1"/>
        <v>0</v>
      </c>
      <c r="Z10" s="198">
        <f t="shared" si="1"/>
        <v>0</v>
      </c>
      <c r="AA10" s="763"/>
      <c r="AB10" s="764"/>
      <c r="AC10" s="765"/>
      <c r="AD10" s="766"/>
      <c r="AE10" s="766"/>
      <c r="AF10" s="767"/>
      <c r="AG10" s="767"/>
      <c r="AH10" s="766"/>
    </row>
    <row r="11" spans="1:34">
      <c r="A11" s="218"/>
      <c r="B11" s="13"/>
      <c r="C11" s="13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18"/>
      <c r="AB11" s="56"/>
    </row>
    <row r="12" spans="1:34">
      <c r="A12" s="218">
        <f>A9+1</f>
        <v>3</v>
      </c>
      <c r="B12" s="218">
        <v>1507</v>
      </c>
      <c r="C12" s="218" t="s">
        <v>1021</v>
      </c>
      <c r="D12" s="230">
        <f>' מחשוב  '!D8</f>
        <v>1600000</v>
      </c>
      <c r="E12" s="230">
        <f>' מחשוב  '!E8</f>
        <v>1600000</v>
      </c>
      <c r="F12" s="230">
        <f>' מחשוב  '!F8</f>
        <v>0</v>
      </c>
      <c r="G12" s="230">
        <f>' מחשוב  '!G8</f>
        <v>1600000</v>
      </c>
      <c r="H12" s="230">
        <f>' מחשוב  '!H8</f>
        <v>1576614.95</v>
      </c>
      <c r="I12" s="230">
        <f>' מחשוב  '!I8</f>
        <v>0</v>
      </c>
      <c r="J12" s="230">
        <f>' מחשוב  '!J8</f>
        <v>18654.810000000001</v>
      </c>
      <c r="K12" s="230">
        <f>' מחשוב  '!K8</f>
        <v>18654.810000000001</v>
      </c>
      <c r="L12" s="230">
        <f>' מחשוב  '!L8</f>
        <v>1595269.76</v>
      </c>
      <c r="M12" s="230">
        <f>' מחשוב  '!M8</f>
        <v>4730.2399999999907</v>
      </c>
      <c r="N12" s="230">
        <f>' מחשוב  '!N8</f>
        <v>0</v>
      </c>
      <c r="O12" s="230">
        <f>' מחשוב  '!O8</f>
        <v>0</v>
      </c>
      <c r="P12" s="230">
        <f>' מחשוב  '!P8</f>
        <v>4730.2399999999907</v>
      </c>
      <c r="Q12" s="230">
        <f>' מחשוב  '!Q8</f>
        <v>0</v>
      </c>
      <c r="R12" s="230">
        <f>' מחשוב  '!R8</f>
        <v>0</v>
      </c>
      <c r="S12" s="230">
        <f>' מחשוב  '!S8</f>
        <v>0</v>
      </c>
      <c r="T12" s="230">
        <f>' מחשוב  '!T8</f>
        <v>0</v>
      </c>
      <c r="U12" s="230">
        <f>' מחשוב  '!U8</f>
        <v>0</v>
      </c>
      <c r="V12" s="230">
        <f>' מחשוב  '!V8</f>
        <v>0</v>
      </c>
      <c r="W12" s="230">
        <f>' מחשוב  '!W8</f>
        <v>0</v>
      </c>
      <c r="X12" s="230">
        <f>' מחשוב  '!X8</f>
        <v>0</v>
      </c>
      <c r="Y12" s="230">
        <f>' מחשוב  '!Y8</f>
        <v>0</v>
      </c>
      <c r="Z12" s="230">
        <f>' מחשוב  '!Z8</f>
        <v>0</v>
      </c>
      <c r="AA12" s="218">
        <f>' מחשוב  '!AA8</f>
        <v>722000</v>
      </c>
      <c r="AB12" s="231"/>
    </row>
    <row r="13" spans="1:34" ht="30">
      <c r="A13" s="218">
        <f>A12+1</f>
        <v>4</v>
      </c>
      <c r="B13" s="218">
        <v>1982</v>
      </c>
      <c r="C13" s="218" t="s">
        <v>1026</v>
      </c>
      <c r="D13" s="230">
        <f>' מחשוב  '!D13</f>
        <v>22500000</v>
      </c>
      <c r="E13" s="230">
        <f>' מחשוב  '!E13</f>
        <v>1500000</v>
      </c>
      <c r="F13" s="230">
        <f>' מחשוב  '!F13</f>
        <v>21000000</v>
      </c>
      <c r="G13" s="230">
        <f>' מחשוב  '!G13</f>
        <v>100000</v>
      </c>
      <c r="H13" s="230">
        <f>' מחשוב  '!H13</f>
        <v>0</v>
      </c>
      <c r="I13" s="230">
        <f>' מחשוב  '!I13</f>
        <v>0</v>
      </c>
      <c r="J13" s="230">
        <f>' מחשוב  '!J13</f>
        <v>7300</v>
      </c>
      <c r="K13" s="230">
        <f>' מחשוב  '!K13</f>
        <v>7300</v>
      </c>
      <c r="L13" s="230">
        <f>' מחשוב  '!L13</f>
        <v>7300</v>
      </c>
      <c r="M13" s="230">
        <f>' מחשוב  '!M13</f>
        <v>92700</v>
      </c>
      <c r="N13" s="230">
        <f>' מחשוב  '!N13</f>
        <v>6950000</v>
      </c>
      <c r="O13" s="230">
        <f>' מחשוב  '!O13</f>
        <v>15450000</v>
      </c>
      <c r="P13" s="230">
        <f>' מחשוב  '!P13</f>
        <v>92700</v>
      </c>
      <c r="Q13" s="230">
        <f>' מחשוב  '!Q13</f>
        <v>0</v>
      </c>
      <c r="R13" s="230">
        <f>' מחשוב  '!R13</f>
        <v>0</v>
      </c>
      <c r="S13" s="230">
        <f>' מחשוב  '!S13</f>
        <v>0</v>
      </c>
      <c r="T13" s="230">
        <f>' מחשוב  '!T13</f>
        <v>0</v>
      </c>
      <c r="U13" s="230">
        <f>' מחשוב  '!U13</f>
        <v>6950000</v>
      </c>
      <c r="V13" s="230">
        <f>' מחשוב  '!V13</f>
        <v>4950000</v>
      </c>
      <c r="W13" s="230">
        <f>' מחשוב  '!W13</f>
        <v>2000000</v>
      </c>
      <c r="X13" s="230">
        <f>' מחשוב  '!X13</f>
        <v>0</v>
      </c>
      <c r="Y13" s="230">
        <f>' מחשוב  '!Y13</f>
        <v>0</v>
      </c>
      <c r="Z13" s="230">
        <f>' מחשוב  '!Z13</f>
        <v>0</v>
      </c>
      <c r="AA13" s="218">
        <f>' מחשוב  '!AA13</f>
        <v>722000</v>
      </c>
      <c r="AB13" s="231"/>
    </row>
    <row r="14" spans="1:34" s="149" customFormat="1">
      <c r="A14" s="81"/>
      <c r="B14" s="81">
        <v>5</v>
      </c>
      <c r="C14" s="81" t="s">
        <v>1042</v>
      </c>
      <c r="D14" s="198">
        <f>SUM(D12:D13)</f>
        <v>24100000</v>
      </c>
      <c r="E14" s="198">
        <f t="shared" ref="E14:Z14" si="2">SUM(E12:E13)</f>
        <v>3100000</v>
      </c>
      <c r="F14" s="198">
        <f t="shared" si="2"/>
        <v>21000000</v>
      </c>
      <c r="G14" s="198">
        <f t="shared" si="2"/>
        <v>1700000</v>
      </c>
      <c r="H14" s="198">
        <f t="shared" si="2"/>
        <v>1576614.95</v>
      </c>
      <c r="I14" s="198">
        <f t="shared" si="2"/>
        <v>0</v>
      </c>
      <c r="J14" s="198">
        <f t="shared" si="2"/>
        <v>25954.81</v>
      </c>
      <c r="K14" s="198">
        <f t="shared" si="2"/>
        <v>25954.81</v>
      </c>
      <c r="L14" s="198">
        <f t="shared" si="2"/>
        <v>1602569.76</v>
      </c>
      <c r="M14" s="198">
        <f t="shared" si="2"/>
        <v>97430.239999999991</v>
      </c>
      <c r="N14" s="198">
        <f t="shared" si="2"/>
        <v>6950000</v>
      </c>
      <c r="O14" s="198">
        <f t="shared" si="2"/>
        <v>15450000</v>
      </c>
      <c r="P14" s="198">
        <f t="shared" si="2"/>
        <v>97430.239999999991</v>
      </c>
      <c r="Q14" s="198">
        <f t="shared" si="2"/>
        <v>0</v>
      </c>
      <c r="R14" s="198">
        <f t="shared" si="2"/>
        <v>0</v>
      </c>
      <c r="S14" s="198">
        <f t="shared" si="2"/>
        <v>0</v>
      </c>
      <c r="T14" s="198">
        <f t="shared" si="2"/>
        <v>0</v>
      </c>
      <c r="U14" s="198">
        <f t="shared" si="2"/>
        <v>6950000</v>
      </c>
      <c r="V14" s="198">
        <f t="shared" si="2"/>
        <v>4950000</v>
      </c>
      <c r="W14" s="198">
        <f t="shared" si="2"/>
        <v>2000000</v>
      </c>
      <c r="X14" s="198">
        <f t="shared" si="2"/>
        <v>0</v>
      </c>
      <c r="Y14" s="198">
        <f t="shared" si="2"/>
        <v>0</v>
      </c>
      <c r="Z14" s="198">
        <f t="shared" si="2"/>
        <v>0</v>
      </c>
      <c r="AA14" s="763"/>
      <c r="AB14" s="764"/>
      <c r="AC14" s="765"/>
      <c r="AD14" s="766"/>
      <c r="AE14" s="766"/>
      <c r="AF14" s="767"/>
      <c r="AG14" s="767"/>
      <c r="AH14" s="766"/>
    </row>
    <row r="15" spans="1:34">
      <c r="A15" s="218"/>
      <c r="B15" s="218"/>
      <c r="C15" s="218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18"/>
      <c r="AB15" s="231"/>
    </row>
    <row r="16" spans="1:34" s="15" customFormat="1">
      <c r="A16" s="218">
        <f>A13+1</f>
        <v>5</v>
      </c>
      <c r="B16" s="229">
        <v>1002</v>
      </c>
      <c r="C16" s="218" t="s">
        <v>330</v>
      </c>
      <c r="D16" s="230">
        <f>' מחשוב  '!D6</f>
        <v>2290000</v>
      </c>
      <c r="E16" s="230">
        <f>' מחשוב  '!E6</f>
        <v>2080000</v>
      </c>
      <c r="F16" s="230">
        <f>' מחשוב  '!F6</f>
        <v>210000</v>
      </c>
      <c r="G16" s="230">
        <f>' מחשוב  '!G6</f>
        <v>2040000</v>
      </c>
      <c r="H16" s="230">
        <f>' מחשוב  '!H6</f>
        <v>1926852.26</v>
      </c>
      <c r="I16" s="230">
        <f>' מחשוב  '!I6</f>
        <v>0</v>
      </c>
      <c r="J16" s="230">
        <f>' מחשוב  '!J6</f>
        <v>112690.15</v>
      </c>
      <c r="K16" s="230">
        <f>' מחשוב  '!K6</f>
        <v>112690.15</v>
      </c>
      <c r="L16" s="230">
        <f>' מחשוב  '!L6</f>
        <v>2039542.41</v>
      </c>
      <c r="M16" s="230">
        <f>' מחשוב  '!M6</f>
        <v>457.59000000008382</v>
      </c>
      <c r="N16" s="230">
        <f>' מחשוב  '!N6</f>
        <v>100000</v>
      </c>
      <c r="O16" s="230">
        <f>' מחשוב  '!O6</f>
        <v>150000</v>
      </c>
      <c r="P16" s="230">
        <f>' מחשוב  '!P6</f>
        <v>457.59000000008382</v>
      </c>
      <c r="Q16" s="230">
        <f>' מחשוב  '!Q6</f>
        <v>0</v>
      </c>
      <c r="R16" s="230">
        <f>' מחשוב  '!R6</f>
        <v>0</v>
      </c>
      <c r="S16" s="230">
        <f>' מחשוב  '!S6</f>
        <v>0</v>
      </c>
      <c r="T16" s="230">
        <f>' מחשוב  '!T6</f>
        <v>0</v>
      </c>
      <c r="U16" s="230">
        <f>' מחשוב  '!U6</f>
        <v>100000</v>
      </c>
      <c r="V16" s="230">
        <f>' מחשוב  '!V6</f>
        <v>0</v>
      </c>
      <c r="W16" s="230">
        <f>' מחשוב  '!W6</f>
        <v>100000</v>
      </c>
      <c r="X16" s="230">
        <f>' מחשוב  '!X6</f>
        <v>0</v>
      </c>
      <c r="Y16" s="230">
        <f>' מחשוב  '!Y6</f>
        <v>0</v>
      </c>
      <c r="Z16" s="230">
        <f>' מחשוב  '!Z6</f>
        <v>0</v>
      </c>
      <c r="AA16" s="218">
        <f>' מחשוב  '!AA6</f>
        <v>760000</v>
      </c>
      <c r="AB16" s="231"/>
    </row>
    <row r="17" spans="1:34" ht="30">
      <c r="A17" s="218">
        <f>A16+1</f>
        <v>6</v>
      </c>
      <c r="B17" s="218">
        <v>1871</v>
      </c>
      <c r="C17" s="218" t="s">
        <v>505</v>
      </c>
      <c r="D17" s="230">
        <f>' מחשוב  '!D11</f>
        <v>3200000</v>
      </c>
      <c r="E17" s="230">
        <f>' מחשוב  '!E11</f>
        <v>11000000</v>
      </c>
      <c r="F17" s="230">
        <f>' מחשוב  '!F11</f>
        <v>-7800000</v>
      </c>
      <c r="G17" s="230">
        <f>' מחשוב  '!G11</f>
        <v>0</v>
      </c>
      <c r="H17" s="230">
        <f>' מחשוב  '!H11</f>
        <v>0</v>
      </c>
      <c r="I17" s="230">
        <f>' מחשוב  '!I11</f>
        <v>0</v>
      </c>
      <c r="J17" s="230">
        <f>' מחשוב  '!J11</f>
        <v>0</v>
      </c>
      <c r="K17" s="230">
        <f>' מחשוב  '!K11</f>
        <v>0</v>
      </c>
      <c r="L17" s="230">
        <f>' מחשוב  '!L11</f>
        <v>0</v>
      </c>
      <c r="M17" s="230">
        <f>' מחשוב  '!M11</f>
        <v>0</v>
      </c>
      <c r="N17" s="230">
        <f>' מחשוב  '!N11</f>
        <v>1990000</v>
      </c>
      <c r="O17" s="230">
        <f>' מחשוב  '!O11</f>
        <v>1210000</v>
      </c>
      <c r="P17" s="230">
        <f>' מחשוב  '!P11</f>
        <v>0</v>
      </c>
      <c r="Q17" s="230">
        <f>' מחשוב  '!Q11</f>
        <v>0</v>
      </c>
      <c r="R17" s="230">
        <f>' מחשוב  '!R11</f>
        <v>0</v>
      </c>
      <c r="S17" s="230">
        <f>' מחשוב  '!S11</f>
        <v>0</v>
      </c>
      <c r="T17" s="230">
        <f>' מחשוב  '!T11</f>
        <v>0</v>
      </c>
      <c r="U17" s="230">
        <f>' מחשוב  '!U11</f>
        <v>1990000</v>
      </c>
      <c r="V17" s="230">
        <f>' מחשוב  '!V11</f>
        <v>1990000</v>
      </c>
      <c r="W17" s="230">
        <f>' מחשוב  '!W11</f>
        <v>0</v>
      </c>
      <c r="X17" s="230">
        <f>' מחשוב  '!X11</f>
        <v>0</v>
      </c>
      <c r="Y17" s="230">
        <f>' מחשוב  '!Y11</f>
        <v>0</v>
      </c>
      <c r="Z17" s="230">
        <f>' מחשוב  '!Z11</f>
        <v>0</v>
      </c>
      <c r="AA17" s="218">
        <f>' מחשוב  '!AA11</f>
        <v>760000</v>
      </c>
      <c r="AB17" s="231"/>
    </row>
    <row r="18" spans="1:34" s="149" customFormat="1">
      <c r="A18" s="81"/>
      <c r="B18" s="81">
        <v>5</v>
      </c>
      <c r="C18" s="81" t="s">
        <v>1039</v>
      </c>
      <c r="D18" s="198">
        <f>SUM(D16:D17)</f>
        <v>5490000</v>
      </c>
      <c r="E18" s="198">
        <f t="shared" ref="E18:Z18" si="3">SUM(E16:E17)</f>
        <v>13080000</v>
      </c>
      <c r="F18" s="198">
        <f t="shared" si="3"/>
        <v>-7590000</v>
      </c>
      <c r="G18" s="198">
        <f t="shared" si="3"/>
        <v>2040000</v>
      </c>
      <c r="H18" s="198">
        <f t="shared" si="3"/>
        <v>1926852.26</v>
      </c>
      <c r="I18" s="198">
        <f t="shared" si="3"/>
        <v>0</v>
      </c>
      <c r="J18" s="198">
        <f t="shared" si="3"/>
        <v>112690.15</v>
      </c>
      <c r="K18" s="198">
        <f t="shared" si="3"/>
        <v>112690.15</v>
      </c>
      <c r="L18" s="198">
        <f t="shared" si="3"/>
        <v>2039542.41</v>
      </c>
      <c r="M18" s="198">
        <f t="shared" si="3"/>
        <v>457.59000000008382</v>
      </c>
      <c r="N18" s="198">
        <f t="shared" si="3"/>
        <v>2090000</v>
      </c>
      <c r="O18" s="198">
        <f t="shared" si="3"/>
        <v>1360000</v>
      </c>
      <c r="P18" s="198">
        <f t="shared" si="3"/>
        <v>457.59000000008382</v>
      </c>
      <c r="Q18" s="198">
        <f t="shared" si="3"/>
        <v>0</v>
      </c>
      <c r="R18" s="198">
        <f t="shared" si="3"/>
        <v>0</v>
      </c>
      <c r="S18" s="198">
        <f t="shared" si="3"/>
        <v>0</v>
      </c>
      <c r="T18" s="198">
        <f t="shared" si="3"/>
        <v>0</v>
      </c>
      <c r="U18" s="198">
        <f t="shared" si="3"/>
        <v>2090000</v>
      </c>
      <c r="V18" s="198">
        <f t="shared" si="3"/>
        <v>1990000</v>
      </c>
      <c r="W18" s="198">
        <f t="shared" si="3"/>
        <v>100000</v>
      </c>
      <c r="X18" s="198">
        <f t="shared" si="3"/>
        <v>0</v>
      </c>
      <c r="Y18" s="198">
        <f t="shared" si="3"/>
        <v>0</v>
      </c>
      <c r="Z18" s="198">
        <f t="shared" si="3"/>
        <v>0</v>
      </c>
      <c r="AA18" s="763"/>
      <c r="AB18" s="764"/>
      <c r="AC18" s="765"/>
      <c r="AD18" s="766"/>
      <c r="AE18" s="766"/>
      <c r="AF18" s="767"/>
      <c r="AG18" s="767"/>
      <c r="AH18" s="766"/>
    </row>
    <row r="19" spans="1:34">
      <c r="A19" s="218"/>
      <c r="B19" s="218"/>
      <c r="C19" s="218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18"/>
      <c r="AB19" s="231"/>
    </row>
    <row r="20" spans="1:34">
      <c r="A20" s="218">
        <f>A17+1</f>
        <v>7</v>
      </c>
      <c r="B20" s="218">
        <v>1647</v>
      </c>
      <c r="C20" s="218" t="s">
        <v>504</v>
      </c>
      <c r="D20" s="230">
        <f>' מחשוב  '!D9</f>
        <v>4700000</v>
      </c>
      <c r="E20" s="230">
        <f>' מחשוב  '!E9</f>
        <v>4700000</v>
      </c>
      <c r="F20" s="230">
        <f>' מחשוב  '!F9</f>
        <v>0</v>
      </c>
      <c r="G20" s="230">
        <f>' מחשוב  '!G9</f>
        <v>3950000</v>
      </c>
      <c r="H20" s="230">
        <f>' מחשוב  '!H9</f>
        <v>2465790.1800000002</v>
      </c>
      <c r="I20" s="230">
        <f>' מחשוב  '!I9</f>
        <v>0</v>
      </c>
      <c r="J20" s="230">
        <f>' מחשוב  '!J9</f>
        <v>1034689.37</v>
      </c>
      <c r="K20" s="230">
        <f>' מחשוב  '!K9</f>
        <v>1034689.37</v>
      </c>
      <c r="L20" s="230">
        <f>' מחשוב  '!L9</f>
        <v>3500479.5500000003</v>
      </c>
      <c r="M20" s="230">
        <f>' מחשוב  '!M9</f>
        <v>449520.44999999972</v>
      </c>
      <c r="N20" s="230">
        <f>' מחשוב  '!N9</f>
        <v>500000</v>
      </c>
      <c r="O20" s="230">
        <f>' מחשוב  '!O9</f>
        <v>250000</v>
      </c>
      <c r="P20" s="230">
        <f>' מחשוב  '!P9</f>
        <v>449520.44999999972</v>
      </c>
      <c r="Q20" s="230">
        <f>' מחשוב  '!Q9</f>
        <v>0</v>
      </c>
      <c r="R20" s="230">
        <f>' מחשוב  '!R9</f>
        <v>0</v>
      </c>
      <c r="S20" s="230">
        <f>' מחשוב  '!S9</f>
        <v>0</v>
      </c>
      <c r="T20" s="230">
        <f>' מחשוב  '!T9</f>
        <v>0</v>
      </c>
      <c r="U20" s="230">
        <f>' מחשוב  '!U9</f>
        <v>500000</v>
      </c>
      <c r="V20" s="230">
        <f>' מחשוב  '!V9</f>
        <v>100000</v>
      </c>
      <c r="W20" s="230">
        <f>' מחשוב  '!W9</f>
        <v>400000</v>
      </c>
      <c r="X20" s="230">
        <f>' מחשוב  '!X9</f>
        <v>0</v>
      </c>
      <c r="Y20" s="230">
        <f>' מחשוב  '!Y9</f>
        <v>0</v>
      </c>
      <c r="Z20" s="230">
        <f>' מחשוב  '!Z9</f>
        <v>0</v>
      </c>
      <c r="AA20" s="218">
        <f>' מחשוב  '!AA9</f>
        <v>810000</v>
      </c>
      <c r="AB20" s="231"/>
    </row>
    <row r="21" spans="1:34">
      <c r="A21" s="218">
        <f>A20+1</f>
        <v>8</v>
      </c>
      <c r="B21" s="218">
        <v>1790</v>
      </c>
      <c r="C21" s="218" t="s">
        <v>1022</v>
      </c>
      <c r="D21" s="230">
        <f>' מחשוב  '!D10</f>
        <v>415000</v>
      </c>
      <c r="E21" s="230">
        <f>' מחשוב  '!E10</f>
        <v>415000</v>
      </c>
      <c r="F21" s="230">
        <f>' מחשוב  '!F10</f>
        <v>0</v>
      </c>
      <c r="G21" s="230">
        <f>' מחשוב  '!G10</f>
        <v>415000</v>
      </c>
      <c r="H21" s="230">
        <f>' מחשוב  '!H10</f>
        <v>313300.67</v>
      </c>
      <c r="I21" s="230">
        <f>' מחשוב  '!I10</f>
        <v>0</v>
      </c>
      <c r="J21" s="230">
        <f>' מחשוב  '!J10</f>
        <v>67407.210000000006</v>
      </c>
      <c r="K21" s="230">
        <f>' מחשוב  '!K10</f>
        <v>67407.210000000006</v>
      </c>
      <c r="L21" s="230">
        <f>' מחשוב  '!L10</f>
        <v>380707.88</v>
      </c>
      <c r="M21" s="230">
        <f>' מחשוב  '!M10</f>
        <v>34292.119999999995</v>
      </c>
      <c r="N21" s="230">
        <f>' מחשוב  '!N10</f>
        <v>0</v>
      </c>
      <c r="O21" s="230">
        <f>' מחשוב  '!O10</f>
        <v>0</v>
      </c>
      <c r="P21" s="230">
        <f>' מחשוב  '!P10</f>
        <v>34292.119999999995</v>
      </c>
      <c r="Q21" s="230">
        <f>' מחשוב  '!Q10</f>
        <v>0</v>
      </c>
      <c r="R21" s="230">
        <f>' מחשוב  '!R10</f>
        <v>0</v>
      </c>
      <c r="S21" s="230">
        <f>' מחשוב  '!S10</f>
        <v>0</v>
      </c>
      <c r="T21" s="230">
        <f>' מחשוב  '!T10</f>
        <v>0</v>
      </c>
      <c r="U21" s="230">
        <f>' מחשוב  '!U10</f>
        <v>0</v>
      </c>
      <c r="V21" s="230">
        <f>' מחשוב  '!V10</f>
        <v>0</v>
      </c>
      <c r="W21" s="230">
        <f>' מחשוב  '!W10</f>
        <v>0</v>
      </c>
      <c r="X21" s="230">
        <f>' מחשוב  '!X10</f>
        <v>0</v>
      </c>
      <c r="Y21" s="230">
        <f>' מחשוב  '!Y10</f>
        <v>0</v>
      </c>
      <c r="Z21" s="230">
        <f>' מחשוב  '!Z10</f>
        <v>0</v>
      </c>
      <c r="AA21" s="218">
        <f>' מחשוב  '!AA10</f>
        <v>810000</v>
      </c>
      <c r="AB21" s="231"/>
    </row>
    <row r="22" spans="1:34" s="149" customFormat="1">
      <c r="A22" s="81"/>
      <c r="B22" s="81">
        <v>6</v>
      </c>
      <c r="C22" s="81" t="s">
        <v>1040</v>
      </c>
      <c r="D22" s="198">
        <f>SUM(D20:D21)</f>
        <v>5115000</v>
      </c>
      <c r="E22" s="198">
        <f t="shared" ref="E22:Z22" si="4">SUM(E20:E21)</f>
        <v>5115000</v>
      </c>
      <c r="F22" s="198">
        <f t="shared" si="4"/>
        <v>0</v>
      </c>
      <c r="G22" s="198">
        <f t="shared" si="4"/>
        <v>4365000</v>
      </c>
      <c r="H22" s="198">
        <f t="shared" si="4"/>
        <v>2779090.85</v>
      </c>
      <c r="I22" s="198">
        <f t="shared" si="4"/>
        <v>0</v>
      </c>
      <c r="J22" s="198">
        <f t="shared" si="4"/>
        <v>1102096.58</v>
      </c>
      <c r="K22" s="198">
        <f t="shared" si="4"/>
        <v>1102096.58</v>
      </c>
      <c r="L22" s="198">
        <f t="shared" si="4"/>
        <v>3881187.43</v>
      </c>
      <c r="M22" s="198">
        <f t="shared" si="4"/>
        <v>483812.56999999972</v>
      </c>
      <c r="N22" s="198">
        <f t="shared" si="4"/>
        <v>500000</v>
      </c>
      <c r="O22" s="198">
        <f t="shared" si="4"/>
        <v>250000</v>
      </c>
      <c r="P22" s="198">
        <f t="shared" si="4"/>
        <v>483812.56999999972</v>
      </c>
      <c r="Q22" s="198">
        <f t="shared" si="4"/>
        <v>0</v>
      </c>
      <c r="R22" s="198">
        <f t="shared" si="4"/>
        <v>0</v>
      </c>
      <c r="S22" s="198">
        <f t="shared" si="4"/>
        <v>0</v>
      </c>
      <c r="T22" s="198">
        <f t="shared" si="4"/>
        <v>0</v>
      </c>
      <c r="U22" s="198">
        <f t="shared" si="4"/>
        <v>500000</v>
      </c>
      <c r="V22" s="198">
        <f t="shared" si="4"/>
        <v>100000</v>
      </c>
      <c r="W22" s="198">
        <f t="shared" si="4"/>
        <v>400000</v>
      </c>
      <c r="X22" s="198">
        <f t="shared" si="4"/>
        <v>0</v>
      </c>
      <c r="Y22" s="198">
        <f t="shared" si="4"/>
        <v>0</v>
      </c>
      <c r="Z22" s="198">
        <f t="shared" si="4"/>
        <v>0</v>
      </c>
      <c r="AA22" s="763"/>
      <c r="AB22" s="764"/>
      <c r="AC22" s="765"/>
      <c r="AD22" s="766"/>
      <c r="AE22" s="766"/>
      <c r="AF22" s="767"/>
      <c r="AG22" s="767"/>
      <c r="AH22" s="766"/>
    </row>
    <row r="23" spans="1:34">
      <c r="A23" s="218"/>
      <c r="B23" s="218"/>
      <c r="C23" s="218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18"/>
      <c r="AB23" s="231"/>
    </row>
    <row r="24" spans="1:34" s="693" customFormat="1" ht="15.75">
      <c r="A24" s="234">
        <f>A21</f>
        <v>8</v>
      </c>
      <c r="B24" s="234"/>
      <c r="C24" s="234" t="s">
        <v>970</v>
      </c>
      <c r="D24" s="235">
        <f>D22+D18+D14+D10+D7</f>
        <v>43825000</v>
      </c>
      <c r="E24" s="235">
        <f t="shared" ref="E24:Z24" si="5">E22+E18+E14+E10+E7</f>
        <v>30415000</v>
      </c>
      <c r="F24" s="235">
        <f t="shared" si="5"/>
        <v>13410000</v>
      </c>
      <c r="G24" s="235">
        <f t="shared" si="5"/>
        <v>11033000</v>
      </c>
      <c r="H24" s="235">
        <f t="shared" si="5"/>
        <v>8677485.5899999999</v>
      </c>
      <c r="I24" s="235">
        <f t="shared" si="5"/>
        <v>0</v>
      </c>
      <c r="J24" s="235">
        <f t="shared" si="5"/>
        <v>1419004.54</v>
      </c>
      <c r="K24" s="235">
        <f t="shared" si="5"/>
        <v>1419004.54</v>
      </c>
      <c r="L24" s="235">
        <f t="shared" si="5"/>
        <v>10096490.129999999</v>
      </c>
      <c r="M24" s="235">
        <f t="shared" si="5"/>
        <v>936509.87</v>
      </c>
      <c r="N24" s="235">
        <f t="shared" si="5"/>
        <v>9860000</v>
      </c>
      <c r="O24" s="235">
        <f t="shared" si="5"/>
        <v>22932000</v>
      </c>
      <c r="P24" s="235">
        <f t="shared" si="5"/>
        <v>936509.87</v>
      </c>
      <c r="Q24" s="235">
        <f t="shared" si="5"/>
        <v>0</v>
      </c>
      <c r="R24" s="235">
        <f t="shared" si="5"/>
        <v>0</v>
      </c>
      <c r="S24" s="235">
        <f t="shared" si="5"/>
        <v>0</v>
      </c>
      <c r="T24" s="235">
        <f t="shared" si="5"/>
        <v>0</v>
      </c>
      <c r="U24" s="235">
        <f t="shared" si="5"/>
        <v>9860000</v>
      </c>
      <c r="V24" s="235">
        <f t="shared" si="5"/>
        <v>7040000</v>
      </c>
      <c r="W24" s="235">
        <f t="shared" si="5"/>
        <v>2820000</v>
      </c>
      <c r="X24" s="235">
        <f t="shared" si="5"/>
        <v>0</v>
      </c>
      <c r="Y24" s="235">
        <f t="shared" si="5"/>
        <v>0</v>
      </c>
      <c r="Z24" s="235">
        <f t="shared" si="5"/>
        <v>0</v>
      </c>
      <c r="AA24" s="234"/>
      <c r="AB24" s="236">
        <f>SUM(AB6:AB21)</f>
        <v>0</v>
      </c>
    </row>
    <row r="25" spans="1:34">
      <c r="A25" s="218"/>
      <c r="B25" s="218"/>
      <c r="C25" s="233"/>
      <c r="D25" s="230"/>
      <c r="E25" s="230"/>
      <c r="F25" s="230"/>
      <c r="G25" s="230"/>
      <c r="H25" s="230"/>
      <c r="I25" s="230"/>
      <c r="J25" s="230"/>
      <c r="K25" s="230">
        <f>SUM(I25:J25)</f>
        <v>0</v>
      </c>
      <c r="L25" s="230">
        <f>H25+K25</f>
        <v>0</v>
      </c>
      <c r="M25" s="230">
        <f>P25+S25</f>
        <v>0</v>
      </c>
      <c r="N25" s="230"/>
      <c r="O25" s="230">
        <f>D25-L25-M25-N25</f>
        <v>0</v>
      </c>
      <c r="P25" s="230">
        <f>G25-L25</f>
        <v>0</v>
      </c>
      <c r="Q25" s="230"/>
      <c r="R25" s="230"/>
      <c r="S25" s="230">
        <f>SUM(Q25:R25)</f>
        <v>0</v>
      </c>
      <c r="T25" s="230"/>
      <c r="U25" s="230"/>
      <c r="V25" s="230"/>
      <c r="W25" s="230">
        <f>U25-V25</f>
        <v>0</v>
      </c>
      <c r="X25" s="230"/>
      <c r="Y25" s="230"/>
      <c r="Z25" s="218"/>
      <c r="AA25" s="218"/>
      <c r="AB25" s="231"/>
    </row>
    <row r="30" spans="1:34">
      <c r="O30" s="623"/>
    </row>
    <row r="32" spans="1:34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</row>
    <row r="33" spans="1:28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</row>
    <row r="34" spans="1:28" ht="14.25">
      <c r="A34" s="204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</row>
  </sheetData>
  <sortState ref="A16:AB17">
    <sortCondition ref="B16:B17"/>
  </sortState>
  <conditionalFormatting sqref="A33:W1048576 Q31:W32 A31:O32 A1:Z4 AB1:XFD4 X25:XFD1048576 A25:W30 AB6:XFD9 AB11:XFD13 A11:Z13 A15:Z17 AB15:XFD17 AB19:XFD21 A19:Z21 A6:Z9 A23:Z23 AB23:XFD23 A24:XFD24">
    <cfRule type="cellIs" dxfId="22" priority="11" operator="equal">
      <formula>0</formula>
    </cfRule>
  </conditionalFormatting>
  <conditionalFormatting sqref="AA1:AA4">
    <cfRule type="cellIs" dxfId="21" priority="10" operator="equal">
      <formula>0</formula>
    </cfRule>
  </conditionalFormatting>
  <conditionalFormatting sqref="AA6:AA9 AA11:AA13 AA15:AA17 AA19:AA21 AA23">
    <cfRule type="cellIs" dxfId="20" priority="9" operator="equal">
      <formula>0</formula>
    </cfRule>
  </conditionalFormatting>
  <conditionalFormatting sqref="AB10:XFD10 A10:Z10">
    <cfRule type="cellIs" dxfId="19" priority="8" operator="equal">
      <formula>0</formula>
    </cfRule>
  </conditionalFormatting>
  <conditionalFormatting sqref="AA10">
    <cfRule type="cellIs" dxfId="18" priority="7" operator="equal">
      <formula>0</formula>
    </cfRule>
  </conditionalFormatting>
  <conditionalFormatting sqref="AB14:XFD14 A14:Z14">
    <cfRule type="cellIs" dxfId="17" priority="6" operator="equal">
      <formula>0</formula>
    </cfRule>
  </conditionalFormatting>
  <conditionalFormatting sqref="AA14">
    <cfRule type="cellIs" dxfId="16" priority="5" operator="equal">
      <formula>0</formula>
    </cfRule>
  </conditionalFormatting>
  <conditionalFormatting sqref="AB18:XFD18 A18:Z18">
    <cfRule type="cellIs" dxfId="15" priority="4" operator="equal">
      <formula>0</formula>
    </cfRule>
  </conditionalFormatting>
  <conditionalFormatting sqref="AA18">
    <cfRule type="cellIs" dxfId="14" priority="3" operator="equal">
      <formula>0</formula>
    </cfRule>
  </conditionalFormatting>
  <conditionalFormatting sqref="AB22:XFD22 A22:Z22">
    <cfRule type="cellIs" dxfId="13" priority="2" operator="equal">
      <formula>0</formula>
    </cfRule>
  </conditionalFormatting>
  <conditionalFormatting sqref="AA22">
    <cfRule type="cellIs" dxfId="12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13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4" spans="1:17" ht="20.25">
      <c r="A4" s="708"/>
      <c r="C4" s="710" t="s">
        <v>225</v>
      </c>
      <c r="D4" s="708"/>
      <c r="E4" s="708"/>
      <c r="F4" s="708"/>
      <c r="G4" s="708"/>
      <c r="H4" s="708"/>
      <c r="I4" s="708"/>
      <c r="J4" s="708"/>
      <c r="K4" s="708"/>
      <c r="L4" s="708"/>
    </row>
    <row r="5" spans="1:17" ht="21" thickBot="1">
      <c r="A5" s="708"/>
      <c r="C5" s="710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B6" s="711" t="s">
        <v>455</v>
      </c>
      <c r="C6" s="708" t="s">
        <v>1020</v>
      </c>
      <c r="D6" s="708"/>
      <c r="E6" s="708"/>
      <c r="F6" s="712">
        <f>'נכסים '!U23</f>
        <v>3070000</v>
      </c>
      <c r="I6" s="708"/>
      <c r="J6" s="708"/>
      <c r="K6" s="708"/>
      <c r="L6" s="708"/>
    </row>
    <row r="7" spans="1:17" ht="15.75">
      <c r="B7" s="711"/>
      <c r="C7" s="708"/>
      <c r="D7" s="708"/>
      <c r="E7" s="708"/>
      <c r="F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 t="s">
        <v>455</v>
      </c>
      <c r="C8" s="708" t="s">
        <v>1017</v>
      </c>
      <c r="D8" s="708"/>
      <c r="E8" s="708"/>
      <c r="F8" s="708"/>
      <c r="G8" s="708"/>
      <c r="H8" s="708"/>
      <c r="I8" s="708"/>
      <c r="J8" s="708"/>
      <c r="K8" s="708"/>
      <c r="L8" s="708"/>
    </row>
    <row r="9" spans="1:17" ht="15.75">
      <c r="B9" s="711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 t="s">
        <v>455</v>
      </c>
      <c r="C10" s="708" t="s">
        <v>1018</v>
      </c>
      <c r="D10" s="708"/>
      <c r="F10" s="708"/>
      <c r="H10" s="717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C11" s="708" t="s">
        <v>1019</v>
      </c>
      <c r="D11" s="708"/>
      <c r="E11" s="708"/>
      <c r="F11" s="708"/>
      <c r="H11" s="708"/>
      <c r="I11" s="708"/>
      <c r="J11" s="708"/>
      <c r="K11" s="708"/>
      <c r="L11" s="708"/>
    </row>
    <row r="12" spans="1:17" ht="15.75">
      <c r="B12" s="711"/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5.75">
      <c r="B13" s="711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4"/>
  <sheetViews>
    <sheetView showZeros="0" rightToLeft="1" zoomScaleNormal="100" workbookViewId="0">
      <pane xSplit="3" ySplit="4" topLeftCell="D8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6.85546875" style="239" customWidth="1"/>
    <col min="4" max="4" width="12.7109375" style="251" customWidth="1"/>
    <col min="5" max="5" width="11.42578125" style="251" customWidth="1"/>
    <col min="6" max="6" width="9.85546875" style="251" customWidth="1"/>
    <col min="7" max="10" width="12.7109375" style="251" hidden="1" customWidth="1"/>
    <col min="11" max="11" width="11.28515625" style="251" hidden="1" customWidth="1"/>
    <col min="12" max="12" width="11" style="251" customWidth="1"/>
    <col min="13" max="14" width="11.140625" style="251" bestFit="1" customWidth="1"/>
    <col min="15" max="15" width="11.140625" style="251" customWidth="1"/>
    <col min="16" max="17" width="11.140625" style="251" hidden="1" customWidth="1"/>
    <col min="18" max="19" width="12" style="251" hidden="1" customWidth="1"/>
    <col min="20" max="20" width="10.28515625" style="251" hidden="1" customWidth="1"/>
    <col min="21" max="21" width="11.85546875" style="239" customWidth="1"/>
    <col min="22" max="22" width="13.7109375" style="239" customWidth="1"/>
    <col min="23" max="23" width="11.85546875" style="239" hidden="1" customWidth="1"/>
    <col min="24" max="25" width="10.140625" style="239" hidden="1" customWidth="1"/>
    <col min="26" max="26" width="9.7109375" style="239" hidden="1" customWidth="1"/>
    <col min="27" max="27" width="7.85546875" style="239" hidden="1" customWidth="1"/>
    <col min="28" max="16384" width="9.140625" style="239"/>
  </cols>
  <sheetData>
    <row r="2" spans="1:27" ht="18.75">
      <c r="A2" s="643" t="s">
        <v>225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</row>
    <row r="4" spans="1:27" s="240" customFormat="1" ht="86.25" customHeight="1">
      <c r="A4" s="18" t="s">
        <v>0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 t="s">
        <v>6</v>
      </c>
      <c r="H4" s="18" t="s">
        <v>7</v>
      </c>
      <c r="I4" s="18" t="s">
        <v>9</v>
      </c>
      <c r="J4" s="18" t="s">
        <v>423</v>
      </c>
      <c r="K4" s="18" t="s">
        <v>10</v>
      </c>
      <c r="L4" s="18" t="s">
        <v>11</v>
      </c>
      <c r="M4" s="12" t="s">
        <v>414</v>
      </c>
      <c r="N4" s="18" t="s">
        <v>415</v>
      </c>
      <c r="O4" s="18" t="s">
        <v>416</v>
      </c>
      <c r="P4" s="18" t="s">
        <v>12</v>
      </c>
      <c r="Q4" s="18" t="s">
        <v>417</v>
      </c>
      <c r="R4" s="18" t="s">
        <v>418</v>
      </c>
      <c r="S4" s="18" t="s">
        <v>419</v>
      </c>
      <c r="T4" s="18" t="s">
        <v>420</v>
      </c>
      <c r="U4" s="18" t="s">
        <v>421</v>
      </c>
      <c r="V4" s="18" t="s">
        <v>13</v>
      </c>
      <c r="W4" s="18" t="s">
        <v>14</v>
      </c>
      <c r="X4" s="18" t="s">
        <v>15</v>
      </c>
      <c r="Y4" s="18" t="s">
        <v>914</v>
      </c>
      <c r="Z4" s="18" t="s">
        <v>184</v>
      </c>
      <c r="AA4" s="18" t="s">
        <v>16</v>
      </c>
    </row>
    <row r="5" spans="1:27" s="244" customFormat="1">
      <c r="A5" s="241"/>
      <c r="B5" s="241"/>
      <c r="C5" s="241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>
        <f t="shared" ref="O5:O22" si="0">D5-L5-M5-N5</f>
        <v>0</v>
      </c>
      <c r="P5" s="242"/>
      <c r="Q5" s="242"/>
      <c r="R5" s="242"/>
      <c r="S5" s="242"/>
      <c r="T5" s="242">
        <f>P5-M5+R5</f>
        <v>0</v>
      </c>
      <c r="U5" s="242">
        <f t="shared" ref="U5:U22" si="1">N5-T5</f>
        <v>0</v>
      </c>
      <c r="V5" s="242"/>
      <c r="W5" s="242"/>
      <c r="X5" s="242"/>
      <c r="Y5" s="242"/>
      <c r="Z5" s="241"/>
      <c r="AA5" s="241"/>
    </row>
    <row r="6" spans="1:27" s="244" customFormat="1">
      <c r="A6" s="241">
        <f>1+A5</f>
        <v>1</v>
      </c>
      <c r="B6" s="241">
        <v>470</v>
      </c>
      <c r="C6" s="241" t="s">
        <v>142</v>
      </c>
      <c r="D6" s="242">
        <f>1680000+150000</f>
        <v>1830000</v>
      </c>
      <c r="E6" s="242">
        <v>1680000</v>
      </c>
      <c r="F6" s="242">
        <f t="shared" ref="F6:F20" si="2">D6-E6</f>
        <v>150000</v>
      </c>
      <c r="G6" s="242">
        <v>1580000</v>
      </c>
      <c r="H6" s="242">
        <v>1548809.43</v>
      </c>
      <c r="I6" s="242"/>
      <c r="J6" s="242">
        <v>19012.5</v>
      </c>
      <c r="K6" s="242">
        <f>SUM(I6:J6)</f>
        <v>19012.5</v>
      </c>
      <c r="L6" s="242">
        <f t="shared" ref="L6:L22" si="3">H6+K6</f>
        <v>1567821.93</v>
      </c>
      <c r="M6" s="242">
        <f t="shared" ref="M6:M22" si="4">P6+S6</f>
        <v>12178.070000000065</v>
      </c>
      <c r="N6" s="242">
        <v>250000</v>
      </c>
      <c r="O6" s="242">
        <f t="shared" si="0"/>
        <v>0</v>
      </c>
      <c r="P6" s="242">
        <f t="shared" ref="P6:P22" si="5">G6-L6</f>
        <v>12178.070000000065</v>
      </c>
      <c r="Q6" s="242"/>
      <c r="R6" s="242"/>
      <c r="S6" s="242">
        <f>SUM(Q6:R6)</f>
        <v>0</v>
      </c>
      <c r="T6" s="242">
        <f t="shared" ref="T6:T22" si="6">P6-M6+S6</f>
        <v>0</v>
      </c>
      <c r="U6" s="242">
        <f t="shared" si="1"/>
        <v>250000</v>
      </c>
      <c r="V6" s="242">
        <f t="shared" ref="V6:V22" si="7">U6-W6-Y6-Z6</f>
        <v>250000</v>
      </c>
      <c r="W6" s="242"/>
      <c r="X6" s="242"/>
      <c r="Y6" s="242"/>
      <c r="Z6" s="241"/>
      <c r="AA6" s="241">
        <v>935000</v>
      </c>
    </row>
    <row r="7" spans="1:27" s="244" customFormat="1">
      <c r="A7" s="241">
        <f t="shared" ref="A7:A22" si="8">1+A6</f>
        <v>2</v>
      </c>
      <c r="B7" s="241">
        <v>649</v>
      </c>
      <c r="C7" s="241" t="s">
        <v>143</v>
      </c>
      <c r="D7" s="242">
        <v>70000</v>
      </c>
      <c r="E7" s="242">
        <v>70000</v>
      </c>
      <c r="F7" s="242">
        <f t="shared" si="2"/>
        <v>0</v>
      </c>
      <c r="G7" s="242">
        <v>70000</v>
      </c>
      <c r="H7" s="242">
        <v>43111.48</v>
      </c>
      <c r="I7" s="242"/>
      <c r="J7" s="242"/>
      <c r="K7" s="242">
        <f t="shared" ref="K7:K22" si="9">SUM(I7:J7)</f>
        <v>0</v>
      </c>
      <c r="L7" s="242">
        <f t="shared" si="3"/>
        <v>43111.48</v>
      </c>
      <c r="M7" s="242">
        <f t="shared" si="4"/>
        <v>26888.519999999997</v>
      </c>
      <c r="N7" s="242"/>
      <c r="O7" s="242">
        <f t="shared" si="0"/>
        <v>0</v>
      </c>
      <c r="P7" s="242">
        <f t="shared" si="5"/>
        <v>26888.519999999997</v>
      </c>
      <c r="Q7" s="242"/>
      <c r="R7" s="242"/>
      <c r="S7" s="242">
        <f t="shared" ref="S7:S22" si="10">SUM(Q7:R7)</f>
        <v>0</v>
      </c>
      <c r="T7" s="242">
        <f t="shared" si="6"/>
        <v>0</v>
      </c>
      <c r="U7" s="242">
        <f t="shared" si="1"/>
        <v>0</v>
      </c>
      <c r="V7" s="242">
        <f t="shared" si="7"/>
        <v>0</v>
      </c>
      <c r="W7" s="242"/>
      <c r="X7" s="242"/>
      <c r="Y7" s="242"/>
      <c r="Z7" s="241"/>
      <c r="AA7" s="241">
        <v>930000</v>
      </c>
    </row>
    <row r="8" spans="1:27" s="244" customFormat="1">
      <c r="A8" s="241">
        <f t="shared" si="8"/>
        <v>3</v>
      </c>
      <c r="B8" s="241">
        <v>1066</v>
      </c>
      <c r="C8" s="241" t="s">
        <v>144</v>
      </c>
      <c r="D8" s="242">
        <v>75000</v>
      </c>
      <c r="E8" s="242">
        <v>75000</v>
      </c>
      <c r="F8" s="242">
        <f t="shared" si="2"/>
        <v>0</v>
      </c>
      <c r="G8" s="242">
        <v>75000</v>
      </c>
      <c r="H8" s="242">
        <v>40172</v>
      </c>
      <c r="I8" s="242"/>
      <c r="J8" s="242"/>
      <c r="K8" s="242">
        <f t="shared" si="9"/>
        <v>0</v>
      </c>
      <c r="L8" s="242">
        <f t="shared" si="3"/>
        <v>40172</v>
      </c>
      <c r="M8" s="242">
        <f t="shared" si="4"/>
        <v>34828</v>
      </c>
      <c r="N8" s="242"/>
      <c r="O8" s="242">
        <f t="shared" si="0"/>
        <v>0</v>
      </c>
      <c r="P8" s="242">
        <f t="shared" si="5"/>
        <v>34828</v>
      </c>
      <c r="Q8" s="242"/>
      <c r="R8" s="242"/>
      <c r="S8" s="242">
        <f t="shared" si="10"/>
        <v>0</v>
      </c>
      <c r="T8" s="242">
        <f t="shared" si="6"/>
        <v>0</v>
      </c>
      <c r="U8" s="242">
        <f t="shared" si="1"/>
        <v>0</v>
      </c>
      <c r="V8" s="242">
        <f t="shared" si="7"/>
        <v>0</v>
      </c>
      <c r="W8" s="242"/>
      <c r="X8" s="242"/>
      <c r="Y8" s="242"/>
      <c r="Z8" s="241"/>
      <c r="AA8" s="241">
        <v>935000</v>
      </c>
    </row>
    <row r="9" spans="1:27" s="244" customFormat="1">
      <c r="A9" s="241">
        <f t="shared" si="8"/>
        <v>4</v>
      </c>
      <c r="B9" s="241">
        <v>1177</v>
      </c>
      <c r="C9" s="241" t="s">
        <v>145</v>
      </c>
      <c r="D9" s="242">
        <v>41850000</v>
      </c>
      <c r="E9" s="242">
        <v>41850000</v>
      </c>
      <c r="F9" s="242">
        <f t="shared" si="2"/>
        <v>0</v>
      </c>
      <c r="G9" s="242">
        <v>28957000</v>
      </c>
      <c r="H9" s="242">
        <v>26727455.199999999</v>
      </c>
      <c r="I9" s="242"/>
      <c r="J9" s="242"/>
      <c r="K9" s="242">
        <f t="shared" si="9"/>
        <v>0</v>
      </c>
      <c r="L9" s="242">
        <f t="shared" si="3"/>
        <v>26727455.199999999</v>
      </c>
      <c r="M9" s="242">
        <f t="shared" si="4"/>
        <v>2229544.8000000007</v>
      </c>
      <c r="N9" s="242">
        <v>2000000</v>
      </c>
      <c r="O9" s="242">
        <f t="shared" si="0"/>
        <v>10893000</v>
      </c>
      <c r="P9" s="242">
        <f t="shared" si="5"/>
        <v>2229544.8000000007</v>
      </c>
      <c r="Q9" s="242"/>
      <c r="R9" s="242"/>
      <c r="S9" s="242">
        <f t="shared" si="10"/>
        <v>0</v>
      </c>
      <c r="T9" s="242">
        <f t="shared" si="6"/>
        <v>0</v>
      </c>
      <c r="U9" s="242">
        <f t="shared" si="1"/>
        <v>2000000</v>
      </c>
      <c r="V9" s="242">
        <f t="shared" si="7"/>
        <v>2000000</v>
      </c>
      <c r="W9" s="242"/>
      <c r="X9" s="242"/>
      <c r="Y9" s="242"/>
      <c r="Z9" s="241"/>
      <c r="AA9" s="241">
        <v>930000</v>
      </c>
    </row>
    <row r="10" spans="1:27" s="244" customFormat="1">
      <c r="A10" s="241">
        <f t="shared" si="8"/>
        <v>5</v>
      </c>
      <c r="B10" s="241">
        <v>1258</v>
      </c>
      <c r="C10" s="241" t="s">
        <v>146</v>
      </c>
      <c r="D10" s="242">
        <v>1400000</v>
      </c>
      <c r="E10" s="242">
        <v>1400000</v>
      </c>
      <c r="F10" s="242">
        <f t="shared" si="2"/>
        <v>0</v>
      </c>
      <c r="G10" s="242">
        <v>900000</v>
      </c>
      <c r="H10" s="242">
        <v>840489.96</v>
      </c>
      <c r="I10" s="242"/>
      <c r="J10" s="242"/>
      <c r="K10" s="242">
        <f t="shared" si="9"/>
        <v>0</v>
      </c>
      <c r="L10" s="242">
        <f t="shared" si="3"/>
        <v>840489.96</v>
      </c>
      <c r="M10" s="242">
        <f t="shared" si="4"/>
        <v>59510.040000000037</v>
      </c>
      <c r="N10" s="242">
        <v>50000</v>
      </c>
      <c r="O10" s="242">
        <f t="shared" si="0"/>
        <v>450000</v>
      </c>
      <c r="P10" s="242">
        <f t="shared" si="5"/>
        <v>59510.040000000037</v>
      </c>
      <c r="Q10" s="242"/>
      <c r="R10" s="242"/>
      <c r="S10" s="242">
        <f t="shared" si="10"/>
        <v>0</v>
      </c>
      <c r="T10" s="242">
        <f t="shared" si="6"/>
        <v>0</v>
      </c>
      <c r="U10" s="242">
        <f t="shared" si="1"/>
        <v>50000</v>
      </c>
      <c r="V10" s="242">
        <f t="shared" si="7"/>
        <v>50000</v>
      </c>
      <c r="W10" s="242"/>
      <c r="X10" s="242"/>
      <c r="Y10" s="242"/>
      <c r="Z10" s="241"/>
      <c r="AA10" s="241">
        <v>930000</v>
      </c>
    </row>
    <row r="11" spans="1:27" s="244" customFormat="1">
      <c r="A11" s="241">
        <f t="shared" si="8"/>
        <v>6</v>
      </c>
      <c r="B11" s="241">
        <v>1330</v>
      </c>
      <c r="C11" s="241" t="s">
        <v>147</v>
      </c>
      <c r="D11" s="242">
        <v>60700000</v>
      </c>
      <c r="E11" s="242">
        <v>60700000</v>
      </c>
      <c r="F11" s="242">
        <f t="shared" si="2"/>
        <v>0</v>
      </c>
      <c r="G11" s="242">
        <v>17249825</v>
      </c>
      <c r="H11" s="242">
        <v>6153348.6299999999</v>
      </c>
      <c r="I11" s="242"/>
      <c r="J11" s="242">
        <v>6107</v>
      </c>
      <c r="K11" s="242">
        <f t="shared" si="9"/>
        <v>6107</v>
      </c>
      <c r="L11" s="242">
        <f t="shared" si="3"/>
        <v>6159455.6299999999</v>
      </c>
      <c r="M11" s="242">
        <f t="shared" si="4"/>
        <v>11090369.370000001</v>
      </c>
      <c r="N11" s="242"/>
      <c r="O11" s="242">
        <f t="shared" si="0"/>
        <v>43450175</v>
      </c>
      <c r="P11" s="242">
        <f t="shared" si="5"/>
        <v>11090369.370000001</v>
      </c>
      <c r="Q11" s="242"/>
      <c r="R11" s="242"/>
      <c r="S11" s="242">
        <f t="shared" si="10"/>
        <v>0</v>
      </c>
      <c r="T11" s="242">
        <f t="shared" si="6"/>
        <v>0</v>
      </c>
      <c r="U11" s="242">
        <f t="shared" si="1"/>
        <v>0</v>
      </c>
      <c r="V11" s="242">
        <f t="shared" si="7"/>
        <v>0</v>
      </c>
      <c r="W11" s="242"/>
      <c r="X11" s="242"/>
      <c r="Y11" s="242"/>
      <c r="Z11" s="241"/>
      <c r="AA11" s="241">
        <v>930000</v>
      </c>
    </row>
    <row r="12" spans="1:27" s="244" customFormat="1">
      <c r="A12" s="241">
        <f t="shared" si="8"/>
        <v>7</v>
      </c>
      <c r="B12" s="241">
        <v>1369</v>
      </c>
      <c r="C12" s="241" t="s">
        <v>148</v>
      </c>
      <c r="D12" s="242">
        <v>1100700</v>
      </c>
      <c r="E12" s="242">
        <v>1100700</v>
      </c>
      <c r="F12" s="242">
        <f t="shared" si="2"/>
        <v>0</v>
      </c>
      <c r="G12" s="242">
        <v>570700</v>
      </c>
      <c r="H12" s="242">
        <v>552097</v>
      </c>
      <c r="I12" s="242"/>
      <c r="J12" s="242"/>
      <c r="K12" s="242">
        <f t="shared" si="9"/>
        <v>0</v>
      </c>
      <c r="L12" s="242">
        <f t="shared" si="3"/>
        <v>552097</v>
      </c>
      <c r="M12" s="242">
        <f t="shared" si="4"/>
        <v>18603</v>
      </c>
      <c r="N12" s="242">
        <v>100000</v>
      </c>
      <c r="O12" s="242">
        <f t="shared" si="0"/>
        <v>430000</v>
      </c>
      <c r="P12" s="242">
        <f t="shared" si="5"/>
        <v>18603</v>
      </c>
      <c r="Q12" s="242"/>
      <c r="R12" s="242"/>
      <c r="S12" s="242">
        <f t="shared" si="10"/>
        <v>0</v>
      </c>
      <c r="T12" s="242">
        <f t="shared" si="6"/>
        <v>0</v>
      </c>
      <c r="U12" s="242">
        <f t="shared" si="1"/>
        <v>100000</v>
      </c>
      <c r="V12" s="242">
        <f t="shared" si="7"/>
        <v>100000</v>
      </c>
      <c r="W12" s="242"/>
      <c r="X12" s="242"/>
      <c r="Y12" s="242"/>
      <c r="Z12" s="241"/>
      <c r="AA12" s="241">
        <v>930000</v>
      </c>
    </row>
    <row r="13" spans="1:27" s="244" customFormat="1">
      <c r="A13" s="241">
        <f t="shared" si="8"/>
        <v>8</v>
      </c>
      <c r="B13" s="241">
        <v>1704</v>
      </c>
      <c r="C13" s="241" t="s">
        <v>149</v>
      </c>
      <c r="D13" s="242">
        <v>5784000</v>
      </c>
      <c r="E13" s="242">
        <v>5784000</v>
      </c>
      <c r="F13" s="242">
        <f t="shared" si="2"/>
        <v>0</v>
      </c>
      <c r="G13" s="242">
        <f>5000+25000</f>
        <v>30000</v>
      </c>
      <c r="H13" s="242">
        <v>28396.73</v>
      </c>
      <c r="I13" s="242"/>
      <c r="J13" s="242"/>
      <c r="K13" s="242">
        <f t="shared" si="9"/>
        <v>0</v>
      </c>
      <c r="L13" s="242">
        <f t="shared" si="3"/>
        <v>28396.73</v>
      </c>
      <c r="M13" s="242">
        <f t="shared" si="4"/>
        <v>1603.2700000000004</v>
      </c>
      <c r="N13" s="242">
        <v>50000</v>
      </c>
      <c r="O13" s="242">
        <f t="shared" si="0"/>
        <v>5704000</v>
      </c>
      <c r="P13" s="242">
        <f t="shared" si="5"/>
        <v>1603.2700000000004</v>
      </c>
      <c r="Q13" s="242"/>
      <c r="R13" s="242"/>
      <c r="S13" s="242">
        <f t="shared" si="10"/>
        <v>0</v>
      </c>
      <c r="T13" s="242">
        <f t="shared" si="6"/>
        <v>0</v>
      </c>
      <c r="U13" s="242">
        <f t="shared" si="1"/>
        <v>50000</v>
      </c>
      <c r="V13" s="242">
        <f t="shared" si="7"/>
        <v>50000</v>
      </c>
      <c r="W13" s="242"/>
      <c r="X13" s="242"/>
      <c r="Y13" s="242"/>
      <c r="Z13" s="241"/>
      <c r="AA13" s="241">
        <v>930000</v>
      </c>
    </row>
    <row r="14" spans="1:27" s="244" customFormat="1">
      <c r="A14" s="241">
        <f t="shared" si="8"/>
        <v>9</v>
      </c>
      <c r="B14" s="241">
        <v>1791</v>
      </c>
      <c r="C14" s="241" t="s">
        <v>150</v>
      </c>
      <c r="D14" s="242">
        <v>570000</v>
      </c>
      <c r="E14" s="242">
        <v>570000</v>
      </c>
      <c r="F14" s="242">
        <f t="shared" si="2"/>
        <v>0</v>
      </c>
      <c r="G14" s="242">
        <v>500000</v>
      </c>
      <c r="H14" s="242">
        <v>404150</v>
      </c>
      <c r="I14" s="242"/>
      <c r="J14" s="242"/>
      <c r="K14" s="242">
        <f t="shared" si="9"/>
        <v>0</v>
      </c>
      <c r="L14" s="242">
        <f t="shared" si="3"/>
        <v>404150</v>
      </c>
      <c r="M14" s="242">
        <f t="shared" si="4"/>
        <v>95850</v>
      </c>
      <c r="N14" s="242"/>
      <c r="O14" s="242">
        <f t="shared" si="0"/>
        <v>70000</v>
      </c>
      <c r="P14" s="242">
        <f t="shared" si="5"/>
        <v>95850</v>
      </c>
      <c r="Q14" s="242"/>
      <c r="R14" s="242"/>
      <c r="S14" s="242">
        <f t="shared" si="10"/>
        <v>0</v>
      </c>
      <c r="T14" s="242">
        <f t="shared" si="6"/>
        <v>0</v>
      </c>
      <c r="U14" s="242">
        <f t="shared" si="1"/>
        <v>0</v>
      </c>
      <c r="V14" s="242">
        <f t="shared" si="7"/>
        <v>0</v>
      </c>
      <c r="W14" s="242"/>
      <c r="X14" s="242"/>
      <c r="Y14" s="242"/>
      <c r="Z14" s="241"/>
      <c r="AA14" s="241">
        <v>930000</v>
      </c>
    </row>
    <row r="15" spans="1:27" s="244" customFormat="1">
      <c r="A15" s="241">
        <f t="shared" si="8"/>
        <v>10</v>
      </c>
      <c r="B15" s="241">
        <v>1801</v>
      </c>
      <c r="C15" s="241" t="s">
        <v>245</v>
      </c>
      <c r="D15" s="242">
        <v>36000000</v>
      </c>
      <c r="E15" s="242">
        <v>36000000</v>
      </c>
      <c r="F15" s="242">
        <f t="shared" si="2"/>
        <v>0</v>
      </c>
      <c r="G15" s="242">
        <v>36000000</v>
      </c>
      <c r="H15" s="242">
        <v>30316082.890000001</v>
      </c>
      <c r="I15" s="242"/>
      <c r="J15" s="242"/>
      <c r="K15" s="242">
        <f t="shared" si="9"/>
        <v>0</v>
      </c>
      <c r="L15" s="242">
        <f t="shared" si="3"/>
        <v>30316082.890000001</v>
      </c>
      <c r="M15" s="242">
        <f t="shared" si="4"/>
        <v>5683917.1099999994</v>
      </c>
      <c r="N15" s="242"/>
      <c r="O15" s="242">
        <f t="shared" si="0"/>
        <v>0</v>
      </c>
      <c r="P15" s="242">
        <f t="shared" si="5"/>
        <v>5683917.1099999994</v>
      </c>
      <c r="Q15" s="242"/>
      <c r="R15" s="242"/>
      <c r="S15" s="242">
        <f t="shared" si="10"/>
        <v>0</v>
      </c>
      <c r="T15" s="242">
        <f t="shared" si="6"/>
        <v>0</v>
      </c>
      <c r="U15" s="242">
        <f t="shared" si="1"/>
        <v>0</v>
      </c>
      <c r="V15" s="242">
        <f t="shared" si="7"/>
        <v>0</v>
      </c>
      <c r="W15" s="242"/>
      <c r="X15" s="242"/>
      <c r="Y15" s="242"/>
      <c r="Z15" s="241"/>
      <c r="AA15" s="241">
        <v>930000</v>
      </c>
    </row>
    <row r="16" spans="1:27" s="244" customFormat="1">
      <c r="A16" s="241">
        <f t="shared" si="8"/>
        <v>11</v>
      </c>
      <c r="B16" s="241">
        <v>1816</v>
      </c>
      <c r="C16" s="241" t="s">
        <v>246</v>
      </c>
      <c r="D16" s="242">
        <v>565000</v>
      </c>
      <c r="E16" s="242">
        <v>565000</v>
      </c>
      <c r="F16" s="242">
        <f t="shared" si="2"/>
        <v>0</v>
      </c>
      <c r="G16" s="242">
        <v>565000</v>
      </c>
      <c r="H16" s="242">
        <v>400000</v>
      </c>
      <c r="I16" s="242"/>
      <c r="J16" s="242"/>
      <c r="K16" s="242">
        <f t="shared" si="9"/>
        <v>0</v>
      </c>
      <c r="L16" s="242">
        <f t="shared" si="3"/>
        <v>400000</v>
      </c>
      <c r="M16" s="242">
        <f t="shared" si="4"/>
        <v>165000</v>
      </c>
      <c r="N16" s="242"/>
      <c r="O16" s="242">
        <f t="shared" si="0"/>
        <v>0</v>
      </c>
      <c r="P16" s="242">
        <f t="shared" si="5"/>
        <v>165000</v>
      </c>
      <c r="Q16" s="242"/>
      <c r="R16" s="242"/>
      <c r="S16" s="242">
        <f t="shared" si="10"/>
        <v>0</v>
      </c>
      <c r="T16" s="242">
        <f t="shared" si="6"/>
        <v>0</v>
      </c>
      <c r="U16" s="242">
        <f t="shared" si="1"/>
        <v>0</v>
      </c>
      <c r="V16" s="242">
        <f t="shared" si="7"/>
        <v>0</v>
      </c>
      <c r="W16" s="242"/>
      <c r="X16" s="242"/>
      <c r="Y16" s="242"/>
      <c r="Z16" s="241"/>
      <c r="AA16" s="241">
        <v>930000</v>
      </c>
    </row>
    <row r="17" spans="1:27" s="244" customFormat="1">
      <c r="A17" s="241">
        <f t="shared" si="8"/>
        <v>12</v>
      </c>
      <c r="B17" s="241">
        <v>1983</v>
      </c>
      <c r="C17" s="241" t="s">
        <v>375</v>
      </c>
      <c r="D17" s="242">
        <v>800000</v>
      </c>
      <c r="E17" s="242">
        <v>800000</v>
      </c>
      <c r="F17" s="242">
        <f t="shared" si="2"/>
        <v>0</v>
      </c>
      <c r="G17" s="242">
        <v>0</v>
      </c>
      <c r="H17" s="242">
        <v>0</v>
      </c>
      <c r="I17" s="242"/>
      <c r="J17" s="242"/>
      <c r="K17" s="242">
        <f t="shared" si="9"/>
        <v>0</v>
      </c>
      <c r="L17" s="242">
        <f t="shared" si="3"/>
        <v>0</v>
      </c>
      <c r="M17" s="242">
        <f t="shared" si="4"/>
        <v>0</v>
      </c>
      <c r="N17" s="242">
        <v>100000</v>
      </c>
      <c r="O17" s="242">
        <f t="shared" si="0"/>
        <v>700000</v>
      </c>
      <c r="P17" s="242">
        <f t="shared" si="5"/>
        <v>0</v>
      </c>
      <c r="Q17" s="242"/>
      <c r="R17" s="242"/>
      <c r="S17" s="242">
        <f t="shared" si="10"/>
        <v>0</v>
      </c>
      <c r="T17" s="242">
        <f t="shared" si="6"/>
        <v>0</v>
      </c>
      <c r="U17" s="242">
        <f t="shared" si="1"/>
        <v>100000</v>
      </c>
      <c r="V17" s="242">
        <f t="shared" si="7"/>
        <v>100000</v>
      </c>
      <c r="W17" s="242"/>
      <c r="X17" s="242"/>
      <c r="Y17" s="242"/>
      <c r="Z17" s="241"/>
      <c r="AA17" s="241">
        <v>930000</v>
      </c>
    </row>
    <row r="18" spans="1:27" s="244" customFormat="1">
      <c r="A18" s="241">
        <f t="shared" si="8"/>
        <v>13</v>
      </c>
      <c r="B18" s="241">
        <v>1984</v>
      </c>
      <c r="C18" s="241" t="s">
        <v>376</v>
      </c>
      <c r="D18" s="242">
        <v>450000</v>
      </c>
      <c r="E18" s="242">
        <v>450000</v>
      </c>
      <c r="F18" s="242">
        <f t="shared" si="2"/>
        <v>0</v>
      </c>
      <c r="G18" s="242">
        <v>0</v>
      </c>
      <c r="H18" s="242">
        <v>0</v>
      </c>
      <c r="I18" s="242"/>
      <c r="J18" s="242"/>
      <c r="K18" s="242">
        <f t="shared" si="9"/>
        <v>0</v>
      </c>
      <c r="L18" s="242">
        <f t="shared" si="3"/>
        <v>0</v>
      </c>
      <c r="M18" s="242">
        <f t="shared" si="4"/>
        <v>0</v>
      </c>
      <c r="N18" s="242">
        <v>100000</v>
      </c>
      <c r="O18" s="242">
        <f t="shared" si="0"/>
        <v>350000</v>
      </c>
      <c r="P18" s="242">
        <f t="shared" si="5"/>
        <v>0</v>
      </c>
      <c r="Q18" s="242"/>
      <c r="R18" s="242"/>
      <c r="S18" s="242">
        <f t="shared" si="10"/>
        <v>0</v>
      </c>
      <c r="T18" s="242">
        <f t="shared" si="6"/>
        <v>0</v>
      </c>
      <c r="U18" s="242">
        <f t="shared" si="1"/>
        <v>100000</v>
      </c>
      <c r="V18" s="242">
        <f t="shared" si="7"/>
        <v>100000</v>
      </c>
      <c r="W18" s="242"/>
      <c r="X18" s="242"/>
      <c r="Y18" s="242"/>
      <c r="Z18" s="241"/>
      <c r="AA18" s="241">
        <v>930000</v>
      </c>
    </row>
    <row r="19" spans="1:27" s="244" customFormat="1">
      <c r="A19" s="241">
        <f t="shared" si="8"/>
        <v>14</v>
      </c>
      <c r="B19" s="241">
        <v>1985</v>
      </c>
      <c r="C19" s="241" t="s">
        <v>377</v>
      </c>
      <c r="D19" s="242">
        <v>600000</v>
      </c>
      <c r="E19" s="242">
        <v>600000</v>
      </c>
      <c r="F19" s="242">
        <f t="shared" si="2"/>
        <v>0</v>
      </c>
      <c r="G19" s="242">
        <v>0</v>
      </c>
      <c r="H19" s="242">
        <v>0</v>
      </c>
      <c r="I19" s="242"/>
      <c r="J19" s="242"/>
      <c r="K19" s="242">
        <f t="shared" si="9"/>
        <v>0</v>
      </c>
      <c r="L19" s="242">
        <f t="shared" si="3"/>
        <v>0</v>
      </c>
      <c r="M19" s="242">
        <f t="shared" si="4"/>
        <v>0</v>
      </c>
      <c r="N19" s="242">
        <v>100000</v>
      </c>
      <c r="O19" s="242">
        <f t="shared" si="0"/>
        <v>500000</v>
      </c>
      <c r="P19" s="242">
        <f t="shared" si="5"/>
        <v>0</v>
      </c>
      <c r="Q19" s="242"/>
      <c r="R19" s="242"/>
      <c r="S19" s="242">
        <f t="shared" si="10"/>
        <v>0</v>
      </c>
      <c r="T19" s="242">
        <f t="shared" si="6"/>
        <v>0</v>
      </c>
      <c r="U19" s="242">
        <f t="shared" si="1"/>
        <v>100000</v>
      </c>
      <c r="V19" s="242">
        <f t="shared" si="7"/>
        <v>100000</v>
      </c>
      <c r="W19" s="242"/>
      <c r="X19" s="242"/>
      <c r="Y19" s="242"/>
      <c r="Z19" s="241"/>
      <c r="AA19" s="241">
        <v>930000</v>
      </c>
    </row>
    <row r="20" spans="1:27" s="244" customFormat="1">
      <c r="A20" s="241">
        <f t="shared" si="8"/>
        <v>15</v>
      </c>
      <c r="B20" s="241">
        <v>1993</v>
      </c>
      <c r="C20" s="241" t="s">
        <v>453</v>
      </c>
      <c r="D20" s="242">
        <v>500000</v>
      </c>
      <c r="E20" s="242">
        <v>500000</v>
      </c>
      <c r="F20" s="242">
        <f t="shared" si="2"/>
        <v>0</v>
      </c>
      <c r="G20" s="242">
        <v>50000</v>
      </c>
      <c r="H20" s="242">
        <v>0</v>
      </c>
      <c r="I20" s="242"/>
      <c r="J20" s="242"/>
      <c r="K20" s="242">
        <f t="shared" si="9"/>
        <v>0</v>
      </c>
      <c r="L20" s="242">
        <f t="shared" si="3"/>
        <v>0</v>
      </c>
      <c r="M20" s="242">
        <f t="shared" si="4"/>
        <v>50000</v>
      </c>
      <c r="N20" s="242"/>
      <c r="O20" s="242">
        <f t="shared" si="0"/>
        <v>450000</v>
      </c>
      <c r="P20" s="242">
        <f t="shared" si="5"/>
        <v>50000</v>
      </c>
      <c r="Q20" s="242"/>
      <c r="R20" s="242"/>
      <c r="S20" s="242">
        <f t="shared" si="10"/>
        <v>0</v>
      </c>
      <c r="T20" s="242">
        <f t="shared" si="6"/>
        <v>0</v>
      </c>
      <c r="U20" s="242">
        <f t="shared" si="1"/>
        <v>0</v>
      </c>
      <c r="V20" s="242">
        <f t="shared" si="7"/>
        <v>0</v>
      </c>
      <c r="W20" s="242"/>
      <c r="X20" s="242"/>
      <c r="Y20" s="242"/>
      <c r="Z20" s="241"/>
      <c r="AA20" s="241">
        <v>930000</v>
      </c>
    </row>
    <row r="21" spans="1:27" s="244" customFormat="1">
      <c r="A21" s="241">
        <f t="shared" si="8"/>
        <v>16</v>
      </c>
      <c r="B21" s="247">
        <v>2055</v>
      </c>
      <c r="C21" s="241" t="s">
        <v>506</v>
      </c>
      <c r="D21" s="242">
        <v>220000</v>
      </c>
      <c r="E21" s="242"/>
      <c r="F21" s="242">
        <f>D21-E21</f>
        <v>220000</v>
      </c>
      <c r="G21" s="242"/>
      <c r="H21" s="242"/>
      <c r="I21" s="242"/>
      <c r="J21" s="242"/>
      <c r="K21" s="242">
        <f t="shared" si="9"/>
        <v>0</v>
      </c>
      <c r="L21" s="242">
        <f t="shared" si="3"/>
        <v>0</v>
      </c>
      <c r="M21" s="242">
        <f t="shared" si="4"/>
        <v>0</v>
      </c>
      <c r="N21" s="242">
        <v>220000</v>
      </c>
      <c r="O21" s="242">
        <f t="shared" si="0"/>
        <v>0</v>
      </c>
      <c r="P21" s="242">
        <f t="shared" si="5"/>
        <v>0</v>
      </c>
      <c r="Q21" s="242"/>
      <c r="R21" s="242"/>
      <c r="S21" s="242">
        <f t="shared" si="10"/>
        <v>0</v>
      </c>
      <c r="T21" s="242">
        <f t="shared" si="6"/>
        <v>0</v>
      </c>
      <c r="U21" s="242">
        <f t="shared" si="1"/>
        <v>220000</v>
      </c>
      <c r="V21" s="242">
        <f t="shared" si="7"/>
        <v>220000</v>
      </c>
      <c r="W21" s="242"/>
      <c r="X21" s="242"/>
      <c r="Y21" s="242"/>
      <c r="Z21" s="241"/>
      <c r="AA21" s="241">
        <v>930000</v>
      </c>
    </row>
    <row r="22" spans="1:27" s="244" customFormat="1" ht="30">
      <c r="A22" s="241">
        <f t="shared" si="8"/>
        <v>17</v>
      </c>
      <c r="B22" s="247">
        <v>2056</v>
      </c>
      <c r="C22" s="241" t="s">
        <v>933</v>
      </c>
      <c r="D22" s="242">
        <v>1400000</v>
      </c>
      <c r="E22" s="242"/>
      <c r="F22" s="242">
        <f>D22-E22</f>
        <v>1400000</v>
      </c>
      <c r="G22" s="242"/>
      <c r="H22" s="242"/>
      <c r="I22" s="242"/>
      <c r="J22" s="242"/>
      <c r="K22" s="242">
        <f t="shared" si="9"/>
        <v>0</v>
      </c>
      <c r="L22" s="242">
        <f t="shared" si="3"/>
        <v>0</v>
      </c>
      <c r="M22" s="242">
        <f t="shared" si="4"/>
        <v>0</v>
      </c>
      <c r="N22" s="242">
        <v>100000</v>
      </c>
      <c r="O22" s="242">
        <f t="shared" si="0"/>
        <v>1300000</v>
      </c>
      <c r="P22" s="242">
        <f t="shared" si="5"/>
        <v>0</v>
      </c>
      <c r="Q22" s="242"/>
      <c r="R22" s="242"/>
      <c r="S22" s="242">
        <f t="shared" si="10"/>
        <v>0</v>
      </c>
      <c r="T22" s="242">
        <f t="shared" si="6"/>
        <v>0</v>
      </c>
      <c r="U22" s="242">
        <f t="shared" si="1"/>
        <v>100000</v>
      </c>
      <c r="V22" s="242">
        <f t="shared" si="7"/>
        <v>100000</v>
      </c>
      <c r="W22" s="242"/>
      <c r="X22" s="242"/>
      <c r="Y22" s="242"/>
      <c r="Z22" s="241"/>
      <c r="AA22" s="241">
        <v>930000</v>
      </c>
    </row>
    <row r="23" spans="1:27" s="250" customFormat="1" ht="15.75">
      <c r="A23" s="248">
        <f>A22</f>
        <v>17</v>
      </c>
      <c r="B23" s="248"/>
      <c r="C23" s="248" t="s">
        <v>151</v>
      </c>
      <c r="D23" s="249">
        <f t="shared" ref="D23:Z23" si="11">SUM(D6:D22)</f>
        <v>153914700</v>
      </c>
      <c r="E23" s="249">
        <f t="shared" si="11"/>
        <v>152144700</v>
      </c>
      <c r="F23" s="249">
        <f t="shared" si="11"/>
        <v>1770000</v>
      </c>
      <c r="G23" s="249">
        <f t="shared" si="11"/>
        <v>86547525</v>
      </c>
      <c r="H23" s="249">
        <f t="shared" si="11"/>
        <v>67054113.32</v>
      </c>
      <c r="I23" s="249">
        <f t="shared" si="11"/>
        <v>0</v>
      </c>
      <c r="J23" s="249">
        <f t="shared" si="11"/>
        <v>25119.5</v>
      </c>
      <c r="K23" s="249">
        <f t="shared" si="11"/>
        <v>25119.5</v>
      </c>
      <c r="L23" s="249">
        <f t="shared" si="11"/>
        <v>67079232.82</v>
      </c>
      <c r="M23" s="249">
        <f t="shared" si="11"/>
        <v>19468292.18</v>
      </c>
      <c r="N23" s="249">
        <f t="shared" si="11"/>
        <v>3070000</v>
      </c>
      <c r="O23" s="249">
        <f t="shared" si="11"/>
        <v>64297175</v>
      </c>
      <c r="P23" s="249">
        <f t="shared" si="11"/>
        <v>19468292.18</v>
      </c>
      <c r="Q23" s="249">
        <f t="shared" si="11"/>
        <v>0</v>
      </c>
      <c r="R23" s="249">
        <f t="shared" si="11"/>
        <v>0</v>
      </c>
      <c r="S23" s="249">
        <f t="shared" si="11"/>
        <v>0</v>
      </c>
      <c r="T23" s="249">
        <f t="shared" si="11"/>
        <v>0</v>
      </c>
      <c r="U23" s="249">
        <f t="shared" si="11"/>
        <v>3070000</v>
      </c>
      <c r="V23" s="249">
        <f t="shared" si="11"/>
        <v>3070000</v>
      </c>
      <c r="W23" s="249">
        <f t="shared" si="11"/>
        <v>0</v>
      </c>
      <c r="X23" s="249">
        <f t="shared" si="11"/>
        <v>0</v>
      </c>
      <c r="Y23" s="249">
        <f t="shared" si="11"/>
        <v>0</v>
      </c>
      <c r="Z23" s="249">
        <f t="shared" si="11"/>
        <v>0</v>
      </c>
      <c r="AA23" s="248"/>
    </row>
    <row r="24" spans="1:27" s="246" customFormat="1">
      <c r="A24" s="233"/>
      <c r="B24" s="233"/>
      <c r="C24" s="233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33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4"/>
  <sheetViews>
    <sheetView showZeros="0" rightToLeft="1" zoomScaleNormal="100" workbookViewId="0">
      <pane xSplit="3" ySplit="4" topLeftCell="D19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6.85546875" style="239" customWidth="1"/>
    <col min="4" max="4" width="12.7109375" style="251" customWidth="1"/>
    <col min="5" max="5" width="11.42578125" style="251" hidden="1" customWidth="1"/>
    <col min="6" max="6" width="9.85546875" style="251" hidden="1" customWidth="1"/>
    <col min="7" max="10" width="12.7109375" style="251" hidden="1" customWidth="1"/>
    <col min="11" max="11" width="11.28515625" style="251" hidden="1" customWidth="1"/>
    <col min="12" max="12" width="11" style="251" customWidth="1"/>
    <col min="13" max="14" width="11.140625" style="251" bestFit="1" customWidth="1"/>
    <col min="15" max="15" width="11.140625" style="251" customWidth="1"/>
    <col min="16" max="17" width="11.140625" style="251" hidden="1" customWidth="1"/>
    <col min="18" max="19" width="12" style="251" hidden="1" customWidth="1"/>
    <col min="20" max="20" width="10.28515625" style="251" hidden="1" customWidth="1"/>
    <col min="21" max="21" width="11.85546875" style="239" customWidth="1"/>
    <col min="22" max="22" width="10.28515625" style="239" customWidth="1"/>
    <col min="23" max="23" width="11.85546875" style="239" customWidth="1"/>
    <col min="24" max="25" width="10.140625" style="239" customWidth="1"/>
    <col min="26" max="26" width="9.7109375" style="239" customWidth="1"/>
    <col min="27" max="27" width="7.85546875" style="239" customWidth="1"/>
    <col min="28" max="16384" width="9.140625" style="239"/>
  </cols>
  <sheetData>
    <row r="2" spans="1:27" ht="18.75">
      <c r="A2" s="643" t="s">
        <v>225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</row>
    <row r="4" spans="1:27" s="240" customFormat="1" ht="86.25" customHeight="1">
      <c r="A4" s="18" t="s">
        <v>0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 t="s">
        <v>6</v>
      </c>
      <c r="H4" s="18" t="s">
        <v>7</v>
      </c>
      <c r="I4" s="18" t="s">
        <v>9</v>
      </c>
      <c r="J4" s="18" t="s">
        <v>423</v>
      </c>
      <c r="K4" s="18" t="s">
        <v>10</v>
      </c>
      <c r="L4" s="18" t="s">
        <v>11</v>
      </c>
      <c r="M4" s="12" t="s">
        <v>414</v>
      </c>
      <c r="N4" s="18" t="s">
        <v>415</v>
      </c>
      <c r="O4" s="18" t="s">
        <v>416</v>
      </c>
      <c r="P4" s="18" t="s">
        <v>12</v>
      </c>
      <c r="Q4" s="18" t="s">
        <v>417</v>
      </c>
      <c r="R4" s="18" t="s">
        <v>418</v>
      </c>
      <c r="S4" s="18" t="s">
        <v>419</v>
      </c>
      <c r="T4" s="18" t="s">
        <v>420</v>
      </c>
      <c r="U4" s="18" t="s">
        <v>421</v>
      </c>
      <c r="V4" s="18" t="s">
        <v>13</v>
      </c>
      <c r="W4" s="18" t="s">
        <v>14</v>
      </c>
      <c r="X4" s="18" t="s">
        <v>15</v>
      </c>
      <c r="Y4" s="18" t="s">
        <v>914</v>
      </c>
      <c r="Z4" s="18" t="s">
        <v>184</v>
      </c>
      <c r="AA4" s="18" t="s">
        <v>16</v>
      </c>
    </row>
    <row r="5" spans="1:27" s="244" customFormat="1">
      <c r="A5" s="241"/>
      <c r="B5" s="241"/>
      <c r="C5" s="241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>
        <f t="shared" ref="O5" si="0">D5-L5-M5-N5</f>
        <v>0</v>
      </c>
      <c r="P5" s="242"/>
      <c r="Q5" s="242"/>
      <c r="R5" s="242"/>
      <c r="S5" s="242"/>
      <c r="T5" s="242">
        <f>P5-M5+R5</f>
        <v>0</v>
      </c>
      <c r="U5" s="242">
        <f t="shared" ref="U5" si="1">N5-T5</f>
        <v>0</v>
      </c>
      <c r="V5" s="242"/>
      <c r="W5" s="242"/>
      <c r="X5" s="242"/>
      <c r="Y5" s="242"/>
      <c r="Z5" s="241"/>
      <c r="AA5" s="241"/>
    </row>
    <row r="6" spans="1:27" s="244" customFormat="1">
      <c r="A6" s="241">
        <f>1+A5</f>
        <v>1</v>
      </c>
      <c r="B6" s="241">
        <v>470</v>
      </c>
      <c r="C6" s="241" t="s">
        <v>142</v>
      </c>
      <c r="D6" s="242">
        <f>'נכסים '!D6</f>
        <v>1830000</v>
      </c>
      <c r="E6" s="242">
        <f>'נכסים '!E6</f>
        <v>1680000</v>
      </c>
      <c r="F6" s="242">
        <f>'נכסים '!F6</f>
        <v>150000</v>
      </c>
      <c r="G6" s="242">
        <f>'נכסים '!G6</f>
        <v>1580000</v>
      </c>
      <c r="H6" s="242">
        <f>'נכסים '!H6</f>
        <v>1548809.43</v>
      </c>
      <c r="I6" s="242">
        <f>'נכסים '!I6</f>
        <v>0</v>
      </c>
      <c r="J6" s="242">
        <f>'נכסים '!J6</f>
        <v>19012.5</v>
      </c>
      <c r="K6" s="242">
        <f>'נכסים '!K6</f>
        <v>19012.5</v>
      </c>
      <c r="L6" s="242">
        <f>'נכסים '!L6</f>
        <v>1567821.93</v>
      </c>
      <c r="M6" s="242">
        <f>'נכסים '!M6</f>
        <v>12178.070000000065</v>
      </c>
      <c r="N6" s="242">
        <f>'נכסים '!N6</f>
        <v>250000</v>
      </c>
      <c r="O6" s="242">
        <f>'נכסים '!O6</f>
        <v>0</v>
      </c>
      <c r="P6" s="242">
        <f>'נכסים '!P6</f>
        <v>12178.070000000065</v>
      </c>
      <c r="Q6" s="242">
        <f>'נכסים '!Q6</f>
        <v>0</v>
      </c>
      <c r="R6" s="242">
        <f>'נכסים '!R6</f>
        <v>0</v>
      </c>
      <c r="S6" s="242">
        <f>'נכסים '!S6</f>
        <v>0</v>
      </c>
      <c r="T6" s="242">
        <f>'נכסים '!T6</f>
        <v>0</v>
      </c>
      <c r="U6" s="242">
        <f>'נכסים '!U6</f>
        <v>250000</v>
      </c>
      <c r="V6" s="242">
        <f>'נכסים '!V6</f>
        <v>250000</v>
      </c>
      <c r="W6" s="242">
        <f>'נכסים '!W6</f>
        <v>0</v>
      </c>
      <c r="X6" s="242">
        <f>'נכסים '!X6</f>
        <v>0</v>
      </c>
      <c r="Y6" s="242">
        <f>'נכסים '!Y6</f>
        <v>0</v>
      </c>
      <c r="Z6" s="242">
        <f>'נכסים '!Z6</f>
        <v>0</v>
      </c>
      <c r="AA6" s="241">
        <f>'נכסים '!AA6</f>
        <v>935000</v>
      </c>
    </row>
    <row r="7" spans="1:27" s="244" customFormat="1">
      <c r="A7" s="241">
        <f t="shared" ref="A7:A22" si="2">1+A6</f>
        <v>2</v>
      </c>
      <c r="B7" s="241">
        <v>649</v>
      </c>
      <c r="C7" s="241" t="s">
        <v>143</v>
      </c>
      <c r="D7" s="242">
        <f>'נכסים '!D7</f>
        <v>70000</v>
      </c>
      <c r="E7" s="242">
        <f>'נכסים '!E7</f>
        <v>70000</v>
      </c>
      <c r="F7" s="242">
        <f>'נכסים '!F7</f>
        <v>0</v>
      </c>
      <c r="G7" s="242">
        <f>'נכסים '!G7</f>
        <v>70000</v>
      </c>
      <c r="H7" s="242">
        <f>'נכסים '!H7</f>
        <v>43111.48</v>
      </c>
      <c r="I7" s="242">
        <f>'נכסים '!I7</f>
        <v>0</v>
      </c>
      <c r="J7" s="242">
        <f>'נכסים '!J7</f>
        <v>0</v>
      </c>
      <c r="K7" s="242">
        <f>'נכסים '!K7</f>
        <v>0</v>
      </c>
      <c r="L7" s="242">
        <f>'נכסים '!L7</f>
        <v>43111.48</v>
      </c>
      <c r="M7" s="242">
        <f>'נכסים '!M7</f>
        <v>26888.519999999997</v>
      </c>
      <c r="N7" s="242">
        <f>'נכסים '!N7</f>
        <v>0</v>
      </c>
      <c r="O7" s="242">
        <f>'נכסים '!O7</f>
        <v>0</v>
      </c>
      <c r="P7" s="242">
        <f>'נכסים '!P7</f>
        <v>26888.519999999997</v>
      </c>
      <c r="Q7" s="242">
        <f>'נכסים '!Q7</f>
        <v>0</v>
      </c>
      <c r="R7" s="242">
        <f>'נכסים '!R7</f>
        <v>0</v>
      </c>
      <c r="S7" s="242">
        <f>'נכסים '!S7</f>
        <v>0</v>
      </c>
      <c r="T7" s="242">
        <f>'נכסים '!T7</f>
        <v>0</v>
      </c>
      <c r="U7" s="242">
        <f>'נכסים '!U7</f>
        <v>0</v>
      </c>
      <c r="V7" s="242">
        <f>'נכסים '!V7</f>
        <v>0</v>
      </c>
      <c r="W7" s="242">
        <f>'נכסים '!W7</f>
        <v>0</v>
      </c>
      <c r="X7" s="242">
        <f>'נכסים '!X7</f>
        <v>0</v>
      </c>
      <c r="Y7" s="242">
        <f>'נכסים '!Y7</f>
        <v>0</v>
      </c>
      <c r="Z7" s="242">
        <f>'נכסים '!Z7</f>
        <v>0</v>
      </c>
      <c r="AA7" s="241">
        <f>'נכסים '!AA7</f>
        <v>930000</v>
      </c>
    </row>
    <row r="8" spans="1:27" s="244" customFormat="1">
      <c r="A8" s="241">
        <f t="shared" si="2"/>
        <v>3</v>
      </c>
      <c r="B8" s="241">
        <v>1066</v>
      </c>
      <c r="C8" s="241" t="s">
        <v>144</v>
      </c>
      <c r="D8" s="242">
        <f>'נכסים '!D8</f>
        <v>75000</v>
      </c>
      <c r="E8" s="242">
        <f>'נכסים '!E8</f>
        <v>75000</v>
      </c>
      <c r="F8" s="242">
        <f>'נכסים '!F8</f>
        <v>0</v>
      </c>
      <c r="G8" s="242">
        <f>'נכסים '!G8</f>
        <v>75000</v>
      </c>
      <c r="H8" s="242">
        <f>'נכסים '!H8</f>
        <v>40172</v>
      </c>
      <c r="I8" s="242">
        <f>'נכסים '!I8</f>
        <v>0</v>
      </c>
      <c r="J8" s="242">
        <f>'נכסים '!J8</f>
        <v>0</v>
      </c>
      <c r="K8" s="242">
        <f>'נכסים '!K8</f>
        <v>0</v>
      </c>
      <c r="L8" s="242">
        <f>'נכסים '!L8</f>
        <v>40172</v>
      </c>
      <c r="M8" s="242">
        <f>'נכסים '!M8</f>
        <v>34828</v>
      </c>
      <c r="N8" s="242">
        <f>'נכסים '!N8</f>
        <v>0</v>
      </c>
      <c r="O8" s="242">
        <f>'נכסים '!O8</f>
        <v>0</v>
      </c>
      <c r="P8" s="242">
        <f>'נכסים '!P8</f>
        <v>34828</v>
      </c>
      <c r="Q8" s="242">
        <f>'נכסים '!Q8</f>
        <v>0</v>
      </c>
      <c r="R8" s="242">
        <f>'נכסים '!R8</f>
        <v>0</v>
      </c>
      <c r="S8" s="242">
        <f>'נכסים '!S8</f>
        <v>0</v>
      </c>
      <c r="T8" s="242">
        <f>'נכסים '!T8</f>
        <v>0</v>
      </c>
      <c r="U8" s="242">
        <f>'נכסים '!U8</f>
        <v>0</v>
      </c>
      <c r="V8" s="242">
        <f>'נכסים '!V8</f>
        <v>0</v>
      </c>
      <c r="W8" s="242">
        <f>'נכסים '!W8</f>
        <v>0</v>
      </c>
      <c r="X8" s="242">
        <f>'נכסים '!X8</f>
        <v>0</v>
      </c>
      <c r="Y8" s="242">
        <f>'נכסים '!Y8</f>
        <v>0</v>
      </c>
      <c r="Z8" s="242">
        <f>'נכסים '!Z8</f>
        <v>0</v>
      </c>
      <c r="AA8" s="241">
        <f>'נכסים '!AA8</f>
        <v>935000</v>
      </c>
    </row>
    <row r="9" spans="1:27" s="244" customFormat="1">
      <c r="A9" s="241">
        <f t="shared" si="2"/>
        <v>4</v>
      </c>
      <c r="B9" s="241">
        <v>1177</v>
      </c>
      <c r="C9" s="241" t="s">
        <v>145</v>
      </c>
      <c r="D9" s="242">
        <f>'נכסים '!D9</f>
        <v>41850000</v>
      </c>
      <c r="E9" s="242">
        <f>'נכסים '!E9</f>
        <v>41850000</v>
      </c>
      <c r="F9" s="242">
        <f>'נכסים '!F9</f>
        <v>0</v>
      </c>
      <c r="G9" s="242">
        <f>'נכסים '!G9</f>
        <v>28957000</v>
      </c>
      <c r="H9" s="242">
        <f>'נכסים '!H9</f>
        <v>26727455.199999999</v>
      </c>
      <c r="I9" s="242">
        <f>'נכסים '!I9</f>
        <v>0</v>
      </c>
      <c r="J9" s="242">
        <f>'נכסים '!J9</f>
        <v>0</v>
      </c>
      <c r="K9" s="242">
        <f>'נכסים '!K9</f>
        <v>0</v>
      </c>
      <c r="L9" s="242">
        <f>'נכסים '!L9</f>
        <v>26727455.199999999</v>
      </c>
      <c r="M9" s="242">
        <f>'נכסים '!M9</f>
        <v>2229544.8000000007</v>
      </c>
      <c r="N9" s="242">
        <f>'נכסים '!N9</f>
        <v>2000000</v>
      </c>
      <c r="O9" s="242">
        <f>'נכסים '!O9</f>
        <v>10893000</v>
      </c>
      <c r="P9" s="242">
        <f>'נכסים '!P9</f>
        <v>2229544.8000000007</v>
      </c>
      <c r="Q9" s="242">
        <f>'נכסים '!Q9</f>
        <v>0</v>
      </c>
      <c r="R9" s="242">
        <f>'נכסים '!R9</f>
        <v>0</v>
      </c>
      <c r="S9" s="242">
        <f>'נכסים '!S9</f>
        <v>0</v>
      </c>
      <c r="T9" s="242">
        <f>'נכסים '!T9</f>
        <v>0</v>
      </c>
      <c r="U9" s="242">
        <f>'נכסים '!U9</f>
        <v>2000000</v>
      </c>
      <c r="V9" s="242">
        <f>'נכסים '!V9</f>
        <v>2000000</v>
      </c>
      <c r="W9" s="242">
        <f>'נכסים '!W9</f>
        <v>0</v>
      </c>
      <c r="X9" s="242">
        <f>'נכסים '!X9</f>
        <v>0</v>
      </c>
      <c r="Y9" s="242">
        <f>'נכסים '!Y9</f>
        <v>0</v>
      </c>
      <c r="Z9" s="242">
        <f>'נכסים '!Z9</f>
        <v>0</v>
      </c>
      <c r="AA9" s="241">
        <f>'נכסים '!AA9</f>
        <v>930000</v>
      </c>
    </row>
    <row r="10" spans="1:27" s="244" customFormat="1">
      <c r="A10" s="241">
        <f t="shared" si="2"/>
        <v>5</v>
      </c>
      <c r="B10" s="241">
        <v>1258</v>
      </c>
      <c r="C10" s="241" t="s">
        <v>146</v>
      </c>
      <c r="D10" s="242">
        <f>'נכסים '!D10</f>
        <v>1400000</v>
      </c>
      <c r="E10" s="242">
        <f>'נכסים '!E10</f>
        <v>1400000</v>
      </c>
      <c r="F10" s="242">
        <f>'נכסים '!F10</f>
        <v>0</v>
      </c>
      <c r="G10" s="242">
        <f>'נכסים '!G10</f>
        <v>900000</v>
      </c>
      <c r="H10" s="242">
        <f>'נכסים '!H10</f>
        <v>840489.96</v>
      </c>
      <c r="I10" s="242">
        <f>'נכסים '!I10</f>
        <v>0</v>
      </c>
      <c r="J10" s="242">
        <f>'נכסים '!J10</f>
        <v>0</v>
      </c>
      <c r="K10" s="242">
        <f>'נכסים '!K10</f>
        <v>0</v>
      </c>
      <c r="L10" s="242">
        <f>'נכסים '!L10</f>
        <v>840489.96</v>
      </c>
      <c r="M10" s="242">
        <f>'נכסים '!M10</f>
        <v>59510.040000000037</v>
      </c>
      <c r="N10" s="242">
        <f>'נכסים '!N10</f>
        <v>50000</v>
      </c>
      <c r="O10" s="242">
        <f>'נכסים '!O10</f>
        <v>450000</v>
      </c>
      <c r="P10" s="242">
        <f>'נכסים '!P10</f>
        <v>59510.040000000037</v>
      </c>
      <c r="Q10" s="242">
        <f>'נכסים '!Q10</f>
        <v>0</v>
      </c>
      <c r="R10" s="242">
        <f>'נכסים '!R10</f>
        <v>0</v>
      </c>
      <c r="S10" s="242">
        <f>'נכסים '!S10</f>
        <v>0</v>
      </c>
      <c r="T10" s="242">
        <f>'נכסים '!T10</f>
        <v>0</v>
      </c>
      <c r="U10" s="242">
        <f>'נכסים '!U10</f>
        <v>50000</v>
      </c>
      <c r="V10" s="242">
        <f>'נכסים '!V10</f>
        <v>50000</v>
      </c>
      <c r="W10" s="242">
        <f>'נכסים '!W10</f>
        <v>0</v>
      </c>
      <c r="X10" s="242">
        <f>'נכסים '!X10</f>
        <v>0</v>
      </c>
      <c r="Y10" s="242">
        <f>'נכסים '!Y10</f>
        <v>0</v>
      </c>
      <c r="Z10" s="242">
        <f>'נכסים '!Z10</f>
        <v>0</v>
      </c>
      <c r="AA10" s="241">
        <f>'נכסים '!AA10</f>
        <v>930000</v>
      </c>
    </row>
    <row r="11" spans="1:27" s="244" customFormat="1">
      <c r="A11" s="241">
        <f t="shared" si="2"/>
        <v>6</v>
      </c>
      <c r="B11" s="241">
        <v>1330</v>
      </c>
      <c r="C11" s="241" t="s">
        <v>147</v>
      </c>
      <c r="D11" s="242">
        <f>'נכסים '!D11</f>
        <v>60700000</v>
      </c>
      <c r="E11" s="242">
        <f>'נכסים '!E11</f>
        <v>60700000</v>
      </c>
      <c r="F11" s="242">
        <f>'נכסים '!F11</f>
        <v>0</v>
      </c>
      <c r="G11" s="242">
        <f>'נכסים '!G11</f>
        <v>17249825</v>
      </c>
      <c r="H11" s="242">
        <f>'נכסים '!H11</f>
        <v>6153348.6299999999</v>
      </c>
      <c r="I11" s="242">
        <f>'נכסים '!I11</f>
        <v>0</v>
      </c>
      <c r="J11" s="242">
        <f>'נכסים '!J11</f>
        <v>6107</v>
      </c>
      <c r="K11" s="242">
        <f>'נכסים '!K11</f>
        <v>6107</v>
      </c>
      <c r="L11" s="242">
        <f>'נכסים '!L11</f>
        <v>6159455.6299999999</v>
      </c>
      <c r="M11" s="242">
        <f>'נכסים '!M11</f>
        <v>11090369.370000001</v>
      </c>
      <c r="N11" s="242">
        <f>'נכסים '!N11</f>
        <v>0</v>
      </c>
      <c r="O11" s="242">
        <f>'נכסים '!O11</f>
        <v>43450175</v>
      </c>
      <c r="P11" s="242">
        <f>'נכסים '!P11</f>
        <v>11090369.370000001</v>
      </c>
      <c r="Q11" s="242">
        <f>'נכסים '!Q11</f>
        <v>0</v>
      </c>
      <c r="R11" s="242">
        <f>'נכסים '!R11</f>
        <v>0</v>
      </c>
      <c r="S11" s="242">
        <f>'נכסים '!S11</f>
        <v>0</v>
      </c>
      <c r="T11" s="242">
        <f>'נכסים '!T11</f>
        <v>0</v>
      </c>
      <c r="U11" s="242">
        <f>'נכסים '!U11</f>
        <v>0</v>
      </c>
      <c r="V11" s="242">
        <f>'נכסים '!V11</f>
        <v>0</v>
      </c>
      <c r="W11" s="242">
        <f>'נכסים '!W11</f>
        <v>0</v>
      </c>
      <c r="X11" s="242">
        <f>'נכסים '!X11</f>
        <v>0</v>
      </c>
      <c r="Y11" s="242">
        <f>'נכסים '!Y11</f>
        <v>0</v>
      </c>
      <c r="Z11" s="242">
        <f>'נכסים '!Z11</f>
        <v>0</v>
      </c>
      <c r="AA11" s="241">
        <f>'נכסים '!AA11</f>
        <v>930000</v>
      </c>
    </row>
    <row r="12" spans="1:27" s="244" customFormat="1">
      <c r="A12" s="241">
        <f t="shared" si="2"/>
        <v>7</v>
      </c>
      <c r="B12" s="241">
        <v>1369</v>
      </c>
      <c r="C12" s="241" t="s">
        <v>148</v>
      </c>
      <c r="D12" s="242">
        <f>'נכסים '!D12</f>
        <v>1100700</v>
      </c>
      <c r="E12" s="242">
        <f>'נכסים '!E12</f>
        <v>1100700</v>
      </c>
      <c r="F12" s="242">
        <f>'נכסים '!F12</f>
        <v>0</v>
      </c>
      <c r="G12" s="242">
        <f>'נכסים '!G12</f>
        <v>570700</v>
      </c>
      <c r="H12" s="242">
        <f>'נכסים '!H12</f>
        <v>552097</v>
      </c>
      <c r="I12" s="242">
        <f>'נכסים '!I12</f>
        <v>0</v>
      </c>
      <c r="J12" s="242">
        <f>'נכסים '!J12</f>
        <v>0</v>
      </c>
      <c r="K12" s="242">
        <f>'נכסים '!K12</f>
        <v>0</v>
      </c>
      <c r="L12" s="242">
        <f>'נכסים '!L12</f>
        <v>552097</v>
      </c>
      <c r="M12" s="242">
        <f>'נכסים '!M12</f>
        <v>18603</v>
      </c>
      <c r="N12" s="242">
        <f>'נכסים '!N12</f>
        <v>100000</v>
      </c>
      <c r="O12" s="242">
        <f>'נכסים '!O12</f>
        <v>430000</v>
      </c>
      <c r="P12" s="242">
        <f>'נכסים '!P12</f>
        <v>18603</v>
      </c>
      <c r="Q12" s="242">
        <f>'נכסים '!Q12</f>
        <v>0</v>
      </c>
      <c r="R12" s="242">
        <f>'נכסים '!R12</f>
        <v>0</v>
      </c>
      <c r="S12" s="242">
        <f>'נכסים '!S12</f>
        <v>0</v>
      </c>
      <c r="T12" s="242">
        <f>'נכסים '!T12</f>
        <v>0</v>
      </c>
      <c r="U12" s="242">
        <f>'נכסים '!U12</f>
        <v>100000</v>
      </c>
      <c r="V12" s="242">
        <f>'נכסים '!V12</f>
        <v>100000</v>
      </c>
      <c r="W12" s="242">
        <f>'נכסים '!W12</f>
        <v>0</v>
      </c>
      <c r="X12" s="242">
        <f>'נכסים '!X12</f>
        <v>0</v>
      </c>
      <c r="Y12" s="242">
        <f>'נכסים '!Y12</f>
        <v>0</v>
      </c>
      <c r="Z12" s="242">
        <f>'נכסים '!Z12</f>
        <v>0</v>
      </c>
      <c r="AA12" s="241">
        <f>'נכסים '!AA12</f>
        <v>930000</v>
      </c>
    </row>
    <row r="13" spans="1:27" s="244" customFormat="1">
      <c r="A13" s="241">
        <f t="shared" si="2"/>
        <v>8</v>
      </c>
      <c r="B13" s="241">
        <v>1704</v>
      </c>
      <c r="C13" s="241" t="s">
        <v>149</v>
      </c>
      <c r="D13" s="242">
        <f>'נכסים '!D13</f>
        <v>5784000</v>
      </c>
      <c r="E13" s="242">
        <f>'נכסים '!E13</f>
        <v>5784000</v>
      </c>
      <c r="F13" s="242">
        <f>'נכסים '!F13</f>
        <v>0</v>
      </c>
      <c r="G13" s="242">
        <f>'נכסים '!G13</f>
        <v>30000</v>
      </c>
      <c r="H13" s="242">
        <f>'נכסים '!H13</f>
        <v>28396.73</v>
      </c>
      <c r="I13" s="242">
        <f>'נכסים '!I13</f>
        <v>0</v>
      </c>
      <c r="J13" s="242">
        <f>'נכסים '!J13</f>
        <v>0</v>
      </c>
      <c r="K13" s="242">
        <f>'נכסים '!K13</f>
        <v>0</v>
      </c>
      <c r="L13" s="242">
        <f>'נכסים '!L13</f>
        <v>28396.73</v>
      </c>
      <c r="M13" s="242">
        <f>'נכסים '!M13</f>
        <v>1603.2700000000004</v>
      </c>
      <c r="N13" s="242">
        <f>'נכסים '!N13</f>
        <v>50000</v>
      </c>
      <c r="O13" s="242">
        <f>'נכסים '!O13</f>
        <v>5704000</v>
      </c>
      <c r="P13" s="242">
        <f>'נכסים '!P13</f>
        <v>1603.2700000000004</v>
      </c>
      <c r="Q13" s="242">
        <f>'נכסים '!Q13</f>
        <v>0</v>
      </c>
      <c r="R13" s="242">
        <f>'נכסים '!R13</f>
        <v>0</v>
      </c>
      <c r="S13" s="242">
        <f>'נכסים '!S13</f>
        <v>0</v>
      </c>
      <c r="T13" s="242">
        <f>'נכסים '!T13</f>
        <v>0</v>
      </c>
      <c r="U13" s="242">
        <f>'נכסים '!U13</f>
        <v>50000</v>
      </c>
      <c r="V13" s="242">
        <f>'נכסים '!V13</f>
        <v>50000</v>
      </c>
      <c r="W13" s="242">
        <f>'נכסים '!W13</f>
        <v>0</v>
      </c>
      <c r="X13" s="242">
        <f>'נכסים '!X13</f>
        <v>0</v>
      </c>
      <c r="Y13" s="242">
        <f>'נכסים '!Y13</f>
        <v>0</v>
      </c>
      <c r="Z13" s="242">
        <f>'נכסים '!Z13</f>
        <v>0</v>
      </c>
      <c r="AA13" s="241">
        <f>'נכסים '!AA13</f>
        <v>930000</v>
      </c>
    </row>
    <row r="14" spans="1:27" s="244" customFormat="1">
      <c r="A14" s="241">
        <f t="shared" si="2"/>
        <v>9</v>
      </c>
      <c r="B14" s="241">
        <v>1791</v>
      </c>
      <c r="C14" s="241" t="s">
        <v>150</v>
      </c>
      <c r="D14" s="242">
        <f>'נכסים '!D14</f>
        <v>570000</v>
      </c>
      <c r="E14" s="242">
        <f>'נכסים '!E14</f>
        <v>570000</v>
      </c>
      <c r="F14" s="242">
        <f>'נכסים '!F14</f>
        <v>0</v>
      </c>
      <c r="G14" s="242">
        <f>'נכסים '!G14</f>
        <v>500000</v>
      </c>
      <c r="H14" s="242">
        <f>'נכסים '!H14</f>
        <v>404150</v>
      </c>
      <c r="I14" s="242">
        <f>'נכסים '!I14</f>
        <v>0</v>
      </c>
      <c r="J14" s="242">
        <f>'נכסים '!J14</f>
        <v>0</v>
      </c>
      <c r="K14" s="242">
        <f>'נכסים '!K14</f>
        <v>0</v>
      </c>
      <c r="L14" s="242">
        <f>'נכסים '!L14</f>
        <v>404150</v>
      </c>
      <c r="M14" s="242">
        <f>'נכסים '!M14</f>
        <v>95850</v>
      </c>
      <c r="N14" s="242">
        <f>'נכסים '!N14</f>
        <v>0</v>
      </c>
      <c r="O14" s="242">
        <f>'נכסים '!O14</f>
        <v>70000</v>
      </c>
      <c r="P14" s="242">
        <f>'נכסים '!P14</f>
        <v>95850</v>
      </c>
      <c r="Q14" s="242">
        <f>'נכסים '!Q14</f>
        <v>0</v>
      </c>
      <c r="R14" s="242">
        <f>'נכסים '!R14</f>
        <v>0</v>
      </c>
      <c r="S14" s="242">
        <f>'נכסים '!S14</f>
        <v>0</v>
      </c>
      <c r="T14" s="242">
        <f>'נכסים '!T14</f>
        <v>0</v>
      </c>
      <c r="U14" s="242">
        <f>'נכסים '!U14</f>
        <v>0</v>
      </c>
      <c r="V14" s="242">
        <f>'נכסים '!V14</f>
        <v>0</v>
      </c>
      <c r="W14" s="242">
        <f>'נכסים '!W14</f>
        <v>0</v>
      </c>
      <c r="X14" s="242">
        <f>'נכסים '!X14</f>
        <v>0</v>
      </c>
      <c r="Y14" s="242">
        <f>'נכסים '!Y14</f>
        <v>0</v>
      </c>
      <c r="Z14" s="242">
        <f>'נכסים '!Z14</f>
        <v>0</v>
      </c>
      <c r="AA14" s="241">
        <f>'נכסים '!AA14</f>
        <v>930000</v>
      </c>
    </row>
    <row r="15" spans="1:27" s="244" customFormat="1">
      <c r="A15" s="241">
        <f t="shared" si="2"/>
        <v>10</v>
      </c>
      <c r="B15" s="241">
        <v>1801</v>
      </c>
      <c r="C15" s="241" t="s">
        <v>245</v>
      </c>
      <c r="D15" s="242">
        <f>'נכסים '!D15</f>
        <v>36000000</v>
      </c>
      <c r="E15" s="242">
        <f>'נכסים '!E15</f>
        <v>36000000</v>
      </c>
      <c r="F15" s="242">
        <f>'נכסים '!F15</f>
        <v>0</v>
      </c>
      <c r="G15" s="242">
        <f>'נכסים '!G15</f>
        <v>36000000</v>
      </c>
      <c r="H15" s="242">
        <f>'נכסים '!H15</f>
        <v>30316082.890000001</v>
      </c>
      <c r="I15" s="242">
        <f>'נכסים '!I15</f>
        <v>0</v>
      </c>
      <c r="J15" s="242">
        <f>'נכסים '!J15</f>
        <v>0</v>
      </c>
      <c r="K15" s="242">
        <f>'נכסים '!K15</f>
        <v>0</v>
      </c>
      <c r="L15" s="242">
        <f>'נכסים '!L15</f>
        <v>30316082.890000001</v>
      </c>
      <c r="M15" s="242">
        <f>'נכסים '!M15</f>
        <v>5683917.1099999994</v>
      </c>
      <c r="N15" s="242">
        <f>'נכסים '!N15</f>
        <v>0</v>
      </c>
      <c r="O15" s="242">
        <f>'נכסים '!O15</f>
        <v>0</v>
      </c>
      <c r="P15" s="242">
        <f>'נכסים '!P15</f>
        <v>5683917.1099999994</v>
      </c>
      <c r="Q15" s="242">
        <f>'נכסים '!Q15</f>
        <v>0</v>
      </c>
      <c r="R15" s="242">
        <f>'נכסים '!R15</f>
        <v>0</v>
      </c>
      <c r="S15" s="242">
        <f>'נכסים '!S15</f>
        <v>0</v>
      </c>
      <c r="T15" s="242">
        <f>'נכסים '!T15</f>
        <v>0</v>
      </c>
      <c r="U15" s="242">
        <f>'נכסים '!U15</f>
        <v>0</v>
      </c>
      <c r="V15" s="242">
        <f>'נכסים '!V15</f>
        <v>0</v>
      </c>
      <c r="W15" s="242">
        <f>'נכסים '!W15</f>
        <v>0</v>
      </c>
      <c r="X15" s="242">
        <f>'נכסים '!X15</f>
        <v>0</v>
      </c>
      <c r="Y15" s="242">
        <f>'נכסים '!Y15</f>
        <v>0</v>
      </c>
      <c r="Z15" s="242">
        <f>'נכסים '!Z15</f>
        <v>0</v>
      </c>
      <c r="AA15" s="241">
        <f>'נכסים '!AA15</f>
        <v>930000</v>
      </c>
    </row>
    <row r="16" spans="1:27" s="244" customFormat="1">
      <c r="A16" s="241">
        <f t="shared" si="2"/>
        <v>11</v>
      </c>
      <c r="B16" s="241">
        <v>1816</v>
      </c>
      <c r="C16" s="241" t="s">
        <v>246</v>
      </c>
      <c r="D16" s="242">
        <f>'נכסים '!D16</f>
        <v>565000</v>
      </c>
      <c r="E16" s="242">
        <f>'נכסים '!E16</f>
        <v>565000</v>
      </c>
      <c r="F16" s="242">
        <f>'נכסים '!F16</f>
        <v>0</v>
      </c>
      <c r="G16" s="242">
        <f>'נכסים '!G16</f>
        <v>565000</v>
      </c>
      <c r="H16" s="242">
        <f>'נכסים '!H16</f>
        <v>400000</v>
      </c>
      <c r="I16" s="242">
        <f>'נכסים '!I16</f>
        <v>0</v>
      </c>
      <c r="J16" s="242">
        <f>'נכסים '!J16</f>
        <v>0</v>
      </c>
      <c r="K16" s="242">
        <f>'נכסים '!K16</f>
        <v>0</v>
      </c>
      <c r="L16" s="242">
        <f>'נכסים '!L16</f>
        <v>400000</v>
      </c>
      <c r="M16" s="242">
        <f>'נכסים '!M16</f>
        <v>165000</v>
      </c>
      <c r="N16" s="242">
        <f>'נכסים '!N16</f>
        <v>0</v>
      </c>
      <c r="O16" s="242">
        <f>'נכסים '!O16</f>
        <v>0</v>
      </c>
      <c r="P16" s="242">
        <f>'נכסים '!P16</f>
        <v>165000</v>
      </c>
      <c r="Q16" s="242">
        <f>'נכסים '!Q16</f>
        <v>0</v>
      </c>
      <c r="R16" s="242">
        <f>'נכסים '!R16</f>
        <v>0</v>
      </c>
      <c r="S16" s="242">
        <f>'נכסים '!S16</f>
        <v>0</v>
      </c>
      <c r="T16" s="242">
        <f>'נכסים '!T16</f>
        <v>0</v>
      </c>
      <c r="U16" s="242">
        <f>'נכסים '!U16</f>
        <v>0</v>
      </c>
      <c r="V16" s="242">
        <f>'נכסים '!V16</f>
        <v>0</v>
      </c>
      <c r="W16" s="242">
        <f>'נכסים '!W16</f>
        <v>0</v>
      </c>
      <c r="X16" s="242">
        <f>'נכסים '!X16</f>
        <v>0</v>
      </c>
      <c r="Y16" s="242">
        <f>'נכסים '!Y16</f>
        <v>0</v>
      </c>
      <c r="Z16" s="242">
        <f>'נכסים '!Z16</f>
        <v>0</v>
      </c>
      <c r="AA16" s="241">
        <f>'נכסים '!AA16</f>
        <v>930000</v>
      </c>
    </row>
    <row r="17" spans="1:27" s="244" customFormat="1">
      <c r="A17" s="241">
        <f t="shared" si="2"/>
        <v>12</v>
      </c>
      <c r="B17" s="241">
        <v>1983</v>
      </c>
      <c r="C17" s="241" t="s">
        <v>375</v>
      </c>
      <c r="D17" s="242">
        <f>'נכסים '!D17</f>
        <v>800000</v>
      </c>
      <c r="E17" s="242">
        <f>'נכסים '!E17</f>
        <v>800000</v>
      </c>
      <c r="F17" s="242">
        <f>'נכסים '!F17</f>
        <v>0</v>
      </c>
      <c r="G17" s="242">
        <f>'נכסים '!G17</f>
        <v>0</v>
      </c>
      <c r="H17" s="242">
        <f>'נכסים '!H17</f>
        <v>0</v>
      </c>
      <c r="I17" s="242">
        <f>'נכסים '!I17</f>
        <v>0</v>
      </c>
      <c r="J17" s="242">
        <f>'נכסים '!J17</f>
        <v>0</v>
      </c>
      <c r="K17" s="242">
        <f>'נכסים '!K17</f>
        <v>0</v>
      </c>
      <c r="L17" s="242">
        <f>'נכסים '!L17</f>
        <v>0</v>
      </c>
      <c r="M17" s="242">
        <f>'נכסים '!M17</f>
        <v>0</v>
      </c>
      <c r="N17" s="242">
        <f>'נכסים '!N17</f>
        <v>100000</v>
      </c>
      <c r="O17" s="242">
        <f>'נכסים '!O17</f>
        <v>700000</v>
      </c>
      <c r="P17" s="242">
        <f>'נכסים '!P17</f>
        <v>0</v>
      </c>
      <c r="Q17" s="242">
        <f>'נכסים '!Q17</f>
        <v>0</v>
      </c>
      <c r="R17" s="242">
        <f>'נכסים '!R17</f>
        <v>0</v>
      </c>
      <c r="S17" s="242">
        <f>'נכסים '!S17</f>
        <v>0</v>
      </c>
      <c r="T17" s="242">
        <f>'נכסים '!T17</f>
        <v>0</v>
      </c>
      <c r="U17" s="242">
        <f>'נכסים '!U17</f>
        <v>100000</v>
      </c>
      <c r="V17" s="242">
        <f>'נכסים '!V17</f>
        <v>100000</v>
      </c>
      <c r="W17" s="242">
        <f>'נכסים '!W17</f>
        <v>0</v>
      </c>
      <c r="X17" s="242">
        <f>'נכסים '!X17</f>
        <v>0</v>
      </c>
      <c r="Y17" s="242">
        <f>'נכסים '!Y17</f>
        <v>0</v>
      </c>
      <c r="Z17" s="242">
        <f>'נכסים '!Z17</f>
        <v>0</v>
      </c>
      <c r="AA17" s="241">
        <f>'נכסים '!AA17</f>
        <v>930000</v>
      </c>
    </row>
    <row r="18" spans="1:27" s="244" customFormat="1">
      <c r="A18" s="241">
        <f t="shared" si="2"/>
        <v>13</v>
      </c>
      <c r="B18" s="241">
        <v>1984</v>
      </c>
      <c r="C18" s="241" t="s">
        <v>376</v>
      </c>
      <c r="D18" s="242">
        <f>'נכסים '!D18</f>
        <v>450000</v>
      </c>
      <c r="E18" s="242">
        <f>'נכסים '!E18</f>
        <v>450000</v>
      </c>
      <c r="F18" s="242">
        <f>'נכסים '!F18</f>
        <v>0</v>
      </c>
      <c r="G18" s="242">
        <f>'נכסים '!G18</f>
        <v>0</v>
      </c>
      <c r="H18" s="242">
        <f>'נכסים '!H18</f>
        <v>0</v>
      </c>
      <c r="I18" s="242">
        <f>'נכסים '!I18</f>
        <v>0</v>
      </c>
      <c r="J18" s="242">
        <f>'נכסים '!J18</f>
        <v>0</v>
      </c>
      <c r="K18" s="242">
        <f>'נכסים '!K18</f>
        <v>0</v>
      </c>
      <c r="L18" s="242">
        <f>'נכסים '!L18</f>
        <v>0</v>
      </c>
      <c r="M18" s="242">
        <f>'נכסים '!M18</f>
        <v>0</v>
      </c>
      <c r="N18" s="242">
        <f>'נכסים '!N18</f>
        <v>100000</v>
      </c>
      <c r="O18" s="242">
        <f>'נכסים '!O18</f>
        <v>350000</v>
      </c>
      <c r="P18" s="242">
        <f>'נכסים '!P18</f>
        <v>0</v>
      </c>
      <c r="Q18" s="242">
        <f>'נכסים '!Q18</f>
        <v>0</v>
      </c>
      <c r="R18" s="242">
        <f>'נכסים '!R18</f>
        <v>0</v>
      </c>
      <c r="S18" s="242">
        <f>'נכסים '!S18</f>
        <v>0</v>
      </c>
      <c r="T18" s="242">
        <f>'נכסים '!T18</f>
        <v>0</v>
      </c>
      <c r="U18" s="242">
        <f>'נכסים '!U18</f>
        <v>100000</v>
      </c>
      <c r="V18" s="242">
        <f>'נכסים '!V18</f>
        <v>100000</v>
      </c>
      <c r="W18" s="242">
        <f>'נכסים '!W18</f>
        <v>0</v>
      </c>
      <c r="X18" s="242">
        <f>'נכסים '!X18</f>
        <v>0</v>
      </c>
      <c r="Y18" s="242">
        <f>'נכסים '!Y18</f>
        <v>0</v>
      </c>
      <c r="Z18" s="242">
        <f>'נכסים '!Z18</f>
        <v>0</v>
      </c>
      <c r="AA18" s="241">
        <f>'נכסים '!AA18</f>
        <v>930000</v>
      </c>
    </row>
    <row r="19" spans="1:27" s="244" customFormat="1">
      <c r="A19" s="241">
        <f t="shared" si="2"/>
        <v>14</v>
      </c>
      <c r="B19" s="241">
        <v>1985</v>
      </c>
      <c r="C19" s="241" t="s">
        <v>377</v>
      </c>
      <c r="D19" s="242">
        <f>'נכסים '!D19</f>
        <v>600000</v>
      </c>
      <c r="E19" s="242">
        <f>'נכסים '!E19</f>
        <v>600000</v>
      </c>
      <c r="F19" s="242">
        <f>'נכסים '!F19</f>
        <v>0</v>
      </c>
      <c r="G19" s="242">
        <f>'נכסים '!G19</f>
        <v>0</v>
      </c>
      <c r="H19" s="242">
        <f>'נכסים '!H19</f>
        <v>0</v>
      </c>
      <c r="I19" s="242">
        <f>'נכסים '!I19</f>
        <v>0</v>
      </c>
      <c r="J19" s="242">
        <f>'נכסים '!J19</f>
        <v>0</v>
      </c>
      <c r="K19" s="242">
        <f>'נכסים '!K19</f>
        <v>0</v>
      </c>
      <c r="L19" s="242">
        <f>'נכסים '!L19</f>
        <v>0</v>
      </c>
      <c r="M19" s="242">
        <f>'נכסים '!M19</f>
        <v>0</v>
      </c>
      <c r="N19" s="242">
        <f>'נכסים '!N19</f>
        <v>100000</v>
      </c>
      <c r="O19" s="242">
        <f>'נכסים '!O19</f>
        <v>500000</v>
      </c>
      <c r="P19" s="242">
        <f>'נכסים '!P19</f>
        <v>0</v>
      </c>
      <c r="Q19" s="242">
        <f>'נכסים '!Q19</f>
        <v>0</v>
      </c>
      <c r="R19" s="242">
        <f>'נכסים '!R19</f>
        <v>0</v>
      </c>
      <c r="S19" s="242">
        <f>'נכסים '!S19</f>
        <v>0</v>
      </c>
      <c r="T19" s="242">
        <f>'נכסים '!T19</f>
        <v>0</v>
      </c>
      <c r="U19" s="242">
        <f>'נכסים '!U19</f>
        <v>100000</v>
      </c>
      <c r="V19" s="242">
        <f>'נכסים '!V19</f>
        <v>100000</v>
      </c>
      <c r="W19" s="242">
        <f>'נכסים '!W19</f>
        <v>0</v>
      </c>
      <c r="X19" s="242">
        <f>'נכסים '!X19</f>
        <v>0</v>
      </c>
      <c r="Y19" s="242">
        <f>'נכסים '!Y19</f>
        <v>0</v>
      </c>
      <c r="Z19" s="242">
        <f>'נכסים '!Z19</f>
        <v>0</v>
      </c>
      <c r="AA19" s="241">
        <f>'נכסים '!AA19</f>
        <v>930000</v>
      </c>
    </row>
    <row r="20" spans="1:27" s="244" customFormat="1">
      <c r="A20" s="241">
        <f t="shared" si="2"/>
        <v>15</v>
      </c>
      <c r="B20" s="241">
        <v>1993</v>
      </c>
      <c r="C20" s="241" t="s">
        <v>453</v>
      </c>
      <c r="D20" s="242">
        <f>'נכסים '!D20</f>
        <v>500000</v>
      </c>
      <c r="E20" s="242">
        <f>'נכסים '!E20</f>
        <v>500000</v>
      </c>
      <c r="F20" s="242">
        <f>'נכסים '!F20</f>
        <v>0</v>
      </c>
      <c r="G20" s="242">
        <f>'נכסים '!G20</f>
        <v>50000</v>
      </c>
      <c r="H20" s="242">
        <f>'נכסים '!H20</f>
        <v>0</v>
      </c>
      <c r="I20" s="242">
        <f>'נכסים '!I20</f>
        <v>0</v>
      </c>
      <c r="J20" s="242">
        <f>'נכסים '!J20</f>
        <v>0</v>
      </c>
      <c r="K20" s="242">
        <f>'נכסים '!K20</f>
        <v>0</v>
      </c>
      <c r="L20" s="242">
        <f>'נכסים '!L20</f>
        <v>0</v>
      </c>
      <c r="M20" s="242">
        <f>'נכסים '!M20</f>
        <v>50000</v>
      </c>
      <c r="N20" s="242">
        <f>'נכסים '!N20</f>
        <v>0</v>
      </c>
      <c r="O20" s="242">
        <f>'נכסים '!O20</f>
        <v>450000</v>
      </c>
      <c r="P20" s="242">
        <f>'נכסים '!P20</f>
        <v>50000</v>
      </c>
      <c r="Q20" s="242">
        <f>'נכסים '!Q20</f>
        <v>0</v>
      </c>
      <c r="R20" s="242">
        <f>'נכסים '!R20</f>
        <v>0</v>
      </c>
      <c r="S20" s="242">
        <f>'נכסים '!S20</f>
        <v>0</v>
      </c>
      <c r="T20" s="242">
        <f>'נכסים '!T20</f>
        <v>0</v>
      </c>
      <c r="U20" s="242">
        <f>'נכסים '!U20</f>
        <v>0</v>
      </c>
      <c r="V20" s="242">
        <f>'נכסים '!V20</f>
        <v>0</v>
      </c>
      <c r="W20" s="242">
        <f>'נכסים '!W20</f>
        <v>0</v>
      </c>
      <c r="X20" s="242">
        <f>'נכסים '!X20</f>
        <v>0</v>
      </c>
      <c r="Y20" s="242">
        <f>'נכסים '!Y20</f>
        <v>0</v>
      </c>
      <c r="Z20" s="242">
        <f>'נכסים '!Z20</f>
        <v>0</v>
      </c>
      <c r="AA20" s="241">
        <f>'נכסים '!AA20</f>
        <v>930000</v>
      </c>
    </row>
    <row r="21" spans="1:27" s="244" customFormat="1">
      <c r="A21" s="241">
        <f t="shared" si="2"/>
        <v>16</v>
      </c>
      <c r="B21" s="247">
        <v>2055</v>
      </c>
      <c r="C21" s="241" t="s">
        <v>506</v>
      </c>
      <c r="D21" s="242">
        <f>'נכסים '!D21</f>
        <v>220000</v>
      </c>
      <c r="E21" s="242">
        <f>'נכסים '!E21</f>
        <v>0</v>
      </c>
      <c r="F21" s="242">
        <f>'נכסים '!F21</f>
        <v>220000</v>
      </c>
      <c r="G21" s="242">
        <f>'נכסים '!G21</f>
        <v>0</v>
      </c>
      <c r="H21" s="242">
        <f>'נכסים '!H21</f>
        <v>0</v>
      </c>
      <c r="I21" s="242">
        <f>'נכסים '!I21</f>
        <v>0</v>
      </c>
      <c r="J21" s="242">
        <f>'נכסים '!J21</f>
        <v>0</v>
      </c>
      <c r="K21" s="242">
        <f>'נכסים '!K21</f>
        <v>0</v>
      </c>
      <c r="L21" s="242">
        <f>'נכסים '!L21</f>
        <v>0</v>
      </c>
      <c r="M21" s="242">
        <f>'נכסים '!M21</f>
        <v>0</v>
      </c>
      <c r="N21" s="242">
        <f>'נכסים '!N21</f>
        <v>220000</v>
      </c>
      <c r="O21" s="242">
        <f>'נכסים '!O21</f>
        <v>0</v>
      </c>
      <c r="P21" s="242">
        <f>'נכסים '!P21</f>
        <v>0</v>
      </c>
      <c r="Q21" s="242">
        <f>'נכסים '!Q21</f>
        <v>0</v>
      </c>
      <c r="R21" s="242">
        <f>'נכסים '!R21</f>
        <v>0</v>
      </c>
      <c r="S21" s="242">
        <f>'נכסים '!S21</f>
        <v>0</v>
      </c>
      <c r="T21" s="242">
        <f>'נכסים '!T21</f>
        <v>0</v>
      </c>
      <c r="U21" s="242">
        <f>'נכסים '!U21</f>
        <v>220000</v>
      </c>
      <c r="V21" s="242">
        <f>'נכסים '!V21</f>
        <v>220000</v>
      </c>
      <c r="W21" s="242">
        <f>'נכסים '!W21</f>
        <v>0</v>
      </c>
      <c r="X21" s="242">
        <f>'נכסים '!X21</f>
        <v>0</v>
      </c>
      <c r="Y21" s="242">
        <f>'נכסים '!Y21</f>
        <v>0</v>
      </c>
      <c r="Z21" s="242">
        <f>'נכסים '!Z21</f>
        <v>0</v>
      </c>
      <c r="AA21" s="241">
        <f>'נכסים '!AA21</f>
        <v>930000</v>
      </c>
    </row>
    <row r="22" spans="1:27" s="244" customFormat="1" ht="30">
      <c r="A22" s="241">
        <f t="shared" si="2"/>
        <v>17</v>
      </c>
      <c r="B22" s="247">
        <v>2056</v>
      </c>
      <c r="C22" s="241" t="s">
        <v>933</v>
      </c>
      <c r="D22" s="242">
        <f>'נכסים '!D22</f>
        <v>1400000</v>
      </c>
      <c r="E22" s="242">
        <f>'נכסים '!E22</f>
        <v>0</v>
      </c>
      <c r="F22" s="242">
        <f>'נכסים '!F22</f>
        <v>1400000</v>
      </c>
      <c r="G22" s="242">
        <f>'נכסים '!G22</f>
        <v>0</v>
      </c>
      <c r="H22" s="242">
        <f>'נכסים '!H22</f>
        <v>0</v>
      </c>
      <c r="I22" s="242">
        <f>'נכסים '!I22</f>
        <v>0</v>
      </c>
      <c r="J22" s="242">
        <f>'נכסים '!J22</f>
        <v>0</v>
      </c>
      <c r="K22" s="242">
        <f>'נכסים '!K22</f>
        <v>0</v>
      </c>
      <c r="L22" s="242">
        <f>'נכסים '!L22</f>
        <v>0</v>
      </c>
      <c r="M22" s="242">
        <f>'נכסים '!M22</f>
        <v>0</v>
      </c>
      <c r="N22" s="242">
        <f>'נכסים '!N22</f>
        <v>100000</v>
      </c>
      <c r="O22" s="242">
        <f>'נכסים '!O22</f>
        <v>1300000</v>
      </c>
      <c r="P22" s="242">
        <f>'נכסים '!P22</f>
        <v>0</v>
      </c>
      <c r="Q22" s="242">
        <f>'נכסים '!Q22</f>
        <v>0</v>
      </c>
      <c r="R22" s="242">
        <f>'נכסים '!R22</f>
        <v>0</v>
      </c>
      <c r="S22" s="242">
        <f>'נכסים '!S22</f>
        <v>0</v>
      </c>
      <c r="T22" s="242">
        <f>'נכסים '!T22</f>
        <v>0</v>
      </c>
      <c r="U22" s="242">
        <f>'נכסים '!U22</f>
        <v>100000</v>
      </c>
      <c r="V22" s="242">
        <f>'נכסים '!V22</f>
        <v>100000</v>
      </c>
      <c r="W22" s="242">
        <f>'נכסים '!W22</f>
        <v>0</v>
      </c>
      <c r="X22" s="242">
        <f>'נכסים '!X22</f>
        <v>0</v>
      </c>
      <c r="Y22" s="242">
        <f>'נכסים '!Y22</f>
        <v>0</v>
      </c>
      <c r="Z22" s="242">
        <f>'נכסים '!Z22</f>
        <v>0</v>
      </c>
      <c r="AA22" s="241">
        <f>'נכסים '!AA22</f>
        <v>930000</v>
      </c>
    </row>
    <row r="23" spans="1:27" s="250" customFormat="1" ht="15.75">
      <c r="A23" s="248">
        <f>A22</f>
        <v>17</v>
      </c>
      <c r="B23" s="248">
        <v>11</v>
      </c>
      <c r="C23" s="248" t="s">
        <v>1046</v>
      </c>
      <c r="D23" s="249">
        <f t="shared" ref="D23:Z23" si="3">SUM(D6:D22)</f>
        <v>153914700</v>
      </c>
      <c r="E23" s="249">
        <f t="shared" si="3"/>
        <v>152144700</v>
      </c>
      <c r="F23" s="249">
        <f t="shared" si="3"/>
        <v>1770000</v>
      </c>
      <c r="G23" s="249">
        <f t="shared" si="3"/>
        <v>86547525</v>
      </c>
      <c r="H23" s="249">
        <f t="shared" si="3"/>
        <v>67054113.32</v>
      </c>
      <c r="I23" s="249">
        <f t="shared" si="3"/>
        <v>0</v>
      </c>
      <c r="J23" s="249">
        <f t="shared" si="3"/>
        <v>25119.5</v>
      </c>
      <c r="K23" s="249">
        <f t="shared" si="3"/>
        <v>25119.5</v>
      </c>
      <c r="L23" s="249">
        <f t="shared" si="3"/>
        <v>67079232.82</v>
      </c>
      <c r="M23" s="249">
        <f t="shared" si="3"/>
        <v>19468292.18</v>
      </c>
      <c r="N23" s="249">
        <f t="shared" si="3"/>
        <v>3070000</v>
      </c>
      <c r="O23" s="249">
        <f t="shared" si="3"/>
        <v>64297175</v>
      </c>
      <c r="P23" s="249">
        <f t="shared" si="3"/>
        <v>19468292.18</v>
      </c>
      <c r="Q23" s="249">
        <f t="shared" si="3"/>
        <v>0</v>
      </c>
      <c r="R23" s="249">
        <f t="shared" si="3"/>
        <v>0</v>
      </c>
      <c r="S23" s="249">
        <f t="shared" si="3"/>
        <v>0</v>
      </c>
      <c r="T23" s="249">
        <f t="shared" si="3"/>
        <v>0</v>
      </c>
      <c r="U23" s="249">
        <f t="shared" si="3"/>
        <v>3070000</v>
      </c>
      <c r="V23" s="249">
        <f t="shared" si="3"/>
        <v>3070000</v>
      </c>
      <c r="W23" s="249">
        <f t="shared" si="3"/>
        <v>0</v>
      </c>
      <c r="X23" s="249">
        <f t="shared" si="3"/>
        <v>0</v>
      </c>
      <c r="Y23" s="249">
        <f t="shared" si="3"/>
        <v>0</v>
      </c>
      <c r="Z23" s="249">
        <f t="shared" si="3"/>
        <v>0</v>
      </c>
      <c r="AA23" s="248"/>
    </row>
    <row r="24" spans="1:27" s="246" customFormat="1">
      <c r="A24" s="233"/>
      <c r="B24" s="233"/>
      <c r="C24" s="233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33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10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4" spans="1:17" ht="20.25">
      <c r="A4" s="708"/>
      <c r="C4" s="710" t="s">
        <v>1027</v>
      </c>
      <c r="D4" s="708"/>
      <c r="E4" s="708"/>
      <c r="F4" s="708"/>
      <c r="G4" s="708"/>
      <c r="H4" s="708"/>
      <c r="I4" s="708"/>
      <c r="J4" s="708"/>
      <c r="K4" s="708"/>
      <c r="L4" s="708"/>
    </row>
    <row r="5" spans="1:17" ht="21" thickBot="1">
      <c r="A5" s="708"/>
      <c r="C5" s="710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B6" s="711" t="s">
        <v>455</v>
      </c>
      <c r="C6" s="708" t="s">
        <v>1020</v>
      </c>
      <c r="D6" s="708"/>
      <c r="E6" s="708"/>
      <c r="F6" s="712">
        <f>'שיפוצי בתים עמידר'!U9</f>
        <v>13750000</v>
      </c>
      <c r="I6" s="708"/>
      <c r="J6" s="708"/>
      <c r="K6" s="708"/>
      <c r="L6" s="708"/>
    </row>
    <row r="7" spans="1:17" ht="15.75">
      <c r="B7" s="711"/>
      <c r="C7" s="708"/>
      <c r="D7" s="708"/>
      <c r="E7" s="708"/>
      <c r="F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 t="s">
        <v>455</v>
      </c>
      <c r="C8" s="708" t="s">
        <v>1028</v>
      </c>
      <c r="D8" s="708"/>
      <c r="E8" s="708"/>
      <c r="F8" s="708"/>
      <c r="G8" s="708"/>
      <c r="H8" s="708"/>
      <c r="I8" s="708"/>
      <c r="J8" s="708"/>
      <c r="K8" s="708"/>
      <c r="L8" s="708"/>
    </row>
    <row r="9" spans="1:17" ht="15.75">
      <c r="B9" s="711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B10" s="711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G17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6.140625" style="29" customWidth="1"/>
    <col min="4" max="4" width="11" style="31" customWidth="1"/>
    <col min="5" max="5" width="10.85546875" style="31" customWidth="1"/>
    <col min="6" max="6" width="10.28515625" style="31" customWidth="1"/>
    <col min="7" max="10" width="12.7109375" style="31" hidden="1" customWidth="1"/>
    <col min="11" max="11" width="11.28515625" style="31" hidden="1" customWidth="1"/>
    <col min="12" max="12" width="10.7109375" style="31" customWidth="1"/>
    <col min="13" max="13" width="10.85546875" style="31" customWidth="1"/>
    <col min="14" max="14" width="11.140625" style="31" bestFit="1" customWidth="1"/>
    <col min="15" max="15" width="11.140625" style="31" customWidth="1"/>
    <col min="16" max="17" width="11.140625" style="31" hidden="1" customWidth="1"/>
    <col min="18" max="19" width="12" style="31" hidden="1" customWidth="1"/>
    <col min="20" max="20" width="10" style="31" hidden="1" customWidth="1"/>
    <col min="21" max="21" width="11.85546875" style="29" bestFit="1" customWidth="1"/>
    <col min="22" max="22" width="10.28515625" style="29" bestFit="1" customWidth="1"/>
    <col min="23" max="23" width="9.5703125" style="29" hidden="1" customWidth="1"/>
    <col min="24" max="25" width="9" style="29" hidden="1" customWidth="1"/>
    <col min="26" max="26" width="11.140625" style="29" customWidth="1"/>
    <col min="27" max="27" width="7.85546875" style="29" hidden="1" customWidth="1"/>
    <col min="28" max="28" width="27.5703125" style="29" customWidth="1"/>
    <col min="29" max="29" width="26.5703125" style="29" customWidth="1"/>
    <col min="30" max="16384" width="9.140625" style="29"/>
  </cols>
  <sheetData>
    <row r="2" spans="1:33" ht="18.75">
      <c r="A2" s="194" t="s">
        <v>226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4" spans="1:33" s="67" customFormat="1" ht="86.25" customHeight="1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9</v>
      </c>
      <c r="J4" s="21" t="s">
        <v>423</v>
      </c>
      <c r="K4" s="21" t="s">
        <v>10</v>
      </c>
      <c r="L4" s="21" t="s">
        <v>11</v>
      </c>
      <c r="M4" s="21" t="s">
        <v>414</v>
      </c>
      <c r="N4" s="21" t="s">
        <v>415</v>
      </c>
      <c r="O4" s="21" t="s">
        <v>416</v>
      </c>
      <c r="P4" s="21" t="s">
        <v>12</v>
      </c>
      <c r="Q4" s="21" t="s">
        <v>417</v>
      </c>
      <c r="R4" s="21" t="s">
        <v>418</v>
      </c>
      <c r="S4" s="21" t="s">
        <v>419</v>
      </c>
      <c r="T4" s="21" t="s">
        <v>420</v>
      </c>
      <c r="U4" s="21" t="s">
        <v>421</v>
      </c>
      <c r="V4" s="21" t="s">
        <v>13</v>
      </c>
      <c r="W4" s="21" t="s">
        <v>14</v>
      </c>
      <c r="X4" s="21" t="s">
        <v>15</v>
      </c>
      <c r="Y4" s="21" t="s">
        <v>914</v>
      </c>
      <c r="Z4" s="21" t="s">
        <v>184</v>
      </c>
      <c r="AA4" s="21" t="s">
        <v>16</v>
      </c>
      <c r="AB4" s="29"/>
      <c r="AC4" s="29"/>
      <c r="AD4" s="29"/>
      <c r="AE4" s="29"/>
      <c r="AF4" s="29"/>
      <c r="AG4" s="29"/>
    </row>
    <row r="5" spans="1:33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90"/>
      <c r="AB5" s="29"/>
      <c r="AC5" s="29"/>
      <c r="AD5" s="29"/>
      <c r="AE5" s="29"/>
      <c r="AF5" s="29"/>
      <c r="AG5" s="29"/>
    </row>
    <row r="6" spans="1:33" s="15" customFormat="1">
      <c r="A6" s="13">
        <v>1</v>
      </c>
      <c r="B6" s="13">
        <v>529</v>
      </c>
      <c r="C6" s="13" t="s">
        <v>138</v>
      </c>
      <c r="D6" s="14">
        <v>550000</v>
      </c>
      <c r="E6" s="14">
        <v>550000</v>
      </c>
      <c r="F6" s="14">
        <f>D6-E6</f>
        <v>0</v>
      </c>
      <c r="G6" s="14">
        <v>500000</v>
      </c>
      <c r="H6" s="14">
        <v>416252.8</v>
      </c>
      <c r="I6" s="14"/>
      <c r="J6" s="14"/>
      <c r="K6" s="14">
        <f>SUM(I6:J6)</f>
        <v>0</v>
      </c>
      <c r="L6" s="14">
        <f>H6+K6</f>
        <v>416252.8</v>
      </c>
      <c r="M6" s="14">
        <f>P6+S6</f>
        <v>83747.200000000012</v>
      </c>
      <c r="N6" s="14">
        <v>50000</v>
      </c>
      <c r="O6" s="14">
        <f>D6-L6-M6-N6</f>
        <v>0</v>
      </c>
      <c r="P6" s="14">
        <f>G6-L6</f>
        <v>83747.200000000012</v>
      </c>
      <c r="Q6" s="14"/>
      <c r="R6" s="14"/>
      <c r="S6" s="14">
        <f>SUM(Q6:R6)</f>
        <v>0</v>
      </c>
      <c r="T6" s="14">
        <f>P6-M6+S6</f>
        <v>0</v>
      </c>
      <c r="U6" s="14">
        <f>N6-T6</f>
        <v>50000</v>
      </c>
      <c r="V6" s="14">
        <f>U6-W6-Y6-Z6</f>
        <v>50000</v>
      </c>
      <c r="W6" s="14"/>
      <c r="X6" s="14"/>
      <c r="Y6" s="14"/>
      <c r="Z6" s="14"/>
      <c r="AA6" s="13">
        <v>764000</v>
      </c>
      <c r="AB6" s="29"/>
      <c r="AC6" s="29"/>
      <c r="AD6" s="29"/>
      <c r="AE6" s="29"/>
      <c r="AF6" s="29"/>
      <c r="AG6" s="29"/>
    </row>
    <row r="7" spans="1:33" s="15" customFormat="1">
      <c r="A7" s="13">
        <f>A6+1</f>
        <v>2</v>
      </c>
      <c r="B7" s="13">
        <v>1209</v>
      </c>
      <c r="C7" s="13" t="s">
        <v>139</v>
      </c>
      <c r="D7" s="14">
        <f>1940000-1000000</f>
        <v>940000</v>
      </c>
      <c r="E7" s="14">
        <v>940000</v>
      </c>
      <c r="F7" s="14">
        <f>D7-E7</f>
        <v>0</v>
      </c>
      <c r="G7" s="14">
        <v>940000</v>
      </c>
      <c r="H7" s="14">
        <v>912429</v>
      </c>
      <c r="I7" s="14"/>
      <c r="J7" s="14"/>
      <c r="K7" s="14">
        <f>SUM(I7:J7)</f>
        <v>0</v>
      </c>
      <c r="L7" s="14">
        <f>H7+K7</f>
        <v>912429</v>
      </c>
      <c r="M7" s="14">
        <f>P7+S7</f>
        <v>27571</v>
      </c>
      <c r="N7" s="14"/>
      <c r="O7" s="14">
        <f>D7-L7-M7-N7</f>
        <v>0</v>
      </c>
      <c r="P7" s="14">
        <f>G7-L7</f>
        <v>27571</v>
      </c>
      <c r="Q7" s="14"/>
      <c r="R7" s="14"/>
      <c r="S7" s="14">
        <f>SUM(Q7:R7)</f>
        <v>0</v>
      </c>
      <c r="T7" s="14">
        <f>P7-M7+S7</f>
        <v>0</v>
      </c>
      <c r="U7" s="14">
        <f>N7-T7</f>
        <v>0</v>
      </c>
      <c r="V7" s="14">
        <f>U7-W7-Y7-Z7</f>
        <v>0</v>
      </c>
      <c r="W7" s="14"/>
      <c r="X7" s="14"/>
      <c r="Y7" s="14"/>
      <c r="Z7" s="14"/>
      <c r="AA7" s="13">
        <v>870000</v>
      </c>
      <c r="AB7" s="29"/>
      <c r="AC7" s="29"/>
      <c r="AD7" s="29"/>
      <c r="AE7" s="29"/>
      <c r="AF7" s="29"/>
      <c r="AG7" s="29"/>
    </row>
    <row r="8" spans="1:33" s="15" customFormat="1" ht="16.899999999999999" customHeight="1">
      <c r="A8" s="13">
        <v>3</v>
      </c>
      <c r="B8" s="13">
        <v>1210</v>
      </c>
      <c r="C8" s="13" t="s">
        <v>140</v>
      </c>
      <c r="D8" s="14">
        <v>88000000</v>
      </c>
      <c r="E8" s="14">
        <v>77000000</v>
      </c>
      <c r="F8" s="14">
        <f>D8-E8</f>
        <v>11000000</v>
      </c>
      <c r="G8" s="14">
        <v>59250000</v>
      </c>
      <c r="H8" s="14">
        <v>57813996</v>
      </c>
      <c r="I8" s="14"/>
      <c r="J8" s="14"/>
      <c r="K8" s="14">
        <f>SUM(I8:J8)</f>
        <v>0</v>
      </c>
      <c r="L8" s="14">
        <f>H8+K8</f>
        <v>57813996</v>
      </c>
      <c r="M8" s="14">
        <f>P8+S8</f>
        <v>2936004</v>
      </c>
      <c r="N8" s="14">
        <v>13700000</v>
      </c>
      <c r="O8" s="14">
        <f>D8-L8-M8-N8</f>
        <v>13550000</v>
      </c>
      <c r="P8" s="14">
        <f>G8-L8</f>
        <v>1436004</v>
      </c>
      <c r="Q8" s="14">
        <v>1500000</v>
      </c>
      <c r="R8" s="14"/>
      <c r="S8" s="14">
        <f>SUM(Q8:R8)</f>
        <v>1500000</v>
      </c>
      <c r="T8" s="14">
        <f>P8-M8+S8</f>
        <v>0</v>
      </c>
      <c r="U8" s="14">
        <f>N8-T8</f>
        <v>13700000</v>
      </c>
      <c r="V8" s="14">
        <f>U8-W8-Y8-Z8</f>
        <v>0</v>
      </c>
      <c r="W8" s="14"/>
      <c r="X8" s="14"/>
      <c r="Y8" s="14"/>
      <c r="Z8" s="14">
        <v>13700000</v>
      </c>
      <c r="AA8" s="13">
        <v>870000</v>
      </c>
      <c r="AB8" s="29"/>
      <c r="AC8" s="29"/>
      <c r="AD8" s="29"/>
      <c r="AE8" s="29"/>
      <c r="AF8" s="29"/>
      <c r="AG8" s="29"/>
    </row>
    <row r="9" spans="1:33" s="99" customFormat="1" ht="15.75">
      <c r="A9" s="85">
        <f>A8</f>
        <v>3</v>
      </c>
      <c r="B9" s="85" t="s">
        <v>82</v>
      </c>
      <c r="C9" s="85" t="s">
        <v>141</v>
      </c>
      <c r="D9" s="27">
        <f t="shared" ref="D9:Z9" si="0">SUM(D6:D8)</f>
        <v>89490000</v>
      </c>
      <c r="E9" s="27">
        <f t="shared" si="0"/>
        <v>78490000</v>
      </c>
      <c r="F9" s="27">
        <f t="shared" si="0"/>
        <v>11000000</v>
      </c>
      <c r="G9" s="27">
        <f t="shared" si="0"/>
        <v>60690000</v>
      </c>
      <c r="H9" s="27">
        <f t="shared" si="0"/>
        <v>59142677.799999997</v>
      </c>
      <c r="I9" s="27">
        <f t="shared" si="0"/>
        <v>0</v>
      </c>
      <c r="J9" s="27">
        <f t="shared" si="0"/>
        <v>0</v>
      </c>
      <c r="K9" s="27">
        <f t="shared" si="0"/>
        <v>0</v>
      </c>
      <c r="L9" s="27">
        <f t="shared" si="0"/>
        <v>59142677.799999997</v>
      </c>
      <c r="M9" s="27">
        <f t="shared" si="0"/>
        <v>3047322.2</v>
      </c>
      <c r="N9" s="27">
        <f t="shared" si="0"/>
        <v>13750000</v>
      </c>
      <c r="O9" s="27">
        <f t="shared" si="0"/>
        <v>13550000</v>
      </c>
      <c r="P9" s="27">
        <f t="shared" si="0"/>
        <v>1547322.2</v>
      </c>
      <c r="Q9" s="27">
        <f t="shared" si="0"/>
        <v>1500000</v>
      </c>
      <c r="R9" s="27">
        <f t="shared" si="0"/>
        <v>0</v>
      </c>
      <c r="S9" s="27">
        <f t="shared" si="0"/>
        <v>1500000</v>
      </c>
      <c r="T9" s="27">
        <f t="shared" si="0"/>
        <v>0</v>
      </c>
      <c r="U9" s="27">
        <f t="shared" si="0"/>
        <v>13750000</v>
      </c>
      <c r="V9" s="27">
        <f t="shared" si="0"/>
        <v>50000</v>
      </c>
      <c r="W9" s="27">
        <f t="shared" si="0"/>
        <v>0</v>
      </c>
      <c r="X9" s="27">
        <f>SUM(X6:X8)</f>
        <v>0</v>
      </c>
      <c r="Y9" s="27">
        <f t="shared" si="0"/>
        <v>0</v>
      </c>
      <c r="Z9" s="27">
        <f t="shared" si="0"/>
        <v>13700000</v>
      </c>
      <c r="AA9" s="85"/>
      <c r="AB9" s="29"/>
      <c r="AC9" s="29"/>
      <c r="AD9" s="29"/>
      <c r="AE9" s="29"/>
      <c r="AF9" s="29"/>
      <c r="AG9" s="29"/>
    </row>
    <row r="10" spans="1:33" s="15" customFormat="1">
      <c r="A10" s="13"/>
      <c r="B10" s="13"/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>
        <f>D10-L10-M10-N10</f>
        <v>0</v>
      </c>
      <c r="P10" s="14"/>
      <c r="Q10" s="14"/>
      <c r="R10" s="14"/>
      <c r="S10" s="14"/>
      <c r="T10" s="14">
        <f>P10-M10+R10</f>
        <v>0</v>
      </c>
      <c r="U10" s="14">
        <f>N10-T10</f>
        <v>0</v>
      </c>
      <c r="V10" s="14"/>
      <c r="W10" s="14"/>
      <c r="X10" s="14"/>
      <c r="Y10" s="14"/>
      <c r="Z10" s="13"/>
      <c r="AA10" s="13"/>
      <c r="AB10" s="29"/>
      <c r="AC10" s="29"/>
      <c r="AD10" s="29"/>
      <c r="AE10" s="29"/>
      <c r="AF10" s="29"/>
      <c r="AG10" s="29"/>
    </row>
    <row r="11" spans="1:33">
      <c r="K11" s="52"/>
      <c r="L11" s="52"/>
      <c r="M11" s="52"/>
      <c r="N11" s="88"/>
      <c r="O11" s="52"/>
      <c r="P11" s="52"/>
      <c r="Q11" s="52"/>
    </row>
    <row r="12" spans="1:33" hidden="1"/>
    <row r="13" spans="1:33" hidden="1">
      <c r="P13" s="31" t="s">
        <v>372</v>
      </c>
      <c r="Q13" s="45">
        <f>'[2]שיפוצי בתים עמידר'!$AY$12</f>
        <v>3400000</v>
      </c>
    </row>
    <row r="14" spans="1:33" hidden="1"/>
    <row r="15" spans="1:33" hidden="1">
      <c r="P15" s="31" t="s">
        <v>395</v>
      </c>
      <c r="Q15" s="31" t="e">
        <f>'[3]שיפוצי בתים עמידר'!$AZ$11</f>
        <v>#REF!</v>
      </c>
    </row>
    <row r="16" spans="1:33" hidden="1">
      <c r="P16" s="31" t="s">
        <v>396</v>
      </c>
      <c r="Q16" s="31" t="e">
        <f>'[4]שיפוצי בתים עמידר'!$BF$11</f>
        <v>#REF!</v>
      </c>
    </row>
    <row r="17" spans="17:17" hidden="1">
      <c r="Q17" s="31" t="e">
        <f>SUM(Q15:Q16)</f>
        <v>#REF!</v>
      </c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21"/>
  <sheetViews>
    <sheetView showZeros="0" rightToLeft="1" zoomScaleNormal="100" workbookViewId="0">
      <pane xSplit="3" ySplit="4" topLeftCell="D5" activePane="bottomRight" state="frozen"/>
      <selection activeCell="E28" sqref="E28"/>
      <selection pane="topRight" activeCell="E28" sqref="E28"/>
      <selection pane="bottomLeft" activeCell="E28" sqref="E28"/>
      <selection pane="bottomRight" activeCell="AB23" sqref="AB23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6.140625" style="29" customWidth="1"/>
    <col min="4" max="4" width="11" style="31" customWidth="1"/>
    <col min="5" max="5" width="10.85546875" style="31" hidden="1" customWidth="1"/>
    <col min="6" max="6" width="10.28515625" style="31" hidden="1" customWidth="1"/>
    <col min="7" max="10" width="12.7109375" style="31" hidden="1" customWidth="1"/>
    <col min="11" max="11" width="11.28515625" style="31" hidden="1" customWidth="1"/>
    <col min="12" max="12" width="10.7109375" style="31" customWidth="1"/>
    <col min="13" max="13" width="10.85546875" style="31" customWidth="1"/>
    <col min="14" max="14" width="11.140625" style="31" bestFit="1" customWidth="1"/>
    <col min="15" max="15" width="11.140625" style="31" customWidth="1"/>
    <col min="16" max="17" width="11.140625" style="31" hidden="1" customWidth="1"/>
    <col min="18" max="19" width="12" style="31" hidden="1" customWidth="1"/>
    <col min="20" max="20" width="10" style="31" hidden="1" customWidth="1"/>
    <col min="21" max="21" width="11.85546875" style="29" bestFit="1" customWidth="1"/>
    <col min="22" max="22" width="10.28515625" style="29" bestFit="1" customWidth="1"/>
    <col min="23" max="23" width="9.5703125" style="29" customWidth="1"/>
    <col min="24" max="25" width="9" style="29" customWidth="1"/>
    <col min="26" max="26" width="11.140625" style="29" customWidth="1"/>
    <col min="27" max="27" width="7.85546875" style="29" customWidth="1"/>
    <col min="28" max="28" width="27.5703125" style="29" customWidth="1"/>
    <col min="29" max="29" width="26.5703125" style="29" customWidth="1"/>
    <col min="30" max="16384" width="9.140625" style="29"/>
  </cols>
  <sheetData>
    <row r="2" spans="1:34" ht="18.75">
      <c r="A2" s="194" t="s">
        <v>226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4" spans="1:34" s="67" customFormat="1" ht="86.25" customHeight="1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9</v>
      </c>
      <c r="J4" s="21" t="s">
        <v>423</v>
      </c>
      <c r="K4" s="21" t="s">
        <v>10</v>
      </c>
      <c r="L4" s="21" t="s">
        <v>11</v>
      </c>
      <c r="M4" s="21" t="s">
        <v>414</v>
      </c>
      <c r="N4" s="21" t="s">
        <v>415</v>
      </c>
      <c r="O4" s="21" t="s">
        <v>416</v>
      </c>
      <c r="P4" s="21" t="s">
        <v>12</v>
      </c>
      <c r="Q4" s="21" t="s">
        <v>417</v>
      </c>
      <c r="R4" s="21" t="s">
        <v>418</v>
      </c>
      <c r="S4" s="21" t="s">
        <v>419</v>
      </c>
      <c r="T4" s="21" t="s">
        <v>420</v>
      </c>
      <c r="U4" s="21" t="s">
        <v>421</v>
      </c>
      <c r="V4" s="21" t="s">
        <v>13</v>
      </c>
      <c r="W4" s="21" t="s">
        <v>14</v>
      </c>
      <c r="X4" s="21" t="s">
        <v>15</v>
      </c>
      <c r="Y4" s="21" t="s">
        <v>914</v>
      </c>
      <c r="Z4" s="21" t="s">
        <v>184</v>
      </c>
      <c r="AA4" s="21" t="s">
        <v>16</v>
      </c>
      <c r="AB4" s="29"/>
      <c r="AC4" s="29"/>
    </row>
    <row r="5" spans="1:34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90"/>
      <c r="AB5" s="29"/>
      <c r="AC5" s="29"/>
    </row>
    <row r="6" spans="1:34" s="15" customFormat="1">
      <c r="A6" s="13">
        <v>1</v>
      </c>
      <c r="B6" s="13">
        <v>529</v>
      </c>
      <c r="C6" s="13" t="s">
        <v>138</v>
      </c>
      <c r="D6" s="14">
        <f>'שיפוצי בתים עמידר'!D6</f>
        <v>550000</v>
      </c>
      <c r="E6" s="14">
        <f>'שיפוצי בתים עמידר'!E6</f>
        <v>550000</v>
      </c>
      <c r="F6" s="14">
        <f>'שיפוצי בתים עמידר'!F6</f>
        <v>0</v>
      </c>
      <c r="G6" s="14">
        <f>'שיפוצי בתים עמידר'!G6</f>
        <v>500000</v>
      </c>
      <c r="H6" s="14">
        <f>'שיפוצי בתים עמידר'!H6</f>
        <v>416252.8</v>
      </c>
      <c r="I6" s="14">
        <f>'שיפוצי בתים עמידר'!I6</f>
        <v>0</v>
      </c>
      <c r="J6" s="14">
        <f>'שיפוצי בתים עמידר'!J6</f>
        <v>0</v>
      </c>
      <c r="K6" s="14">
        <f>'שיפוצי בתים עמידר'!K6</f>
        <v>0</v>
      </c>
      <c r="L6" s="14">
        <f>'שיפוצי בתים עמידר'!L6</f>
        <v>416252.8</v>
      </c>
      <c r="M6" s="14">
        <f>'שיפוצי בתים עמידר'!M6</f>
        <v>83747.200000000012</v>
      </c>
      <c r="N6" s="14">
        <f>'שיפוצי בתים עמידר'!N6</f>
        <v>50000</v>
      </c>
      <c r="O6" s="14">
        <f>'שיפוצי בתים עמידר'!O6</f>
        <v>0</v>
      </c>
      <c r="P6" s="14">
        <f>'שיפוצי בתים עמידר'!P6</f>
        <v>83747.200000000012</v>
      </c>
      <c r="Q6" s="14">
        <f>'שיפוצי בתים עמידר'!Q6</f>
        <v>0</v>
      </c>
      <c r="R6" s="14">
        <f>'שיפוצי בתים עמידר'!R6</f>
        <v>0</v>
      </c>
      <c r="S6" s="14">
        <f>'שיפוצי בתים עמידר'!S6</f>
        <v>0</v>
      </c>
      <c r="T6" s="14">
        <f>'שיפוצי בתים עמידר'!T6</f>
        <v>0</v>
      </c>
      <c r="U6" s="14">
        <f>'שיפוצי בתים עמידר'!U6</f>
        <v>50000</v>
      </c>
      <c r="V6" s="14">
        <f>'שיפוצי בתים עמידר'!V6</f>
        <v>50000</v>
      </c>
      <c r="W6" s="14">
        <f>'שיפוצי בתים עמידר'!W6</f>
        <v>0</v>
      </c>
      <c r="X6" s="14">
        <f>'שיפוצי בתים עמידר'!X6</f>
        <v>0</v>
      </c>
      <c r="Y6" s="14">
        <f>'שיפוצי בתים עמידר'!Y6</f>
        <v>0</v>
      </c>
      <c r="Z6" s="14">
        <f>'שיפוצי בתים עמידר'!Z6</f>
        <v>0</v>
      </c>
      <c r="AA6" s="13">
        <f>'שיפוצי בתים עמידר'!AA6</f>
        <v>764000</v>
      </c>
      <c r="AB6" s="29"/>
      <c r="AC6" s="29"/>
    </row>
    <row r="7" spans="1:34" s="149" customFormat="1">
      <c r="A7" s="81"/>
      <c r="B7" s="81">
        <v>5</v>
      </c>
      <c r="C7" s="81" t="s">
        <v>1039</v>
      </c>
      <c r="D7" s="198">
        <f>SUM(D6)</f>
        <v>550000</v>
      </c>
      <c r="E7" s="198">
        <f t="shared" ref="E7:Z7" si="0">SUM(E6)</f>
        <v>550000</v>
      </c>
      <c r="F7" s="198">
        <f t="shared" si="0"/>
        <v>0</v>
      </c>
      <c r="G7" s="198">
        <f t="shared" si="0"/>
        <v>500000</v>
      </c>
      <c r="H7" s="198">
        <f t="shared" si="0"/>
        <v>416252.8</v>
      </c>
      <c r="I7" s="198">
        <f t="shared" si="0"/>
        <v>0</v>
      </c>
      <c r="J7" s="198">
        <f t="shared" si="0"/>
        <v>0</v>
      </c>
      <c r="K7" s="198">
        <f t="shared" si="0"/>
        <v>0</v>
      </c>
      <c r="L7" s="198">
        <f t="shared" si="0"/>
        <v>416252.8</v>
      </c>
      <c r="M7" s="198">
        <f t="shared" si="0"/>
        <v>83747.200000000012</v>
      </c>
      <c r="N7" s="198">
        <f t="shared" si="0"/>
        <v>50000</v>
      </c>
      <c r="O7" s="198">
        <f t="shared" si="0"/>
        <v>0</v>
      </c>
      <c r="P7" s="198">
        <f t="shared" si="0"/>
        <v>83747.200000000012</v>
      </c>
      <c r="Q7" s="198">
        <f t="shared" si="0"/>
        <v>0</v>
      </c>
      <c r="R7" s="198">
        <f t="shared" si="0"/>
        <v>0</v>
      </c>
      <c r="S7" s="198">
        <f t="shared" si="0"/>
        <v>0</v>
      </c>
      <c r="T7" s="198">
        <f t="shared" si="0"/>
        <v>0</v>
      </c>
      <c r="U7" s="198">
        <f t="shared" si="0"/>
        <v>50000</v>
      </c>
      <c r="V7" s="198">
        <f t="shared" si="0"/>
        <v>50000</v>
      </c>
      <c r="W7" s="198">
        <f t="shared" si="0"/>
        <v>0</v>
      </c>
      <c r="X7" s="198">
        <f t="shared" si="0"/>
        <v>0</v>
      </c>
      <c r="Y7" s="198">
        <f t="shared" si="0"/>
        <v>0</v>
      </c>
      <c r="Z7" s="198">
        <f t="shared" si="0"/>
        <v>0</v>
      </c>
      <c r="AA7" s="763"/>
      <c r="AB7" s="29"/>
      <c r="AC7" s="29"/>
      <c r="AD7" s="766"/>
      <c r="AE7" s="766"/>
      <c r="AF7" s="767"/>
      <c r="AG7" s="767"/>
      <c r="AH7" s="766"/>
    </row>
    <row r="8" spans="1:34" s="15" customFormat="1">
      <c r="A8" s="13"/>
      <c r="B8" s="13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3"/>
      <c r="AB8" s="29"/>
      <c r="AC8" s="29"/>
    </row>
    <row r="9" spans="1:34" s="15" customFormat="1">
      <c r="A9" s="13">
        <f>A6+1</f>
        <v>2</v>
      </c>
      <c r="B9" s="13">
        <v>1209</v>
      </c>
      <c r="C9" s="13" t="s">
        <v>139</v>
      </c>
      <c r="D9" s="14">
        <f>'שיפוצי בתים עמידר'!D7</f>
        <v>940000</v>
      </c>
      <c r="E9" s="14">
        <f>'שיפוצי בתים עמידר'!E7</f>
        <v>940000</v>
      </c>
      <c r="F9" s="14">
        <f>'שיפוצי בתים עמידר'!F7</f>
        <v>0</v>
      </c>
      <c r="G9" s="14">
        <f>'שיפוצי בתים עמידר'!G7</f>
        <v>940000</v>
      </c>
      <c r="H9" s="14">
        <f>'שיפוצי בתים עמידר'!H7</f>
        <v>912429</v>
      </c>
      <c r="I9" s="14">
        <f>'שיפוצי בתים עמידר'!I7</f>
        <v>0</v>
      </c>
      <c r="J9" s="14">
        <f>'שיפוצי בתים עמידר'!J7</f>
        <v>0</v>
      </c>
      <c r="K9" s="14">
        <f>'שיפוצי בתים עמידר'!K7</f>
        <v>0</v>
      </c>
      <c r="L9" s="14">
        <f>'שיפוצי בתים עמידר'!L7</f>
        <v>912429</v>
      </c>
      <c r="M9" s="14">
        <f>'שיפוצי בתים עמידר'!M7</f>
        <v>27571</v>
      </c>
      <c r="N9" s="14">
        <f>'שיפוצי בתים עמידר'!N7</f>
        <v>0</v>
      </c>
      <c r="O9" s="14">
        <f>'שיפוצי בתים עמידר'!O7</f>
        <v>0</v>
      </c>
      <c r="P9" s="14">
        <f>'שיפוצי בתים עמידר'!P7</f>
        <v>27571</v>
      </c>
      <c r="Q9" s="14">
        <f>'שיפוצי בתים עמידר'!Q7</f>
        <v>0</v>
      </c>
      <c r="R9" s="14">
        <f>'שיפוצי בתים עמידר'!R7</f>
        <v>0</v>
      </c>
      <c r="S9" s="14">
        <f>'שיפוצי בתים עמידר'!S7</f>
        <v>0</v>
      </c>
      <c r="T9" s="14">
        <f>'שיפוצי בתים עמידר'!T7</f>
        <v>0</v>
      </c>
      <c r="U9" s="14">
        <f>'שיפוצי בתים עמידר'!U7</f>
        <v>0</v>
      </c>
      <c r="V9" s="14">
        <f>'שיפוצי בתים עמידר'!V7</f>
        <v>0</v>
      </c>
      <c r="W9" s="14">
        <f>'שיפוצי בתים עמידר'!W7</f>
        <v>0</v>
      </c>
      <c r="X9" s="14">
        <f>'שיפוצי בתים עמידר'!X7</f>
        <v>0</v>
      </c>
      <c r="Y9" s="14">
        <f>'שיפוצי בתים עמידר'!Y7</f>
        <v>0</v>
      </c>
      <c r="Z9" s="14">
        <f>'שיפוצי בתים עמידר'!Z7</f>
        <v>0</v>
      </c>
      <c r="AA9" s="13">
        <f>'שיפוצי בתים עמידר'!AA7</f>
        <v>870000</v>
      </c>
      <c r="AB9" s="29"/>
      <c r="AC9" s="29"/>
    </row>
    <row r="10" spans="1:34" s="15" customFormat="1" ht="16.899999999999999" customHeight="1">
      <c r="A10" s="13">
        <v>3</v>
      </c>
      <c r="B10" s="13">
        <v>1210</v>
      </c>
      <c r="C10" s="13" t="s">
        <v>140</v>
      </c>
      <c r="D10" s="14">
        <f>'שיפוצי בתים עמידר'!D8</f>
        <v>88000000</v>
      </c>
      <c r="E10" s="14">
        <f>'שיפוצי בתים עמידר'!E8</f>
        <v>77000000</v>
      </c>
      <c r="F10" s="14">
        <f>'שיפוצי בתים עמידר'!F8</f>
        <v>11000000</v>
      </c>
      <c r="G10" s="14">
        <f>'שיפוצי בתים עמידר'!G8</f>
        <v>59250000</v>
      </c>
      <c r="H10" s="14">
        <f>'שיפוצי בתים עמידר'!H8</f>
        <v>57813996</v>
      </c>
      <c r="I10" s="14">
        <f>'שיפוצי בתים עמידר'!I8</f>
        <v>0</v>
      </c>
      <c r="J10" s="14">
        <f>'שיפוצי בתים עמידר'!J8</f>
        <v>0</v>
      </c>
      <c r="K10" s="14">
        <f>'שיפוצי בתים עמידר'!K8</f>
        <v>0</v>
      </c>
      <c r="L10" s="14">
        <f>'שיפוצי בתים עמידר'!L8</f>
        <v>57813996</v>
      </c>
      <c r="M10" s="14">
        <f>'שיפוצי בתים עמידר'!M8</f>
        <v>2936004</v>
      </c>
      <c r="N10" s="14">
        <f>'שיפוצי בתים עמידר'!N8</f>
        <v>13700000</v>
      </c>
      <c r="O10" s="14">
        <f>'שיפוצי בתים עמידר'!O8</f>
        <v>13550000</v>
      </c>
      <c r="P10" s="14">
        <f>'שיפוצי בתים עמידר'!P8</f>
        <v>1436004</v>
      </c>
      <c r="Q10" s="14">
        <f>'שיפוצי בתים עמידר'!Q8</f>
        <v>1500000</v>
      </c>
      <c r="R10" s="14">
        <f>'שיפוצי בתים עמידר'!R8</f>
        <v>0</v>
      </c>
      <c r="S10" s="14">
        <f>'שיפוצי בתים עמידר'!S8</f>
        <v>1500000</v>
      </c>
      <c r="T10" s="14">
        <f>'שיפוצי בתים עמידר'!T8</f>
        <v>0</v>
      </c>
      <c r="U10" s="14">
        <f>'שיפוצי בתים עמידר'!U8</f>
        <v>13700000</v>
      </c>
      <c r="V10" s="14">
        <f>'שיפוצי בתים עמידר'!V8</f>
        <v>0</v>
      </c>
      <c r="W10" s="14">
        <f>'שיפוצי בתים עמידר'!W8</f>
        <v>0</v>
      </c>
      <c r="X10" s="14">
        <f>'שיפוצי בתים עמידר'!X8</f>
        <v>0</v>
      </c>
      <c r="Y10" s="14">
        <f>'שיפוצי בתים עמידר'!Y8</f>
        <v>0</v>
      </c>
      <c r="Z10" s="14">
        <f>'שיפוצי בתים עמידר'!Z8</f>
        <v>13700000</v>
      </c>
      <c r="AA10" s="13">
        <f>'שיפוצי בתים עמידר'!AA8</f>
        <v>870000</v>
      </c>
      <c r="AB10" s="29"/>
      <c r="AC10" s="29"/>
    </row>
    <row r="11" spans="1:34" s="149" customFormat="1">
      <c r="A11" s="81"/>
      <c r="B11" s="81">
        <v>10</v>
      </c>
      <c r="C11" s="81" t="s">
        <v>1049</v>
      </c>
      <c r="D11" s="198">
        <f>SUM(D9:D10)</f>
        <v>88940000</v>
      </c>
      <c r="E11" s="198">
        <f t="shared" ref="E11:Z11" si="1">SUM(E9:E10)</f>
        <v>77940000</v>
      </c>
      <c r="F11" s="198">
        <f t="shared" si="1"/>
        <v>11000000</v>
      </c>
      <c r="G11" s="198">
        <f t="shared" si="1"/>
        <v>60190000</v>
      </c>
      <c r="H11" s="198">
        <f t="shared" si="1"/>
        <v>58726425</v>
      </c>
      <c r="I11" s="198">
        <f t="shared" si="1"/>
        <v>0</v>
      </c>
      <c r="J11" s="198">
        <f t="shared" si="1"/>
        <v>0</v>
      </c>
      <c r="K11" s="198">
        <f t="shared" si="1"/>
        <v>0</v>
      </c>
      <c r="L11" s="198">
        <f t="shared" si="1"/>
        <v>58726425</v>
      </c>
      <c r="M11" s="198">
        <f t="shared" si="1"/>
        <v>2963575</v>
      </c>
      <c r="N11" s="198">
        <f t="shared" si="1"/>
        <v>13700000</v>
      </c>
      <c r="O11" s="198">
        <f t="shared" si="1"/>
        <v>13550000</v>
      </c>
      <c r="P11" s="198">
        <f t="shared" si="1"/>
        <v>1463575</v>
      </c>
      <c r="Q11" s="198">
        <f t="shared" si="1"/>
        <v>1500000</v>
      </c>
      <c r="R11" s="198">
        <f t="shared" si="1"/>
        <v>0</v>
      </c>
      <c r="S11" s="198">
        <f t="shared" si="1"/>
        <v>1500000</v>
      </c>
      <c r="T11" s="198">
        <f t="shared" si="1"/>
        <v>0</v>
      </c>
      <c r="U11" s="198">
        <f t="shared" si="1"/>
        <v>13700000</v>
      </c>
      <c r="V11" s="198">
        <f t="shared" si="1"/>
        <v>0</v>
      </c>
      <c r="W11" s="198">
        <f t="shared" si="1"/>
        <v>0</v>
      </c>
      <c r="X11" s="198">
        <f t="shared" si="1"/>
        <v>0</v>
      </c>
      <c r="Y11" s="198">
        <f t="shared" si="1"/>
        <v>0</v>
      </c>
      <c r="Z11" s="198">
        <f t="shared" si="1"/>
        <v>13700000</v>
      </c>
      <c r="AA11" s="763"/>
      <c r="AB11" s="29"/>
      <c r="AC11" s="29"/>
      <c r="AD11" s="766"/>
      <c r="AE11" s="766"/>
      <c r="AF11" s="767"/>
      <c r="AG11" s="767"/>
      <c r="AH11" s="766"/>
    </row>
    <row r="12" spans="1:34" s="15" customFormat="1" ht="16.899999999999999" customHeight="1">
      <c r="A12" s="13"/>
      <c r="B12" s="13"/>
      <c r="C12" s="13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3"/>
      <c r="AB12" s="29"/>
      <c r="AC12" s="29"/>
    </row>
    <row r="13" spans="1:34" s="99" customFormat="1" ht="15.75">
      <c r="A13" s="85">
        <f>A10</f>
        <v>3</v>
      </c>
      <c r="B13" s="85" t="s">
        <v>82</v>
      </c>
      <c r="C13" s="85" t="s">
        <v>141</v>
      </c>
      <c r="D13" s="27">
        <f>D11+D7</f>
        <v>89490000</v>
      </c>
      <c r="E13" s="27">
        <f t="shared" ref="E13:Z13" si="2">E11+E7</f>
        <v>78490000</v>
      </c>
      <c r="F13" s="27">
        <f t="shared" si="2"/>
        <v>11000000</v>
      </c>
      <c r="G13" s="27">
        <f t="shared" si="2"/>
        <v>60690000</v>
      </c>
      <c r="H13" s="27">
        <f t="shared" si="2"/>
        <v>59142677.799999997</v>
      </c>
      <c r="I13" s="27">
        <f t="shared" si="2"/>
        <v>0</v>
      </c>
      <c r="J13" s="27">
        <f t="shared" si="2"/>
        <v>0</v>
      </c>
      <c r="K13" s="27">
        <f t="shared" si="2"/>
        <v>0</v>
      </c>
      <c r="L13" s="27">
        <f t="shared" si="2"/>
        <v>59142677.799999997</v>
      </c>
      <c r="M13" s="27">
        <f t="shared" si="2"/>
        <v>3047322.2</v>
      </c>
      <c r="N13" s="27">
        <f t="shared" si="2"/>
        <v>13750000</v>
      </c>
      <c r="O13" s="27">
        <f t="shared" si="2"/>
        <v>13550000</v>
      </c>
      <c r="P13" s="27">
        <f t="shared" si="2"/>
        <v>1547322.2</v>
      </c>
      <c r="Q13" s="27">
        <f t="shared" si="2"/>
        <v>1500000</v>
      </c>
      <c r="R13" s="27">
        <f t="shared" si="2"/>
        <v>0</v>
      </c>
      <c r="S13" s="27">
        <f t="shared" si="2"/>
        <v>1500000</v>
      </c>
      <c r="T13" s="27">
        <f t="shared" si="2"/>
        <v>0</v>
      </c>
      <c r="U13" s="27">
        <f t="shared" si="2"/>
        <v>13750000</v>
      </c>
      <c r="V13" s="27">
        <f t="shared" si="2"/>
        <v>50000</v>
      </c>
      <c r="W13" s="27">
        <f t="shared" si="2"/>
        <v>0</v>
      </c>
      <c r="X13" s="27">
        <f t="shared" si="2"/>
        <v>0</v>
      </c>
      <c r="Y13" s="27">
        <f t="shared" si="2"/>
        <v>0</v>
      </c>
      <c r="Z13" s="27">
        <f t="shared" si="2"/>
        <v>13700000</v>
      </c>
      <c r="AA13" s="85"/>
      <c r="AB13" s="29"/>
      <c r="AC13" s="29"/>
    </row>
    <row r="14" spans="1:34" s="15" customFormat="1">
      <c r="A14" s="13"/>
      <c r="B14" s="13"/>
      <c r="C14" s="13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>
        <f>D14-L14-M14-N14</f>
        <v>0</v>
      </c>
      <c r="P14" s="14"/>
      <c r="Q14" s="14"/>
      <c r="R14" s="14"/>
      <c r="S14" s="14"/>
      <c r="T14" s="14">
        <f>P14-M14+R14</f>
        <v>0</v>
      </c>
      <c r="U14" s="14">
        <f>N14-T14</f>
        <v>0</v>
      </c>
      <c r="V14" s="14"/>
      <c r="W14" s="14"/>
      <c r="X14" s="14"/>
      <c r="Y14" s="14"/>
      <c r="Z14" s="13"/>
      <c r="AA14" s="13"/>
      <c r="AB14" s="29"/>
      <c r="AC14" s="29"/>
    </row>
    <row r="15" spans="1:34">
      <c r="K15" s="52"/>
      <c r="L15" s="52"/>
      <c r="M15" s="52"/>
      <c r="N15" s="88"/>
      <c r="O15" s="52"/>
      <c r="P15" s="52"/>
      <c r="Q15" s="52"/>
    </row>
    <row r="16" spans="1:34" hidden="1"/>
    <row r="17" spans="16:17" hidden="1">
      <c r="P17" s="31" t="s">
        <v>372</v>
      </c>
      <c r="Q17" s="45">
        <f>'[2]שיפוצי בתים עמידר'!$AY$12</f>
        <v>3400000</v>
      </c>
    </row>
    <row r="18" spans="16:17" hidden="1"/>
    <row r="19" spans="16:17" hidden="1">
      <c r="P19" s="31" t="s">
        <v>395</v>
      </c>
      <c r="Q19" s="31" t="e">
        <f>'[3]שיפוצי בתים עמידר'!$AZ$11</f>
        <v>#REF!</v>
      </c>
    </row>
    <row r="20" spans="16:17" hidden="1">
      <c r="P20" s="31" t="s">
        <v>396</v>
      </c>
      <c r="Q20" s="31" t="e">
        <f>'[4]שיפוצי בתים עמידר'!$BF$11</f>
        <v>#REF!</v>
      </c>
    </row>
    <row r="21" spans="16:17" hidden="1">
      <c r="Q21" s="31" t="e">
        <f>SUM(Q19:Q20)</f>
        <v>#REF!</v>
      </c>
    </row>
  </sheetData>
  <sheetProtection formatCells="0" formatColumns="0" formatRows="0" insertColumns="0" insertRows="0" insertHyperlinks="0" deleteColumns="0" deleteRows="0" sort="0" autoFilter="0" pivotTables="0"/>
  <conditionalFormatting sqref="AB7:XFD7 A7:Z7">
    <cfRule type="cellIs" dxfId="11" priority="4" operator="equal">
      <formula>0</formula>
    </cfRule>
  </conditionalFormatting>
  <conditionalFormatting sqref="AA7">
    <cfRule type="cellIs" dxfId="10" priority="3" operator="equal">
      <formula>0</formula>
    </cfRule>
  </conditionalFormatting>
  <conditionalFormatting sqref="AB11:XFD11 A11:Z11">
    <cfRule type="cellIs" dxfId="9" priority="2" operator="equal">
      <formula>0</formula>
    </cfRule>
  </conditionalFormatting>
  <conditionalFormatting sqref="AA11">
    <cfRule type="cellIs" dxfId="8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0"/>
  <sheetViews>
    <sheetView rightToLeft="1" workbookViewId="0">
      <selection activeCell="T10" sqref="T10"/>
    </sheetView>
  </sheetViews>
  <sheetFormatPr defaultRowHeight="14.25"/>
  <cols>
    <col min="1" max="3" width="4.140625" style="709" customWidth="1"/>
    <col min="4" max="4" width="34.85546875" style="709" customWidth="1"/>
    <col min="5" max="5" width="30.42578125" style="709" customWidth="1"/>
    <col min="6" max="6" width="10.85546875" style="709" customWidth="1"/>
    <col min="7" max="7" width="5.5703125" style="709" customWidth="1"/>
    <col min="8" max="9" width="12.140625" style="709" customWidth="1"/>
    <col min="10" max="10" width="7.85546875" style="709" customWidth="1"/>
    <col min="11" max="16384" width="9.140625" style="709"/>
  </cols>
  <sheetData>
    <row r="4" spans="1:17" ht="20.25">
      <c r="A4" s="708"/>
      <c r="C4" s="710" t="s">
        <v>227</v>
      </c>
      <c r="D4" s="708"/>
      <c r="E4" s="708"/>
      <c r="F4" s="708"/>
      <c r="G4" s="708"/>
      <c r="H4" s="708"/>
      <c r="I4" s="708"/>
      <c r="J4" s="708"/>
      <c r="K4" s="708"/>
      <c r="L4" s="708"/>
    </row>
    <row r="5" spans="1:17" ht="21" thickBot="1">
      <c r="A5" s="708"/>
      <c r="C5" s="710"/>
      <c r="D5" s="708"/>
      <c r="E5" s="708"/>
      <c r="F5" s="708"/>
      <c r="G5" s="708"/>
      <c r="H5" s="708"/>
      <c r="I5" s="708"/>
      <c r="J5" s="708"/>
      <c r="K5" s="708"/>
      <c r="L5" s="708"/>
    </row>
    <row r="6" spans="1:17" ht="16.5" thickBot="1">
      <c r="A6" s="708"/>
      <c r="B6" s="711" t="s">
        <v>455</v>
      </c>
      <c r="C6" s="708" t="s">
        <v>1020</v>
      </c>
      <c r="D6" s="708"/>
      <c r="E6" s="708"/>
      <c r="F6" s="712">
        <f>'כללי  '!U14</f>
        <v>6767586</v>
      </c>
      <c r="I6" s="708"/>
      <c r="J6" s="708"/>
      <c r="K6" s="708"/>
      <c r="L6" s="708"/>
    </row>
    <row r="7" spans="1:17" ht="15.75">
      <c r="B7" s="711"/>
      <c r="C7" s="708"/>
      <c r="D7" s="708"/>
      <c r="E7" s="708"/>
      <c r="F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1:17" ht="15.75">
      <c r="B8" s="711" t="s">
        <v>455</v>
      </c>
      <c r="C8" s="708" t="s">
        <v>972</v>
      </c>
      <c r="D8" s="708"/>
      <c r="E8" s="708"/>
      <c r="F8" s="708"/>
      <c r="G8" s="708"/>
      <c r="H8" s="708"/>
      <c r="I8" s="708"/>
      <c r="J8" s="708"/>
      <c r="K8" s="708"/>
      <c r="L8" s="708"/>
    </row>
    <row r="9" spans="1:17" ht="16.5" thickBot="1">
      <c r="B9" s="708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</row>
    <row r="10" spans="1:17" ht="15.75">
      <c r="D10" s="737" t="s">
        <v>973</v>
      </c>
      <c r="E10" s="738" t="s">
        <v>974</v>
      </c>
      <c r="F10" s="739" t="s">
        <v>987</v>
      </c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</row>
    <row r="11" spans="1:17" ht="15.75">
      <c r="C11" s="711"/>
      <c r="D11" s="715" t="s">
        <v>13</v>
      </c>
      <c r="E11" s="740">
        <f>'כללי  '!V14</f>
        <v>6941586</v>
      </c>
      <c r="F11" s="749">
        <f>E11/$E$13</f>
        <v>1.0257107925928093</v>
      </c>
      <c r="G11" s="708"/>
      <c r="H11" s="708"/>
      <c r="I11" s="708"/>
      <c r="J11" s="708"/>
      <c r="K11" s="708"/>
      <c r="L11" s="708"/>
      <c r="M11" s="708"/>
      <c r="N11" s="708"/>
      <c r="O11" s="708"/>
      <c r="P11" s="708"/>
      <c r="Q11" s="708"/>
    </row>
    <row r="12" spans="1:17" ht="15.75">
      <c r="C12" s="711"/>
      <c r="D12" s="715" t="s">
        <v>14</v>
      </c>
      <c r="E12" s="740">
        <f>'כללי  '!W14</f>
        <v>-174000</v>
      </c>
      <c r="F12" s="749">
        <f>E12/$E$13</f>
        <v>-2.5710792592809312E-2</v>
      </c>
      <c r="G12" s="708"/>
      <c r="H12" s="708"/>
      <c r="I12" s="708"/>
      <c r="J12" s="708"/>
      <c r="K12" s="708"/>
      <c r="L12" s="708"/>
      <c r="M12" s="708"/>
      <c r="N12" s="708"/>
      <c r="O12" s="708"/>
      <c r="P12" s="708"/>
      <c r="Q12" s="708"/>
    </row>
    <row r="13" spans="1:17" ht="16.5" thickBot="1">
      <c r="C13" s="711"/>
      <c r="D13" s="718" t="s">
        <v>208</v>
      </c>
      <c r="E13" s="742">
        <f>SUM(E11:E12)</f>
        <v>6767586</v>
      </c>
      <c r="F13" s="326">
        <f>SUM(F11:F12)</f>
        <v>1</v>
      </c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</row>
    <row r="14" spans="1:17" ht="15.75">
      <c r="C14" s="711"/>
      <c r="D14" s="714"/>
      <c r="E14" s="752"/>
      <c r="F14" s="756"/>
      <c r="G14" s="708"/>
      <c r="H14" s="708"/>
      <c r="I14" s="708"/>
      <c r="J14" s="708"/>
      <c r="K14" s="708"/>
      <c r="L14" s="708"/>
      <c r="M14" s="708"/>
      <c r="N14" s="708"/>
      <c r="O14" s="708"/>
      <c r="P14" s="708"/>
      <c r="Q14" s="708"/>
    </row>
    <row r="15" spans="1:17" ht="15.75">
      <c r="C15" s="711"/>
      <c r="D15" s="714"/>
      <c r="E15" s="752"/>
      <c r="F15" s="756"/>
      <c r="G15" s="708"/>
      <c r="H15" s="708"/>
      <c r="I15" s="708"/>
      <c r="J15" s="708"/>
      <c r="K15" s="708"/>
      <c r="L15" s="708"/>
      <c r="M15" s="708"/>
      <c r="N15" s="708"/>
      <c r="O15" s="708"/>
      <c r="P15" s="708"/>
      <c r="Q15" s="708"/>
    </row>
    <row r="16" spans="1:17" ht="15.75">
      <c r="B16" s="711"/>
      <c r="C16" s="708"/>
      <c r="D16" s="708"/>
      <c r="E16" s="708"/>
      <c r="F16" s="708"/>
      <c r="G16" s="708"/>
      <c r="H16" s="708"/>
      <c r="I16" s="708"/>
      <c r="J16" s="708"/>
      <c r="K16" s="708"/>
      <c r="L16" s="708"/>
    </row>
    <row r="17" spans="2:17" ht="15.75">
      <c r="B17" s="711" t="s">
        <v>455</v>
      </c>
      <c r="C17" s="708" t="s">
        <v>995</v>
      </c>
      <c r="D17" s="708"/>
      <c r="F17" s="708"/>
      <c r="H17" s="717"/>
      <c r="I17" s="708"/>
      <c r="J17" s="708"/>
      <c r="K17" s="708"/>
      <c r="L17" s="708"/>
      <c r="M17" s="708"/>
      <c r="N17" s="708"/>
      <c r="O17" s="708"/>
      <c r="P17" s="708"/>
      <c r="Q17" s="708"/>
    </row>
    <row r="18" spans="2:17" ht="15.75">
      <c r="C18" s="708" t="s">
        <v>1090</v>
      </c>
      <c r="D18" s="708"/>
      <c r="E18" s="708"/>
      <c r="F18" s="708"/>
      <c r="H18" s="708"/>
      <c r="I18" s="708"/>
      <c r="J18" s="708"/>
      <c r="K18" s="708"/>
      <c r="L18" s="708"/>
    </row>
    <row r="19" spans="2:17" ht="15.75">
      <c r="B19" s="711"/>
      <c r="C19" s="708" t="s">
        <v>1091</v>
      </c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8"/>
      <c r="O19" s="708"/>
      <c r="P19" s="708"/>
      <c r="Q19" s="708"/>
    </row>
    <row r="20" spans="2:17" ht="15.75">
      <c r="B20" s="711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7"/>
  <sheetViews>
    <sheetView showZeros="0" rightToLeft="1" zoomScaleNormal="100" workbookViewId="0">
      <pane xSplit="3" ySplit="4" topLeftCell="M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8.140625" style="29" customWidth="1"/>
    <col min="4" max="4" width="12.7109375" style="31" customWidth="1"/>
    <col min="5" max="5" width="11.140625" style="31" customWidth="1"/>
    <col min="6" max="6" width="10.5703125" style="31" customWidth="1"/>
    <col min="7" max="10" width="12.7109375" style="31" hidden="1" customWidth="1"/>
    <col min="11" max="11" width="11.28515625" style="31" hidden="1" customWidth="1"/>
    <col min="12" max="12" width="11.7109375" style="31" customWidth="1"/>
    <col min="13" max="13" width="11.5703125" style="31" customWidth="1"/>
    <col min="14" max="14" width="11.140625" style="31" bestFit="1" customWidth="1"/>
    <col min="15" max="15" width="11.5703125" style="31" customWidth="1"/>
    <col min="16" max="17" width="11.140625" style="31" hidden="1" customWidth="1"/>
    <col min="18" max="19" width="12" style="31" hidden="1" customWidth="1"/>
    <col min="20" max="20" width="8.85546875" style="31" customWidth="1"/>
    <col min="21" max="21" width="11.85546875" style="29" bestFit="1" customWidth="1"/>
    <col min="22" max="22" width="9.85546875" style="29" customWidth="1"/>
    <col min="23" max="23" width="9.7109375" style="29" customWidth="1"/>
    <col min="24" max="24" width="8.5703125" style="29" hidden="1" customWidth="1"/>
    <col min="25" max="25" width="7.85546875" style="29" hidden="1" customWidth="1"/>
    <col min="26" max="26" width="7.5703125" style="29" hidden="1" customWidth="1"/>
    <col min="27" max="27" width="7.85546875" style="29" hidden="1" customWidth="1"/>
    <col min="28" max="28" width="26.5703125" style="29" customWidth="1"/>
    <col min="29" max="30" width="9.140625" style="29" customWidth="1"/>
    <col min="31" max="16384" width="9.140625" style="29"/>
  </cols>
  <sheetData>
    <row r="1" spans="1:30">
      <c r="AB1" s="15"/>
    </row>
    <row r="2" spans="1:30" ht="18.75">
      <c r="A2" s="194" t="s">
        <v>227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30">
      <c r="AB3" s="15"/>
    </row>
    <row r="4" spans="1:30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36" t="s">
        <v>16</v>
      </c>
      <c r="AB4" s="15"/>
    </row>
    <row r="5" spans="1:30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>
        <f t="shared" ref="O5:O13" si="0">D5-L5-M5-N5</f>
        <v>0</v>
      </c>
      <c r="P5" s="14"/>
      <c r="Q5" s="14"/>
      <c r="R5" s="14"/>
      <c r="S5" s="14"/>
      <c r="T5" s="14"/>
      <c r="U5" s="14">
        <f>N5-T5</f>
        <v>0</v>
      </c>
      <c r="V5" s="14"/>
      <c r="W5" s="14"/>
      <c r="X5" s="14"/>
      <c r="Y5" s="14"/>
      <c r="Z5" s="13"/>
      <c r="AA5" s="13"/>
    </row>
    <row r="6" spans="1:30" s="15" customFormat="1">
      <c r="A6" s="13">
        <f>A5+1</f>
        <v>1</v>
      </c>
      <c r="B6" s="13">
        <v>1032</v>
      </c>
      <c r="C6" s="13" t="s">
        <v>340</v>
      </c>
      <c r="D6" s="14">
        <v>40500000</v>
      </c>
      <c r="E6" s="14">
        <v>40500000</v>
      </c>
      <c r="F6" s="14">
        <f>D6-E6</f>
        <v>0</v>
      </c>
      <c r="G6" s="14">
        <f>22650000+2650000</f>
        <v>25300000</v>
      </c>
      <c r="H6" s="14">
        <v>19258553.370000001</v>
      </c>
      <c r="I6" s="14">
        <v>207252.8</v>
      </c>
      <c r="J6" s="14">
        <v>1923507.15</v>
      </c>
      <c r="K6" s="14">
        <f>SUM(I6:J6)</f>
        <v>2130759.9499999997</v>
      </c>
      <c r="L6" s="14">
        <f>H6+K6</f>
        <v>21389313.32</v>
      </c>
      <c r="M6" s="14">
        <f>P6+S6</f>
        <v>4870686.68</v>
      </c>
      <c r="N6" s="14">
        <v>5000000</v>
      </c>
      <c r="O6" s="14">
        <f t="shared" si="0"/>
        <v>9240000</v>
      </c>
      <c r="P6" s="14">
        <f>G6-L6</f>
        <v>3910686.6799999997</v>
      </c>
      <c r="Q6" s="14">
        <f>2650000+960000-2650000</f>
        <v>960000</v>
      </c>
      <c r="R6" s="14"/>
      <c r="S6" s="14">
        <f>SUM(Q6:R6)</f>
        <v>960000</v>
      </c>
      <c r="T6" s="14">
        <f>P6-M6+S6</f>
        <v>0</v>
      </c>
      <c r="U6" s="14">
        <f>N6-T6</f>
        <v>5000000</v>
      </c>
      <c r="V6" s="14">
        <f>U6-Z6-W6-Y6</f>
        <v>5000000</v>
      </c>
      <c r="W6" s="14"/>
      <c r="X6" s="14"/>
      <c r="Y6" s="14"/>
      <c r="Z6" s="13"/>
      <c r="AA6" s="13">
        <v>742000</v>
      </c>
      <c r="AC6" s="61"/>
      <c r="AD6" s="116"/>
    </row>
    <row r="7" spans="1:30" s="15" customFormat="1">
      <c r="A7" s="13">
        <f t="shared" ref="A7:A13" si="1">A6+1</f>
        <v>2</v>
      </c>
      <c r="B7" s="13">
        <v>1259</v>
      </c>
      <c r="C7" s="13" t="s">
        <v>122</v>
      </c>
      <c r="D7" s="14">
        <v>5460000</v>
      </c>
      <c r="E7" s="14">
        <v>5460000</v>
      </c>
      <c r="F7" s="14">
        <f t="shared" ref="F7:F13" si="2">D7-E7</f>
        <v>0</v>
      </c>
      <c r="G7" s="14">
        <v>3110000</v>
      </c>
      <c r="H7" s="14">
        <v>2255634.79</v>
      </c>
      <c r="I7" s="14"/>
      <c r="J7" s="14">
        <v>578297.63</v>
      </c>
      <c r="K7" s="14">
        <f t="shared" ref="K7:K13" si="3">SUM(I7:J7)</f>
        <v>578297.63</v>
      </c>
      <c r="L7" s="14">
        <f t="shared" ref="L7:L13" si="4">H7+K7</f>
        <v>2833932.42</v>
      </c>
      <c r="M7" s="14">
        <f>P7+S7</f>
        <v>576067.58000000007</v>
      </c>
      <c r="N7" s="14">
        <v>350000</v>
      </c>
      <c r="O7" s="14">
        <f t="shared" si="0"/>
        <v>1700000</v>
      </c>
      <c r="P7" s="14">
        <f t="shared" ref="P7:P13" si="5">G7-L7</f>
        <v>276067.58000000007</v>
      </c>
      <c r="Q7" s="14">
        <v>300000</v>
      </c>
      <c r="R7" s="14"/>
      <c r="S7" s="14">
        <f t="shared" ref="S7:S13" si="6">SUM(Q7:R7)</f>
        <v>300000</v>
      </c>
      <c r="T7" s="14">
        <f t="shared" ref="T7:T13" si="7">P7-M7+S7</f>
        <v>0</v>
      </c>
      <c r="U7" s="14">
        <f t="shared" ref="U7:U13" si="8">N7-T7</f>
        <v>350000</v>
      </c>
      <c r="V7" s="14">
        <f t="shared" ref="V7:V13" si="9">U7-W7-Y7-Z7</f>
        <v>350000</v>
      </c>
      <c r="W7" s="14"/>
      <c r="X7" s="14"/>
      <c r="Y7" s="14"/>
      <c r="Z7" s="13"/>
      <c r="AA7" s="13">
        <v>760000</v>
      </c>
    </row>
    <row r="8" spans="1:30" s="15" customFormat="1">
      <c r="A8" s="13">
        <f t="shared" si="1"/>
        <v>3</v>
      </c>
      <c r="B8" s="13">
        <v>1260</v>
      </c>
      <c r="C8" s="13" t="s">
        <v>123</v>
      </c>
      <c r="D8" s="14">
        <v>8608000</v>
      </c>
      <c r="E8" s="14">
        <v>8608000</v>
      </c>
      <c r="F8" s="14">
        <f t="shared" si="2"/>
        <v>0</v>
      </c>
      <c r="G8" s="14">
        <v>7608000</v>
      </c>
      <c r="H8" s="14">
        <v>7116491.0800000001</v>
      </c>
      <c r="I8" s="14"/>
      <c r="J8" s="14">
        <v>286040.83</v>
      </c>
      <c r="K8" s="14">
        <f t="shared" si="3"/>
        <v>286040.83</v>
      </c>
      <c r="L8" s="14">
        <f t="shared" si="4"/>
        <v>7402531.9100000001</v>
      </c>
      <c r="M8" s="14">
        <f>P8+S8</f>
        <v>505468.08999999985</v>
      </c>
      <c r="N8" s="14">
        <v>700000</v>
      </c>
      <c r="O8" s="14">
        <f t="shared" si="0"/>
        <v>0</v>
      </c>
      <c r="P8" s="14">
        <f t="shared" si="5"/>
        <v>205468.08999999985</v>
      </c>
      <c r="Q8" s="14">
        <v>300000</v>
      </c>
      <c r="R8" s="14"/>
      <c r="S8" s="14">
        <f t="shared" si="6"/>
        <v>300000</v>
      </c>
      <c r="T8" s="14">
        <f t="shared" si="7"/>
        <v>0</v>
      </c>
      <c r="U8" s="14">
        <f t="shared" si="8"/>
        <v>700000</v>
      </c>
      <c r="V8" s="14">
        <f t="shared" si="9"/>
        <v>350000</v>
      </c>
      <c r="W8" s="14">
        <f>N8*0.5</f>
        <v>350000</v>
      </c>
      <c r="X8" s="14"/>
      <c r="Y8" s="14"/>
      <c r="Z8" s="13"/>
      <c r="AA8" s="13">
        <v>760000</v>
      </c>
    </row>
    <row r="9" spans="1:30" s="15" customFormat="1">
      <c r="A9" s="13">
        <f t="shared" si="1"/>
        <v>4</v>
      </c>
      <c r="B9" s="13">
        <v>1422</v>
      </c>
      <c r="C9" s="13" t="s">
        <v>124</v>
      </c>
      <c r="D9" s="14">
        <v>30257000</v>
      </c>
      <c r="E9" s="14">
        <v>30257000</v>
      </c>
      <c r="F9" s="14">
        <f t="shared" si="2"/>
        <v>0</v>
      </c>
      <c r="G9" s="14">
        <v>14182000</v>
      </c>
      <c r="H9" s="14">
        <v>7257000</v>
      </c>
      <c r="I9" s="14"/>
      <c r="J9" s="14"/>
      <c r="K9" s="14">
        <f t="shared" si="3"/>
        <v>0</v>
      </c>
      <c r="L9" s="14">
        <f t="shared" si="4"/>
        <v>7257000</v>
      </c>
      <c r="M9" s="14">
        <f>P9+S9</f>
        <v>6925000</v>
      </c>
      <c r="N9" s="14"/>
      <c r="O9" s="14">
        <f t="shared" si="0"/>
        <v>16075000</v>
      </c>
      <c r="P9" s="14">
        <f t="shared" si="5"/>
        <v>6925000</v>
      </c>
      <c r="Q9" s="14"/>
      <c r="R9" s="14"/>
      <c r="S9" s="14">
        <f t="shared" si="6"/>
        <v>0</v>
      </c>
      <c r="T9" s="14">
        <f t="shared" si="7"/>
        <v>0</v>
      </c>
      <c r="U9" s="14">
        <f t="shared" si="8"/>
        <v>0</v>
      </c>
      <c r="V9" s="14">
        <f t="shared" si="9"/>
        <v>0</v>
      </c>
      <c r="W9" s="14"/>
      <c r="X9" s="14"/>
      <c r="Y9" s="14"/>
      <c r="Z9" s="13"/>
      <c r="AA9" s="13">
        <v>730000</v>
      </c>
    </row>
    <row r="10" spans="1:30" s="15" customFormat="1">
      <c r="A10" s="13">
        <f t="shared" si="1"/>
        <v>5</v>
      </c>
      <c r="B10" s="13">
        <v>1688</v>
      </c>
      <c r="C10" s="13" t="s">
        <v>125</v>
      </c>
      <c r="D10" s="14">
        <v>15133000</v>
      </c>
      <c r="E10" s="14">
        <v>15133000</v>
      </c>
      <c r="F10" s="14">
        <f t="shared" si="2"/>
        <v>0</v>
      </c>
      <c r="G10" s="14">
        <v>15133000</v>
      </c>
      <c r="H10" s="14">
        <v>15133000</v>
      </c>
      <c r="I10" s="14"/>
      <c r="J10" s="14"/>
      <c r="K10" s="14">
        <f t="shared" si="3"/>
        <v>0</v>
      </c>
      <c r="L10" s="14">
        <f t="shared" si="4"/>
        <v>15133000</v>
      </c>
      <c r="M10" s="14">
        <f>P10+S10</f>
        <v>0</v>
      </c>
      <c r="N10" s="14"/>
      <c r="O10" s="14">
        <f t="shared" si="0"/>
        <v>0</v>
      </c>
      <c r="P10" s="14">
        <f t="shared" si="5"/>
        <v>0</v>
      </c>
      <c r="Q10" s="14"/>
      <c r="R10" s="14"/>
      <c r="S10" s="14">
        <f t="shared" si="6"/>
        <v>0</v>
      </c>
      <c r="T10" s="14">
        <f t="shared" si="7"/>
        <v>0</v>
      </c>
      <c r="U10" s="14">
        <f t="shared" si="8"/>
        <v>0</v>
      </c>
      <c r="V10" s="14">
        <f t="shared" si="9"/>
        <v>0</v>
      </c>
      <c r="W10" s="14"/>
      <c r="X10" s="14"/>
      <c r="Y10" s="14"/>
      <c r="Z10" s="13"/>
      <c r="AA10" s="13">
        <v>990000</v>
      </c>
    </row>
    <row r="11" spans="1:30" s="15" customFormat="1">
      <c r="A11" s="13">
        <f t="shared" si="1"/>
        <v>6</v>
      </c>
      <c r="B11" s="13">
        <v>1793</v>
      </c>
      <c r="C11" s="13" t="s">
        <v>454</v>
      </c>
      <c r="D11" s="14">
        <f>4166020-1119414-163000</f>
        <v>2883606</v>
      </c>
      <c r="E11" s="14">
        <v>4166020</v>
      </c>
      <c r="F11" s="14">
        <f t="shared" si="2"/>
        <v>-1282414</v>
      </c>
      <c r="G11" s="14">
        <v>4320020</v>
      </c>
      <c r="H11" s="14">
        <v>2692202.1</v>
      </c>
      <c r="I11" s="14"/>
      <c r="J11" s="14"/>
      <c r="K11" s="14">
        <f>SUM(I11:J11)</f>
        <v>0</v>
      </c>
      <c r="L11" s="14">
        <f t="shared" si="4"/>
        <v>2692202.1</v>
      </c>
      <c r="M11" s="14">
        <f>P11+S11-918066-439585+154000+84237-163000</f>
        <v>191403.89999999991</v>
      </c>
      <c r="N11" s="14"/>
      <c r="O11" s="14">
        <f t="shared" si="0"/>
        <v>0</v>
      </c>
      <c r="P11" s="14">
        <f t="shared" si="5"/>
        <v>1627817.9</v>
      </c>
      <c r="Q11" s="14">
        <v>-154000</v>
      </c>
      <c r="R11" s="14"/>
      <c r="S11" s="14">
        <f t="shared" si="6"/>
        <v>-154000</v>
      </c>
      <c r="T11" s="14">
        <f t="shared" si="7"/>
        <v>1282414</v>
      </c>
      <c r="U11" s="14">
        <f t="shared" si="8"/>
        <v>-1282414</v>
      </c>
      <c r="V11" s="14">
        <f>-918066+154000+84237+84415-163000</f>
        <v>-758414</v>
      </c>
      <c r="W11" s="14">
        <f>-439585-84415</f>
        <v>-524000</v>
      </c>
      <c r="X11" s="14"/>
      <c r="Y11" s="14"/>
      <c r="Z11" s="14">
        <f>U11-W11-V11</f>
        <v>0</v>
      </c>
      <c r="AA11" s="13">
        <v>742000</v>
      </c>
    </row>
    <row r="12" spans="1:30" s="15" customFormat="1">
      <c r="A12" s="13">
        <f t="shared" si="1"/>
        <v>7</v>
      </c>
      <c r="B12" s="13">
        <v>1945</v>
      </c>
      <c r="C12" s="13" t="s">
        <v>397</v>
      </c>
      <c r="D12" s="14">
        <v>230000</v>
      </c>
      <c r="E12" s="14">
        <v>230000</v>
      </c>
      <c r="F12" s="14">
        <f t="shared" si="2"/>
        <v>0</v>
      </c>
      <c r="G12" s="14">
        <v>230000</v>
      </c>
      <c r="H12" s="14">
        <v>0</v>
      </c>
      <c r="I12" s="14"/>
      <c r="J12" s="14">
        <v>95000</v>
      </c>
      <c r="K12" s="14">
        <f>SUM(I12:J12)</f>
        <v>95000</v>
      </c>
      <c r="L12" s="14">
        <f t="shared" si="4"/>
        <v>95000</v>
      </c>
      <c r="M12" s="14">
        <f>P12+S12</f>
        <v>135000</v>
      </c>
      <c r="N12" s="14"/>
      <c r="O12" s="14">
        <f t="shared" si="0"/>
        <v>0</v>
      </c>
      <c r="P12" s="14">
        <f t="shared" si="5"/>
        <v>135000</v>
      </c>
      <c r="Q12" s="14"/>
      <c r="R12" s="14"/>
      <c r="S12" s="14">
        <f t="shared" si="6"/>
        <v>0</v>
      </c>
      <c r="T12" s="14">
        <f t="shared" si="7"/>
        <v>0</v>
      </c>
      <c r="U12" s="14">
        <f t="shared" si="8"/>
        <v>0</v>
      </c>
      <c r="V12" s="14">
        <f t="shared" si="9"/>
        <v>0</v>
      </c>
      <c r="W12" s="14"/>
      <c r="X12" s="14"/>
      <c r="Y12" s="14"/>
      <c r="Z12" s="13"/>
      <c r="AA12" s="13">
        <v>742000</v>
      </c>
    </row>
    <row r="13" spans="1:30" s="15" customFormat="1">
      <c r="A13" s="13">
        <f t="shared" si="1"/>
        <v>8</v>
      </c>
      <c r="B13" s="13">
        <v>1986</v>
      </c>
      <c r="C13" s="13" t="s">
        <v>378</v>
      </c>
      <c r="D13" s="14">
        <f>10000000-3600000</f>
        <v>6400000</v>
      </c>
      <c r="E13" s="14">
        <v>10000000</v>
      </c>
      <c r="F13" s="14">
        <f t="shared" si="2"/>
        <v>-3600000</v>
      </c>
      <c r="G13" s="14">
        <v>4400000</v>
      </c>
      <c r="H13" s="14">
        <v>485873.54</v>
      </c>
      <c r="I13" s="14"/>
      <c r="J13" s="14">
        <v>213363.88</v>
      </c>
      <c r="K13" s="14">
        <f t="shared" si="3"/>
        <v>213363.88</v>
      </c>
      <c r="L13" s="14">
        <f t="shared" si="4"/>
        <v>699237.41999999993</v>
      </c>
      <c r="M13" s="14">
        <f>P13+S13-2000000</f>
        <v>1700762.58</v>
      </c>
      <c r="N13" s="14">
        <v>4000000</v>
      </c>
      <c r="O13" s="14">
        <f t="shared" si="0"/>
        <v>0</v>
      </c>
      <c r="P13" s="14">
        <f t="shared" si="5"/>
        <v>3700762.58</v>
      </c>
      <c r="Q13" s="14"/>
      <c r="R13" s="14"/>
      <c r="S13" s="14">
        <f t="shared" si="6"/>
        <v>0</v>
      </c>
      <c r="T13" s="14">
        <f t="shared" si="7"/>
        <v>2000000</v>
      </c>
      <c r="U13" s="14">
        <f t="shared" si="8"/>
        <v>2000000</v>
      </c>
      <c r="V13" s="14">
        <f t="shared" si="9"/>
        <v>2000000</v>
      </c>
      <c r="W13" s="14"/>
      <c r="X13" s="14"/>
      <c r="Y13" s="14"/>
      <c r="Z13" s="13"/>
      <c r="AA13" s="13">
        <v>742000</v>
      </c>
    </row>
    <row r="14" spans="1:30" s="99" customFormat="1" ht="15.75">
      <c r="A14" s="85">
        <f>A13</f>
        <v>8</v>
      </c>
      <c r="B14" s="85"/>
      <c r="C14" s="85" t="s">
        <v>126</v>
      </c>
      <c r="D14" s="27">
        <f t="shared" ref="D14:Z14" si="10">SUM(D6:D13)</f>
        <v>109471606</v>
      </c>
      <c r="E14" s="27">
        <f t="shared" si="10"/>
        <v>114354020</v>
      </c>
      <c r="F14" s="27">
        <f t="shared" si="10"/>
        <v>-4882414</v>
      </c>
      <c r="G14" s="27">
        <f t="shared" si="10"/>
        <v>74283020</v>
      </c>
      <c r="H14" s="27">
        <f t="shared" si="10"/>
        <v>54198754.880000003</v>
      </c>
      <c r="I14" s="27">
        <f t="shared" si="10"/>
        <v>207252.8</v>
      </c>
      <c r="J14" s="27">
        <f t="shared" si="10"/>
        <v>3096209.4899999998</v>
      </c>
      <c r="K14" s="27">
        <f t="shared" si="10"/>
        <v>3303462.2899999996</v>
      </c>
      <c r="L14" s="27">
        <f t="shared" si="10"/>
        <v>57502217.170000009</v>
      </c>
      <c r="M14" s="27">
        <f t="shared" si="10"/>
        <v>14904388.83</v>
      </c>
      <c r="N14" s="27">
        <f t="shared" si="10"/>
        <v>10050000</v>
      </c>
      <c r="O14" s="27">
        <f t="shared" si="10"/>
        <v>27015000</v>
      </c>
      <c r="P14" s="27">
        <f t="shared" si="10"/>
        <v>16780802.829999998</v>
      </c>
      <c r="Q14" s="27">
        <f t="shared" si="10"/>
        <v>1406000</v>
      </c>
      <c r="R14" s="27">
        <f t="shared" si="10"/>
        <v>0</v>
      </c>
      <c r="S14" s="27">
        <f t="shared" si="10"/>
        <v>1406000</v>
      </c>
      <c r="T14" s="27">
        <f t="shared" si="10"/>
        <v>3282414</v>
      </c>
      <c r="U14" s="27">
        <f t="shared" si="10"/>
        <v>6767586</v>
      </c>
      <c r="V14" s="27">
        <f t="shared" si="10"/>
        <v>6941586</v>
      </c>
      <c r="W14" s="27">
        <f t="shared" si="10"/>
        <v>-174000</v>
      </c>
      <c r="X14" s="27">
        <f>SUM(X6:X13)</f>
        <v>0</v>
      </c>
      <c r="Y14" s="27">
        <f t="shared" si="10"/>
        <v>0</v>
      </c>
      <c r="Z14" s="27">
        <f t="shared" si="10"/>
        <v>0</v>
      </c>
      <c r="AA14" s="85"/>
      <c r="AB14" s="15"/>
    </row>
    <row r="15" spans="1:30" s="15" customFormat="1">
      <c r="A15" s="13"/>
      <c r="B15" s="13"/>
      <c r="C15" s="13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>
        <f>D15-L15-M15-N15</f>
        <v>0</v>
      </c>
      <c r="P15" s="14"/>
      <c r="Q15" s="14"/>
      <c r="R15" s="14"/>
      <c r="S15" s="14"/>
      <c r="T15" s="14">
        <f>P15-M15+R15</f>
        <v>0</v>
      </c>
      <c r="U15" s="14">
        <f>N15-T15</f>
        <v>0</v>
      </c>
      <c r="V15" s="14"/>
      <c r="W15" s="14"/>
      <c r="X15" s="14"/>
      <c r="Y15" s="14"/>
      <c r="Z15" s="13"/>
      <c r="AA15" s="13"/>
    </row>
    <row r="16" spans="1:30">
      <c r="AB16" s="15"/>
    </row>
    <row r="17" spans="16:16">
      <c r="P17" s="622"/>
    </row>
  </sheetData>
  <sheetProtection formatCells="0" formatColumns="0" formatRows="0" insertColumns="0" insertRows="0" insertHyperlinks="0" deleteColumns="0" deleteRows="0" sort="0" autoFilter="0" pivotTables="0"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rightToLeft="1" zoomScaleNormal="100" workbookViewId="0">
      <selection activeCell="T10" sqref="T10"/>
    </sheetView>
  </sheetViews>
  <sheetFormatPr defaultRowHeight="12.75"/>
  <cols>
    <col min="1" max="16384" width="9.140625" style="674"/>
  </cols>
  <sheetData>
    <row r="1" spans="1:8" ht="15.75" customHeight="1"/>
    <row r="4" spans="1:8" ht="18.75">
      <c r="A4" s="194" t="s">
        <v>1154</v>
      </c>
    </row>
    <row r="9" spans="1:8" ht="24.95" customHeight="1">
      <c r="A9" s="675" t="s">
        <v>622</v>
      </c>
      <c r="B9" s="676"/>
      <c r="C9" s="676"/>
      <c r="D9" s="676"/>
      <c r="E9" s="676"/>
      <c r="F9" s="676"/>
      <c r="G9" s="676"/>
      <c r="H9" s="675" t="s">
        <v>623</v>
      </c>
    </row>
    <row r="10" spans="1:8" ht="24.95" customHeight="1"/>
    <row r="11" spans="1:8" ht="24.95" customHeight="1">
      <c r="A11" s="676" t="s">
        <v>959</v>
      </c>
    </row>
    <row r="12" spans="1:8" ht="24.95" customHeight="1">
      <c r="A12" s="676" t="s">
        <v>955</v>
      </c>
      <c r="H12" s="676">
        <v>58</v>
      </c>
    </row>
    <row r="13" spans="1:8" ht="24.95" customHeight="1">
      <c r="A13" s="676" t="s">
        <v>382</v>
      </c>
      <c r="H13" s="677" t="s">
        <v>1155</v>
      </c>
    </row>
    <row r="14" spans="1:8" ht="24.95" customHeight="1">
      <c r="A14" s="676" t="s">
        <v>572</v>
      </c>
      <c r="H14" s="677" t="s">
        <v>1156</v>
      </c>
    </row>
    <row r="15" spans="1:8" ht="24.95" customHeight="1">
      <c r="A15" s="676" t="s">
        <v>469</v>
      </c>
      <c r="H15" s="677" t="s">
        <v>1157</v>
      </c>
    </row>
    <row r="16" spans="1:8" ht="24.95" customHeight="1">
      <c r="A16" s="676" t="s">
        <v>332</v>
      </c>
      <c r="H16" s="677">
        <v>72</v>
      </c>
    </row>
    <row r="17" spans="1:8" ht="24.95" customHeight="1">
      <c r="A17" s="676" t="s">
        <v>956</v>
      </c>
      <c r="H17" s="677" t="s">
        <v>1158</v>
      </c>
    </row>
    <row r="18" spans="1:8" ht="24.95" customHeight="1">
      <c r="A18" s="676" t="s">
        <v>763</v>
      </c>
      <c r="H18" s="677" t="s">
        <v>1159</v>
      </c>
    </row>
    <row r="19" spans="1:8" ht="24.95" customHeight="1">
      <c r="A19" s="676" t="s">
        <v>203</v>
      </c>
      <c r="H19" s="677">
        <v>78</v>
      </c>
    </row>
    <row r="20" spans="1:8" ht="24.95" customHeight="1">
      <c r="A20" s="676" t="s">
        <v>957</v>
      </c>
      <c r="H20" s="677">
        <v>79</v>
      </c>
    </row>
    <row r="21" spans="1:8" ht="24.95" customHeight="1">
      <c r="A21" s="676" t="s">
        <v>225</v>
      </c>
      <c r="H21" s="677">
        <v>80</v>
      </c>
    </row>
    <row r="22" spans="1:8" ht="24.95" customHeight="1">
      <c r="A22" s="676" t="s">
        <v>958</v>
      </c>
      <c r="H22" s="677">
        <v>81</v>
      </c>
    </row>
    <row r="23" spans="1:8" ht="24.95" customHeight="1">
      <c r="A23" s="676" t="s">
        <v>227</v>
      </c>
      <c r="H23" s="677">
        <v>82</v>
      </c>
    </row>
    <row r="24" spans="1:8" ht="24.95" customHeight="1">
      <c r="A24" s="676" t="s">
        <v>960</v>
      </c>
      <c r="H24" s="677" t="s">
        <v>1160</v>
      </c>
    </row>
    <row r="25" spans="1:8" ht="24.95" customHeight="1">
      <c r="A25" s="676"/>
      <c r="H25" s="676"/>
    </row>
    <row r="26" spans="1:8" ht="15.75">
      <c r="A26" s="6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5"/>
  <sheetViews>
    <sheetView rightToLeft="1" workbookViewId="0">
      <selection activeCell="T10" sqref="T10"/>
    </sheetView>
  </sheetViews>
  <sheetFormatPr defaultRowHeight="14.25"/>
  <cols>
    <col min="1" max="3" width="4.140625" style="274" customWidth="1"/>
    <col min="4" max="4" width="33" style="274" customWidth="1"/>
    <col min="5" max="8" width="12.140625" style="274" customWidth="1"/>
    <col min="9" max="9" width="12.140625" style="274" hidden="1" customWidth="1"/>
    <col min="10" max="10" width="7.85546875" style="274" customWidth="1"/>
    <col min="11" max="16384" width="9.140625" style="274"/>
  </cols>
  <sheetData>
    <row r="3" spans="1:17" ht="20.25">
      <c r="E3" s="275"/>
    </row>
    <row r="4" spans="1:17" ht="15.75">
      <c r="A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O4" s="276"/>
      <c r="P4" s="276"/>
      <c r="Q4" s="276"/>
    </row>
    <row r="5" spans="1:17" ht="15.75">
      <c r="A5" s="276">
        <v>3.3</v>
      </c>
      <c r="C5" s="276" t="s">
        <v>794</v>
      </c>
      <c r="D5" s="276"/>
      <c r="E5" s="276"/>
      <c r="F5" s="276"/>
      <c r="G5" s="276"/>
      <c r="H5" s="276"/>
      <c r="I5" s="276"/>
      <c r="J5" s="276"/>
      <c r="K5" s="276"/>
      <c r="L5" s="276"/>
      <c r="O5" s="276"/>
      <c r="P5" s="276"/>
      <c r="Q5" s="276"/>
    </row>
    <row r="6" spans="1:17" ht="16.5" thickBot="1">
      <c r="A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O6" s="276"/>
      <c r="P6" s="276"/>
      <c r="Q6" s="276"/>
    </row>
    <row r="7" spans="1:17" ht="20.100000000000001" customHeight="1">
      <c r="A7" s="276"/>
      <c r="C7" s="297" t="s">
        <v>570</v>
      </c>
      <c r="D7" s="298"/>
      <c r="E7" s="299"/>
      <c r="F7" s="300" t="s">
        <v>804</v>
      </c>
      <c r="G7" s="301" t="s">
        <v>513</v>
      </c>
      <c r="O7" s="276"/>
      <c r="P7" s="276"/>
      <c r="Q7" s="276"/>
    </row>
    <row r="8" spans="1:17" ht="20.100000000000001" customHeight="1">
      <c r="A8" s="276"/>
      <c r="C8" s="302" t="s">
        <v>795</v>
      </c>
      <c r="D8" s="303"/>
      <c r="E8" s="304"/>
      <c r="F8" s="672">
        <f>'ריכוז פרקים'!S7/1000</f>
        <v>283583.14199999999</v>
      </c>
      <c r="G8" s="552">
        <v>261941</v>
      </c>
      <c r="I8" s="778">
        <f>F8/$F$19</f>
        <v>0.52799344796398751</v>
      </c>
      <c r="O8" s="276"/>
      <c r="P8" s="276"/>
      <c r="Q8" s="276"/>
    </row>
    <row r="9" spans="1:17" ht="20.100000000000001" customHeight="1">
      <c r="A9" s="276"/>
      <c r="C9" s="302" t="s">
        <v>796</v>
      </c>
      <c r="D9" s="308"/>
      <c r="E9" s="304"/>
      <c r="F9" s="672">
        <f>'ריכוז פרקים'!S10/1000</f>
        <v>178723.56700000001</v>
      </c>
      <c r="G9" s="552">
        <v>113549</v>
      </c>
      <c r="I9" s="778">
        <f t="shared" ref="I9:I18" si="0">F9/$F$19</f>
        <v>0.3327591044631022</v>
      </c>
      <c r="O9" s="276"/>
      <c r="P9" s="276"/>
      <c r="Q9" s="276"/>
    </row>
    <row r="10" spans="1:17" ht="20.100000000000001" customHeight="1">
      <c r="A10" s="276"/>
      <c r="C10" s="309" t="s">
        <v>797</v>
      </c>
      <c r="D10" s="310"/>
      <c r="E10" s="311"/>
      <c r="F10" s="672">
        <f>'ריכוז פרקים'!S15/1000</f>
        <v>4770</v>
      </c>
      <c r="G10" s="552">
        <v>4670</v>
      </c>
      <c r="I10" s="778">
        <f t="shared" si="0"/>
        <v>8.8810947259630145E-3</v>
      </c>
      <c r="O10" s="276"/>
      <c r="P10" s="276"/>
      <c r="Q10" s="276"/>
    </row>
    <row r="11" spans="1:17" ht="20.100000000000001" customHeight="1">
      <c r="A11" s="276"/>
      <c r="C11" s="302" t="s">
        <v>798</v>
      </c>
      <c r="D11" s="303"/>
      <c r="E11" s="304"/>
      <c r="F11" s="672">
        <f>'ריכוז פרקים'!S14/1000</f>
        <v>13700</v>
      </c>
      <c r="G11" s="552">
        <v>11500</v>
      </c>
      <c r="I11" s="778">
        <f t="shared" si="0"/>
        <v>2.5507546697210334E-2</v>
      </c>
      <c r="O11" s="276"/>
      <c r="P11" s="276"/>
      <c r="Q11" s="276"/>
    </row>
    <row r="12" spans="1:17" ht="20.100000000000001" customHeight="1">
      <c r="A12" s="276"/>
      <c r="C12" s="309" t="s">
        <v>186</v>
      </c>
      <c r="D12" s="553"/>
      <c r="E12" s="311"/>
      <c r="F12" s="672">
        <f>'ריכוז פרקים'!S8/1000</f>
        <v>2734</v>
      </c>
      <c r="G12" s="552">
        <v>1750</v>
      </c>
      <c r="I12" s="778">
        <f t="shared" si="0"/>
        <v>5.0903381511075221E-3</v>
      </c>
      <c r="O12" s="276"/>
      <c r="P12" s="276"/>
      <c r="Q12" s="276"/>
    </row>
    <row r="13" spans="1:17" ht="20.100000000000001" customHeight="1">
      <c r="A13" s="276"/>
      <c r="C13" s="302" t="s">
        <v>799</v>
      </c>
      <c r="D13" s="303"/>
      <c r="E13" s="304"/>
      <c r="F13" s="672">
        <f>'ריכוז פרקים'!S6/1000</f>
        <v>19749.182000000001</v>
      </c>
      <c r="G13" s="552">
        <v>21723</v>
      </c>
      <c r="I13" s="778">
        <f t="shared" si="0"/>
        <v>3.6770305262533269E-2</v>
      </c>
      <c r="O13" s="276"/>
      <c r="P13" s="276"/>
      <c r="Q13" s="276"/>
    </row>
    <row r="14" spans="1:17" ht="20.100000000000001" customHeight="1">
      <c r="A14" s="276"/>
      <c r="C14" s="302" t="s">
        <v>800</v>
      </c>
      <c r="D14" s="308"/>
      <c r="E14" s="304"/>
      <c r="F14" s="672">
        <f>'ריכוז פרקים'!S5/1000</f>
        <v>200</v>
      </c>
      <c r="G14" s="552">
        <v>288</v>
      </c>
      <c r="I14" s="778">
        <f t="shared" si="0"/>
        <v>3.7237294448482237E-4</v>
      </c>
      <c r="O14" s="276"/>
      <c r="P14" s="276"/>
      <c r="Q14" s="276"/>
    </row>
    <row r="15" spans="1:17" ht="20.100000000000001" customHeight="1">
      <c r="A15" s="276"/>
      <c r="C15" s="302" t="s">
        <v>801</v>
      </c>
      <c r="D15" s="308"/>
      <c r="E15" s="304"/>
      <c r="F15" s="672">
        <f>'ריכוז פרקים'!S9/1000</f>
        <v>21485</v>
      </c>
      <c r="G15" s="552">
        <v>9230</v>
      </c>
      <c r="I15" s="778">
        <f t="shared" si="0"/>
        <v>4.0002163561282042E-2</v>
      </c>
      <c r="O15" s="276"/>
      <c r="P15" s="276"/>
      <c r="Q15" s="276"/>
    </row>
    <row r="16" spans="1:17" ht="20.100000000000001" customHeight="1">
      <c r="A16" s="276"/>
      <c r="C16" s="302" t="s">
        <v>802</v>
      </c>
      <c r="D16" s="303"/>
      <c r="E16" s="304"/>
      <c r="F16" s="672">
        <f>'ריכוז פרקים'!S11/1000</f>
        <v>2500</v>
      </c>
      <c r="G16" s="552">
        <v>3700</v>
      </c>
      <c r="I16" s="778">
        <f t="shared" si="0"/>
        <v>4.6546618060602793E-3</v>
      </c>
      <c r="O16" s="276"/>
      <c r="P16" s="276"/>
      <c r="Q16" s="276"/>
    </row>
    <row r="17" spans="1:17" ht="20.100000000000001" customHeight="1">
      <c r="A17" s="276"/>
      <c r="C17" s="302" t="s">
        <v>803</v>
      </c>
      <c r="D17" s="303"/>
      <c r="E17" s="304"/>
      <c r="F17" s="672">
        <f>'ריכוז פרקים'!S13/1000</f>
        <v>4100</v>
      </c>
      <c r="G17" s="552">
        <v>4274</v>
      </c>
      <c r="I17" s="778">
        <f t="shared" si="0"/>
        <v>7.6336453619388588E-3</v>
      </c>
      <c r="N17" s="313"/>
      <c r="O17" s="276"/>
      <c r="P17" s="276"/>
      <c r="Q17" s="276"/>
    </row>
    <row r="18" spans="1:17" ht="20.100000000000001" customHeight="1">
      <c r="A18" s="276"/>
      <c r="C18" s="302" t="s">
        <v>188</v>
      </c>
      <c r="D18" s="303"/>
      <c r="E18" s="304"/>
      <c r="F18" s="672">
        <f>'ריכוז פרקים'!S12/1000</f>
        <v>5551.058</v>
      </c>
      <c r="G18" s="552">
        <v>1996</v>
      </c>
      <c r="I18" s="778">
        <f t="shared" si="0"/>
        <v>1.0335319062330145E-2</v>
      </c>
      <c r="O18" s="276"/>
      <c r="P18" s="276"/>
      <c r="Q18" s="276"/>
    </row>
    <row r="19" spans="1:17" ht="20.100000000000001" customHeight="1" thickBot="1">
      <c r="A19" s="276"/>
      <c r="C19" s="554" t="s">
        <v>208</v>
      </c>
      <c r="D19" s="555"/>
      <c r="E19" s="556"/>
      <c r="F19" s="633">
        <f>SUM(F8:F18)</f>
        <v>537095.94900000002</v>
      </c>
      <c r="G19" s="634">
        <f>SUM(G8:G18)</f>
        <v>434621</v>
      </c>
      <c r="I19" s="557">
        <f>SUM(I8:I18)</f>
        <v>0.99999999999999989</v>
      </c>
      <c r="O19" s="276"/>
      <c r="P19" s="276"/>
      <c r="Q19" s="276"/>
    </row>
    <row r="20" spans="1:17" ht="15.75">
      <c r="A20" s="276"/>
      <c r="N20" s="276"/>
      <c r="O20" s="276"/>
      <c r="P20" s="276"/>
      <c r="Q20" s="276"/>
    </row>
    <row r="21" spans="1:17" ht="15.75">
      <c r="A21" s="276"/>
      <c r="N21" s="276"/>
      <c r="O21" s="276"/>
      <c r="P21" s="276"/>
      <c r="Q21" s="276"/>
    </row>
    <row r="22" spans="1:17" ht="15.75">
      <c r="A22" s="276"/>
      <c r="B22" s="283"/>
      <c r="C22" s="283"/>
      <c r="D22" s="283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</row>
    <row r="23" spans="1:17" ht="15.75">
      <c r="A23" s="283"/>
      <c r="B23" s="283"/>
      <c r="C23" s="283"/>
      <c r="D23" s="283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</row>
    <row r="24" spans="1:17" ht="15.75"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</row>
    <row r="25" spans="1:17" ht="15.75"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27"/>
  <sheetViews>
    <sheetView showZeros="0" rightToLeft="1" zoomScaleNormal="100" workbookViewId="0">
      <pane xSplit="3" ySplit="4" topLeftCell="D14" activePane="bottomRight" state="frozen"/>
      <selection activeCell="E28" sqref="E28"/>
      <selection pane="topRight" activeCell="E28" sqref="E28"/>
      <selection pane="bottomLeft" activeCell="E28" sqref="E28"/>
      <selection pane="bottomRight" activeCell="AB4" sqref="AB4"/>
    </sheetView>
  </sheetViews>
  <sheetFormatPr defaultColWidth="9.140625" defaultRowHeight="15"/>
  <cols>
    <col min="1" max="1" width="5.28515625" style="66" customWidth="1"/>
    <col min="2" max="2" width="6.7109375" style="29" customWidth="1"/>
    <col min="3" max="3" width="38.140625" style="29" customWidth="1"/>
    <col min="4" max="4" width="12.7109375" style="31" customWidth="1"/>
    <col min="5" max="5" width="11.140625" style="31" hidden="1" customWidth="1"/>
    <col min="6" max="6" width="10.5703125" style="31" hidden="1" customWidth="1"/>
    <col min="7" max="10" width="12.7109375" style="31" hidden="1" customWidth="1"/>
    <col min="11" max="11" width="11.28515625" style="31" hidden="1" customWidth="1"/>
    <col min="12" max="12" width="11.7109375" style="31" customWidth="1"/>
    <col min="13" max="13" width="11.5703125" style="31" customWidth="1"/>
    <col min="14" max="14" width="11.140625" style="31" bestFit="1" customWidth="1"/>
    <col min="15" max="15" width="11.5703125" style="31" customWidth="1"/>
    <col min="16" max="17" width="11.140625" style="31" hidden="1" customWidth="1"/>
    <col min="18" max="19" width="12" style="31" hidden="1" customWidth="1"/>
    <col min="20" max="20" width="8.85546875" style="31" customWidth="1"/>
    <col min="21" max="21" width="11.85546875" style="29" bestFit="1" customWidth="1"/>
    <col min="22" max="22" width="9.85546875" style="29" customWidth="1"/>
    <col min="23" max="23" width="9.7109375" style="29" customWidth="1"/>
    <col min="24" max="24" width="8.5703125" style="29" customWidth="1"/>
    <col min="25" max="25" width="7.85546875" style="29" customWidth="1"/>
    <col min="26" max="26" width="7.5703125" style="29" customWidth="1"/>
    <col min="27" max="27" width="7.85546875" style="29" customWidth="1"/>
    <col min="28" max="28" width="26.5703125" style="15" customWidth="1"/>
    <col min="29" max="30" width="9.140625" style="29" customWidth="1"/>
    <col min="31" max="16384" width="9.140625" style="29"/>
  </cols>
  <sheetData>
    <row r="2" spans="1:34" ht="18.75">
      <c r="A2" s="194" t="s">
        <v>227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34" s="60" customFormat="1" ht="86.25" customHeight="1">
      <c r="A4" s="36" t="s">
        <v>0</v>
      </c>
      <c r="B4" s="36" t="s">
        <v>1</v>
      </c>
      <c r="C4" s="36" t="s">
        <v>2</v>
      </c>
      <c r="D4" s="36" t="s">
        <v>3</v>
      </c>
      <c r="E4" s="36" t="s">
        <v>4</v>
      </c>
      <c r="F4" s="36" t="s">
        <v>5</v>
      </c>
      <c r="G4" s="36" t="s">
        <v>6</v>
      </c>
      <c r="H4" s="36" t="s">
        <v>7</v>
      </c>
      <c r="I4" s="36" t="s">
        <v>9</v>
      </c>
      <c r="J4" s="36" t="s">
        <v>423</v>
      </c>
      <c r="K4" s="36" t="s">
        <v>10</v>
      </c>
      <c r="L4" s="36" t="s">
        <v>11</v>
      </c>
      <c r="M4" s="21" t="s">
        <v>414</v>
      </c>
      <c r="N4" s="36" t="s">
        <v>415</v>
      </c>
      <c r="O4" s="36" t="s">
        <v>416</v>
      </c>
      <c r="P4" s="36" t="s">
        <v>12</v>
      </c>
      <c r="Q4" s="36" t="s">
        <v>417</v>
      </c>
      <c r="R4" s="36" t="s">
        <v>418</v>
      </c>
      <c r="S4" s="36" t="s">
        <v>419</v>
      </c>
      <c r="T4" s="36" t="s">
        <v>420</v>
      </c>
      <c r="U4" s="36" t="s">
        <v>421</v>
      </c>
      <c r="V4" s="36" t="s">
        <v>13</v>
      </c>
      <c r="W4" s="36" t="s">
        <v>14</v>
      </c>
      <c r="X4" s="36" t="s">
        <v>15</v>
      </c>
      <c r="Y4" s="36" t="s">
        <v>914</v>
      </c>
      <c r="Z4" s="36" t="s">
        <v>184</v>
      </c>
      <c r="AA4" s="36" t="s">
        <v>16</v>
      </c>
      <c r="AB4" s="15"/>
    </row>
    <row r="5" spans="1:34" s="15" customFormat="1">
      <c r="A5" s="13"/>
      <c r="B5" s="13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>
        <f t="shared" ref="O5" si="0">D5-L5-M5-N5</f>
        <v>0</v>
      </c>
      <c r="P5" s="14"/>
      <c r="Q5" s="14"/>
      <c r="R5" s="14"/>
      <c r="S5" s="14"/>
      <c r="T5" s="14"/>
      <c r="U5" s="14">
        <f>N5-T5</f>
        <v>0</v>
      </c>
      <c r="V5" s="14"/>
      <c r="W5" s="14"/>
      <c r="X5" s="14"/>
      <c r="Y5" s="14"/>
      <c r="Z5" s="13"/>
      <c r="AA5" s="13"/>
    </row>
    <row r="6" spans="1:34" s="15" customFormat="1">
      <c r="A6" s="13">
        <f>A5+1</f>
        <v>1</v>
      </c>
      <c r="B6" s="13">
        <v>1422</v>
      </c>
      <c r="C6" s="13" t="s">
        <v>124</v>
      </c>
      <c r="D6" s="14">
        <f>'כללי  '!D9</f>
        <v>30257000</v>
      </c>
      <c r="E6" s="14">
        <f>'כללי  '!E9</f>
        <v>30257000</v>
      </c>
      <c r="F6" s="14">
        <f>'כללי  '!F9</f>
        <v>0</v>
      </c>
      <c r="G6" s="14">
        <f>'כללי  '!G9</f>
        <v>14182000</v>
      </c>
      <c r="H6" s="14">
        <f>'כללי  '!H9</f>
        <v>7257000</v>
      </c>
      <c r="I6" s="14">
        <f>'כללי  '!I9</f>
        <v>0</v>
      </c>
      <c r="J6" s="14">
        <f>'כללי  '!J9</f>
        <v>0</v>
      </c>
      <c r="K6" s="14">
        <f>'כללי  '!K9</f>
        <v>0</v>
      </c>
      <c r="L6" s="14">
        <f>'כללי  '!L9</f>
        <v>7257000</v>
      </c>
      <c r="M6" s="14">
        <f>'כללי  '!M9</f>
        <v>6925000</v>
      </c>
      <c r="N6" s="14">
        <f>'כללי  '!N9</f>
        <v>0</v>
      </c>
      <c r="O6" s="14">
        <f>'כללי  '!O9</f>
        <v>16075000</v>
      </c>
      <c r="P6" s="14">
        <f>'כללי  '!P9</f>
        <v>6925000</v>
      </c>
      <c r="Q6" s="14">
        <f>'כללי  '!Q9</f>
        <v>0</v>
      </c>
      <c r="R6" s="14">
        <f>'כללי  '!R9</f>
        <v>0</v>
      </c>
      <c r="S6" s="14">
        <f>'כללי  '!S9</f>
        <v>0</v>
      </c>
      <c r="T6" s="14">
        <f>'כללי  '!T9</f>
        <v>0</v>
      </c>
      <c r="U6" s="14">
        <f>'כללי  '!U9</f>
        <v>0</v>
      </c>
      <c r="V6" s="14">
        <f>'כללי  '!V9</f>
        <v>0</v>
      </c>
      <c r="W6" s="14">
        <f>'כללי  '!W9</f>
        <v>0</v>
      </c>
      <c r="X6" s="14">
        <f>'כללי  '!X9</f>
        <v>0</v>
      </c>
      <c r="Y6" s="14">
        <f>'כללי  '!Y9</f>
        <v>0</v>
      </c>
      <c r="Z6" s="14">
        <f>'כללי  '!Z9</f>
        <v>0</v>
      </c>
      <c r="AA6" s="13">
        <f>'כללי  '!AA9</f>
        <v>730000</v>
      </c>
    </row>
    <row r="7" spans="1:34" s="149" customFormat="1">
      <c r="A7" s="81"/>
      <c r="B7" s="81">
        <v>2</v>
      </c>
      <c r="C7" s="81" t="s">
        <v>1037</v>
      </c>
      <c r="D7" s="198">
        <f>SUM(D6)</f>
        <v>30257000</v>
      </c>
      <c r="E7" s="198">
        <f t="shared" ref="E7:Z7" si="1">SUM(E6)</f>
        <v>30257000</v>
      </c>
      <c r="F7" s="198">
        <f t="shared" si="1"/>
        <v>0</v>
      </c>
      <c r="G7" s="198">
        <f t="shared" si="1"/>
        <v>14182000</v>
      </c>
      <c r="H7" s="198">
        <f t="shared" si="1"/>
        <v>7257000</v>
      </c>
      <c r="I7" s="198">
        <f t="shared" si="1"/>
        <v>0</v>
      </c>
      <c r="J7" s="198">
        <f t="shared" si="1"/>
        <v>0</v>
      </c>
      <c r="K7" s="198">
        <f t="shared" si="1"/>
        <v>0</v>
      </c>
      <c r="L7" s="198">
        <f t="shared" si="1"/>
        <v>7257000</v>
      </c>
      <c r="M7" s="198">
        <f t="shared" si="1"/>
        <v>6925000</v>
      </c>
      <c r="N7" s="198">
        <f t="shared" si="1"/>
        <v>0</v>
      </c>
      <c r="O7" s="198">
        <f t="shared" si="1"/>
        <v>16075000</v>
      </c>
      <c r="P7" s="198">
        <f t="shared" si="1"/>
        <v>6925000</v>
      </c>
      <c r="Q7" s="198">
        <f t="shared" si="1"/>
        <v>0</v>
      </c>
      <c r="R7" s="198">
        <f t="shared" si="1"/>
        <v>0</v>
      </c>
      <c r="S7" s="198">
        <f t="shared" si="1"/>
        <v>0</v>
      </c>
      <c r="T7" s="198">
        <f t="shared" si="1"/>
        <v>0</v>
      </c>
      <c r="U7" s="198">
        <f t="shared" si="1"/>
        <v>0</v>
      </c>
      <c r="V7" s="198">
        <f t="shared" si="1"/>
        <v>0</v>
      </c>
      <c r="W7" s="198">
        <f t="shared" si="1"/>
        <v>0</v>
      </c>
      <c r="X7" s="198">
        <f t="shared" si="1"/>
        <v>0</v>
      </c>
      <c r="Y7" s="198">
        <f t="shared" si="1"/>
        <v>0</v>
      </c>
      <c r="Z7" s="198">
        <f t="shared" si="1"/>
        <v>0</v>
      </c>
      <c r="AA7" s="763"/>
      <c r="AB7" s="15"/>
      <c r="AC7" s="765"/>
      <c r="AD7" s="766"/>
      <c r="AE7" s="766"/>
      <c r="AF7" s="767"/>
      <c r="AG7" s="767"/>
      <c r="AH7" s="766"/>
    </row>
    <row r="8" spans="1:34" s="15" customFormat="1">
      <c r="A8" s="13"/>
      <c r="B8" s="13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3"/>
    </row>
    <row r="9" spans="1:34" s="15" customFormat="1">
      <c r="A9" s="13">
        <f>A6+1</f>
        <v>2</v>
      </c>
      <c r="B9" s="13">
        <v>1032</v>
      </c>
      <c r="C9" s="13" t="s">
        <v>340</v>
      </c>
      <c r="D9" s="14">
        <f>'כללי  '!D6</f>
        <v>40500000</v>
      </c>
      <c r="E9" s="14">
        <f>'כללי  '!E6</f>
        <v>40500000</v>
      </c>
      <c r="F9" s="14">
        <f>'כללי  '!F6</f>
        <v>0</v>
      </c>
      <c r="G9" s="14">
        <f>'כללי  '!G6</f>
        <v>25300000</v>
      </c>
      <c r="H9" s="14">
        <f>'כללי  '!H6</f>
        <v>19258553.370000001</v>
      </c>
      <c r="I9" s="14">
        <f>'כללי  '!I6</f>
        <v>207252.8</v>
      </c>
      <c r="J9" s="14">
        <f>'כללי  '!J6</f>
        <v>1923507.15</v>
      </c>
      <c r="K9" s="14">
        <f>'כללי  '!K6</f>
        <v>2130759.9499999997</v>
      </c>
      <c r="L9" s="14">
        <f>'כללי  '!L6</f>
        <v>21389313.32</v>
      </c>
      <c r="M9" s="14">
        <f>'כללי  '!M6</f>
        <v>4870686.68</v>
      </c>
      <c r="N9" s="14">
        <f>'כללי  '!N6</f>
        <v>5000000</v>
      </c>
      <c r="O9" s="14">
        <f>'כללי  '!O6</f>
        <v>9240000</v>
      </c>
      <c r="P9" s="14">
        <f>'כללי  '!P6</f>
        <v>3910686.6799999997</v>
      </c>
      <c r="Q9" s="14">
        <f>'כללי  '!Q6</f>
        <v>960000</v>
      </c>
      <c r="R9" s="14">
        <f>'כללי  '!R6</f>
        <v>0</v>
      </c>
      <c r="S9" s="14">
        <f>'כללי  '!S6</f>
        <v>960000</v>
      </c>
      <c r="T9" s="14">
        <f>'כללי  '!T6</f>
        <v>0</v>
      </c>
      <c r="U9" s="14">
        <f>'כללי  '!U6</f>
        <v>5000000</v>
      </c>
      <c r="V9" s="14">
        <f>'כללי  '!V6</f>
        <v>5000000</v>
      </c>
      <c r="W9" s="14">
        <f>'כללי  '!W6</f>
        <v>0</v>
      </c>
      <c r="X9" s="14">
        <f>'כללי  '!X6</f>
        <v>0</v>
      </c>
      <c r="Y9" s="14">
        <f>'כללי  '!Y6</f>
        <v>0</v>
      </c>
      <c r="Z9" s="14">
        <f>'כללי  '!Z6</f>
        <v>0</v>
      </c>
      <c r="AA9" s="13">
        <f>'כללי  '!AA6</f>
        <v>742000</v>
      </c>
      <c r="AC9" s="61"/>
      <c r="AD9" s="116"/>
    </row>
    <row r="10" spans="1:34" s="15" customFormat="1">
      <c r="A10" s="13">
        <f>A9+1</f>
        <v>3</v>
      </c>
      <c r="B10" s="13">
        <v>1793</v>
      </c>
      <c r="C10" s="13" t="s">
        <v>454</v>
      </c>
      <c r="D10" s="14">
        <f>'כללי  '!D11</f>
        <v>2883606</v>
      </c>
      <c r="E10" s="14">
        <f>'כללי  '!E11</f>
        <v>4166020</v>
      </c>
      <c r="F10" s="14">
        <f>'כללי  '!F11</f>
        <v>-1282414</v>
      </c>
      <c r="G10" s="14">
        <f>'כללי  '!G11</f>
        <v>4320020</v>
      </c>
      <c r="H10" s="14">
        <f>'כללי  '!H11</f>
        <v>2692202.1</v>
      </c>
      <c r="I10" s="14">
        <f>'כללי  '!I11</f>
        <v>0</v>
      </c>
      <c r="J10" s="14">
        <f>'כללי  '!J11</f>
        <v>0</v>
      </c>
      <c r="K10" s="14">
        <f>'כללי  '!K11</f>
        <v>0</v>
      </c>
      <c r="L10" s="14">
        <f>'כללי  '!L11</f>
        <v>2692202.1</v>
      </c>
      <c r="M10" s="14">
        <f>'כללי  '!M11</f>
        <v>191403.89999999991</v>
      </c>
      <c r="N10" s="14">
        <f>'כללי  '!N11</f>
        <v>0</v>
      </c>
      <c r="O10" s="14">
        <f>'כללי  '!O11</f>
        <v>0</v>
      </c>
      <c r="P10" s="14">
        <f>'כללי  '!P11</f>
        <v>1627817.9</v>
      </c>
      <c r="Q10" s="14">
        <f>'כללי  '!Q11</f>
        <v>-154000</v>
      </c>
      <c r="R10" s="14">
        <f>'כללי  '!R11</f>
        <v>0</v>
      </c>
      <c r="S10" s="14">
        <f>'כללי  '!S11</f>
        <v>-154000</v>
      </c>
      <c r="T10" s="14">
        <f>'כללי  '!T11</f>
        <v>1282414</v>
      </c>
      <c r="U10" s="14">
        <f>'כללי  '!U11</f>
        <v>-1282414</v>
      </c>
      <c r="V10" s="14">
        <f>'כללי  '!V11</f>
        <v>-758414</v>
      </c>
      <c r="W10" s="14">
        <f>'כללי  '!W11</f>
        <v>-524000</v>
      </c>
      <c r="X10" s="14">
        <f>'כללי  '!X11</f>
        <v>0</v>
      </c>
      <c r="Y10" s="14">
        <f>'כללי  '!Y11</f>
        <v>0</v>
      </c>
      <c r="Z10" s="14">
        <f>'כללי  '!Z11</f>
        <v>0</v>
      </c>
      <c r="AA10" s="13">
        <f>'כללי  '!AA11</f>
        <v>742000</v>
      </c>
    </row>
    <row r="11" spans="1:34" s="15" customFormat="1">
      <c r="A11" s="13">
        <f>A10+1</f>
        <v>4</v>
      </c>
      <c r="B11" s="13">
        <v>1945</v>
      </c>
      <c r="C11" s="13" t="s">
        <v>397</v>
      </c>
      <c r="D11" s="14">
        <f>'כללי  '!D12</f>
        <v>230000</v>
      </c>
      <c r="E11" s="14">
        <f>'כללי  '!E12</f>
        <v>230000</v>
      </c>
      <c r="F11" s="14">
        <f>'כללי  '!F12</f>
        <v>0</v>
      </c>
      <c r="G11" s="14">
        <f>'כללי  '!G12</f>
        <v>230000</v>
      </c>
      <c r="H11" s="14">
        <f>'כללי  '!H12</f>
        <v>0</v>
      </c>
      <c r="I11" s="14">
        <f>'כללי  '!I12</f>
        <v>0</v>
      </c>
      <c r="J11" s="14">
        <f>'כללי  '!J12</f>
        <v>95000</v>
      </c>
      <c r="K11" s="14">
        <f>'כללי  '!K12</f>
        <v>95000</v>
      </c>
      <c r="L11" s="14">
        <f>'כללי  '!L12</f>
        <v>95000</v>
      </c>
      <c r="M11" s="14">
        <f>'כללי  '!M12</f>
        <v>135000</v>
      </c>
      <c r="N11" s="14">
        <f>'כללי  '!N12</f>
        <v>0</v>
      </c>
      <c r="O11" s="14">
        <f>'כללי  '!O12</f>
        <v>0</v>
      </c>
      <c r="P11" s="14">
        <f>'כללי  '!P12</f>
        <v>135000</v>
      </c>
      <c r="Q11" s="14">
        <f>'כללי  '!Q12</f>
        <v>0</v>
      </c>
      <c r="R11" s="14">
        <f>'כללי  '!R12</f>
        <v>0</v>
      </c>
      <c r="S11" s="14">
        <f>'כללי  '!S12</f>
        <v>0</v>
      </c>
      <c r="T11" s="14">
        <f>'כללי  '!T12</f>
        <v>0</v>
      </c>
      <c r="U11" s="14">
        <f>'כללי  '!U12</f>
        <v>0</v>
      </c>
      <c r="V11" s="14">
        <f>'כללי  '!V12</f>
        <v>0</v>
      </c>
      <c r="W11" s="14">
        <f>'כללי  '!W12</f>
        <v>0</v>
      </c>
      <c r="X11" s="14">
        <f>'כללי  '!X12</f>
        <v>0</v>
      </c>
      <c r="Y11" s="14">
        <f>'כללי  '!Y12</f>
        <v>0</v>
      </c>
      <c r="Z11" s="14">
        <f>'כללי  '!Z12</f>
        <v>0</v>
      </c>
      <c r="AA11" s="13">
        <f>'כללי  '!AA12</f>
        <v>742000</v>
      </c>
    </row>
    <row r="12" spans="1:34" s="15" customFormat="1">
      <c r="A12" s="13">
        <f>A11+1</f>
        <v>5</v>
      </c>
      <c r="B12" s="13">
        <v>1986</v>
      </c>
      <c r="C12" s="13" t="s">
        <v>378</v>
      </c>
      <c r="D12" s="14">
        <f>'כללי  '!D13</f>
        <v>6400000</v>
      </c>
      <c r="E12" s="14">
        <f>'כללי  '!E13</f>
        <v>10000000</v>
      </c>
      <c r="F12" s="14">
        <f>'כללי  '!F13</f>
        <v>-3600000</v>
      </c>
      <c r="G12" s="14">
        <f>'כללי  '!G13</f>
        <v>4400000</v>
      </c>
      <c r="H12" s="14">
        <f>'כללי  '!H13</f>
        <v>485873.54</v>
      </c>
      <c r="I12" s="14">
        <f>'כללי  '!I13</f>
        <v>0</v>
      </c>
      <c r="J12" s="14">
        <f>'כללי  '!J13</f>
        <v>213363.88</v>
      </c>
      <c r="K12" s="14">
        <f>'כללי  '!K13</f>
        <v>213363.88</v>
      </c>
      <c r="L12" s="14">
        <f>'כללי  '!L13</f>
        <v>699237.41999999993</v>
      </c>
      <c r="M12" s="14">
        <f>'כללי  '!M13</f>
        <v>1700762.58</v>
      </c>
      <c r="N12" s="14">
        <f>'כללי  '!N13</f>
        <v>4000000</v>
      </c>
      <c r="O12" s="14">
        <f>'כללי  '!O13</f>
        <v>0</v>
      </c>
      <c r="P12" s="14">
        <f>'כללי  '!P13</f>
        <v>3700762.58</v>
      </c>
      <c r="Q12" s="14">
        <f>'כללי  '!Q13</f>
        <v>0</v>
      </c>
      <c r="R12" s="14">
        <f>'כללי  '!R13</f>
        <v>0</v>
      </c>
      <c r="S12" s="14">
        <f>'כללי  '!S13</f>
        <v>0</v>
      </c>
      <c r="T12" s="14">
        <f>'כללי  '!T13</f>
        <v>2000000</v>
      </c>
      <c r="U12" s="14">
        <f>'כללי  '!U13</f>
        <v>2000000</v>
      </c>
      <c r="V12" s="14">
        <f>'כללי  '!V13</f>
        <v>2000000</v>
      </c>
      <c r="W12" s="14">
        <f>'כללי  '!W13</f>
        <v>0</v>
      </c>
      <c r="X12" s="14">
        <f>'כללי  '!X13</f>
        <v>0</v>
      </c>
      <c r="Y12" s="14">
        <f>'כללי  '!Y13</f>
        <v>0</v>
      </c>
      <c r="Z12" s="14">
        <f>'כללי  '!Z13</f>
        <v>0</v>
      </c>
      <c r="AA12" s="13">
        <f>'כללי  '!AA13</f>
        <v>742000</v>
      </c>
    </row>
    <row r="13" spans="1:34" s="149" customFormat="1">
      <c r="A13" s="81"/>
      <c r="B13" s="81">
        <v>3</v>
      </c>
      <c r="C13" s="81" t="s">
        <v>1038</v>
      </c>
      <c r="D13" s="198">
        <f>SUM(D9:D12)</f>
        <v>50013606</v>
      </c>
      <c r="E13" s="198">
        <f t="shared" ref="E13:Z13" si="2">SUM(E9:E12)</f>
        <v>54896020</v>
      </c>
      <c r="F13" s="198">
        <f t="shared" si="2"/>
        <v>-4882414</v>
      </c>
      <c r="G13" s="198">
        <f t="shared" si="2"/>
        <v>34250020</v>
      </c>
      <c r="H13" s="198">
        <f t="shared" si="2"/>
        <v>22436629.010000002</v>
      </c>
      <c r="I13" s="198">
        <f t="shared" si="2"/>
        <v>207252.8</v>
      </c>
      <c r="J13" s="198">
        <f t="shared" si="2"/>
        <v>2231871.0299999998</v>
      </c>
      <c r="K13" s="198">
        <f t="shared" si="2"/>
        <v>2439123.8299999996</v>
      </c>
      <c r="L13" s="198">
        <f t="shared" si="2"/>
        <v>24875752.840000004</v>
      </c>
      <c r="M13" s="198">
        <f t="shared" si="2"/>
        <v>6897853.1600000001</v>
      </c>
      <c r="N13" s="198">
        <f t="shared" si="2"/>
        <v>9000000</v>
      </c>
      <c r="O13" s="198">
        <f t="shared" si="2"/>
        <v>9240000</v>
      </c>
      <c r="P13" s="198">
        <f t="shared" si="2"/>
        <v>9374267.1600000001</v>
      </c>
      <c r="Q13" s="198">
        <f t="shared" si="2"/>
        <v>806000</v>
      </c>
      <c r="R13" s="198">
        <f t="shared" si="2"/>
        <v>0</v>
      </c>
      <c r="S13" s="198">
        <f t="shared" si="2"/>
        <v>806000</v>
      </c>
      <c r="T13" s="198">
        <f t="shared" si="2"/>
        <v>3282414</v>
      </c>
      <c r="U13" s="198">
        <f t="shared" si="2"/>
        <v>5717586</v>
      </c>
      <c r="V13" s="198">
        <f t="shared" si="2"/>
        <v>6241586</v>
      </c>
      <c r="W13" s="198">
        <f t="shared" si="2"/>
        <v>-524000</v>
      </c>
      <c r="X13" s="198">
        <f t="shared" si="2"/>
        <v>0</v>
      </c>
      <c r="Y13" s="198">
        <f t="shared" si="2"/>
        <v>0</v>
      </c>
      <c r="Z13" s="198">
        <f t="shared" si="2"/>
        <v>0</v>
      </c>
      <c r="AA13" s="763"/>
      <c r="AB13" s="15"/>
      <c r="AC13" s="765"/>
      <c r="AD13" s="766"/>
      <c r="AE13" s="766"/>
      <c r="AF13" s="767"/>
      <c r="AG13" s="767"/>
      <c r="AH13" s="766"/>
    </row>
    <row r="14" spans="1:34" s="15" customFormat="1">
      <c r="A14" s="13"/>
      <c r="B14" s="13"/>
      <c r="C14" s="13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3"/>
    </row>
    <row r="15" spans="1:34" s="15" customFormat="1">
      <c r="A15" s="13">
        <f>A12+1</f>
        <v>6</v>
      </c>
      <c r="B15" s="13">
        <v>1259</v>
      </c>
      <c r="C15" s="13" t="s">
        <v>122</v>
      </c>
      <c r="D15" s="14">
        <f>'כללי  '!D7</f>
        <v>5460000</v>
      </c>
      <c r="E15" s="14">
        <f>'כללי  '!E7</f>
        <v>5460000</v>
      </c>
      <c r="F15" s="14">
        <f>'כללי  '!F7</f>
        <v>0</v>
      </c>
      <c r="G15" s="14">
        <f>'כללי  '!G7</f>
        <v>3110000</v>
      </c>
      <c r="H15" s="14">
        <f>'כללי  '!H7</f>
        <v>2255634.79</v>
      </c>
      <c r="I15" s="14">
        <f>'כללי  '!I7</f>
        <v>0</v>
      </c>
      <c r="J15" s="14">
        <f>'כללי  '!J7</f>
        <v>578297.63</v>
      </c>
      <c r="K15" s="14">
        <f>'כללי  '!K7</f>
        <v>578297.63</v>
      </c>
      <c r="L15" s="14">
        <f>'כללי  '!L7</f>
        <v>2833932.42</v>
      </c>
      <c r="M15" s="14">
        <f>'כללי  '!M7</f>
        <v>576067.58000000007</v>
      </c>
      <c r="N15" s="14">
        <f>'כללי  '!N7</f>
        <v>350000</v>
      </c>
      <c r="O15" s="14">
        <f>'כללי  '!O7</f>
        <v>1700000</v>
      </c>
      <c r="P15" s="14">
        <f>'כללי  '!P7</f>
        <v>276067.58000000007</v>
      </c>
      <c r="Q15" s="14">
        <f>'כללי  '!Q7</f>
        <v>300000</v>
      </c>
      <c r="R15" s="14">
        <f>'כללי  '!R7</f>
        <v>0</v>
      </c>
      <c r="S15" s="14">
        <f>'כללי  '!S7</f>
        <v>300000</v>
      </c>
      <c r="T15" s="14">
        <f>'כללי  '!T7</f>
        <v>0</v>
      </c>
      <c r="U15" s="14">
        <f>'כללי  '!U7</f>
        <v>350000</v>
      </c>
      <c r="V15" s="14">
        <f>'כללי  '!V7</f>
        <v>350000</v>
      </c>
      <c r="W15" s="14">
        <f>'כללי  '!W7</f>
        <v>0</v>
      </c>
      <c r="X15" s="14">
        <f>'כללי  '!X7</f>
        <v>0</v>
      </c>
      <c r="Y15" s="14">
        <f>'כללי  '!Y7</f>
        <v>0</v>
      </c>
      <c r="Z15" s="14">
        <f>'כללי  '!Z7</f>
        <v>0</v>
      </c>
      <c r="AA15" s="13">
        <f>'כללי  '!AA7</f>
        <v>760000</v>
      </c>
    </row>
    <row r="16" spans="1:34" s="15" customFormat="1">
      <c r="A16" s="13">
        <f>A15+1</f>
        <v>7</v>
      </c>
      <c r="B16" s="13">
        <v>1260</v>
      </c>
      <c r="C16" s="13" t="s">
        <v>123</v>
      </c>
      <c r="D16" s="14">
        <f>'כללי  '!D8</f>
        <v>8608000</v>
      </c>
      <c r="E16" s="14">
        <f>'כללי  '!E8</f>
        <v>8608000</v>
      </c>
      <c r="F16" s="14">
        <f>'כללי  '!F8</f>
        <v>0</v>
      </c>
      <c r="G16" s="14">
        <f>'כללי  '!G8</f>
        <v>7608000</v>
      </c>
      <c r="H16" s="14">
        <f>'כללי  '!H8</f>
        <v>7116491.0800000001</v>
      </c>
      <c r="I16" s="14">
        <f>'כללי  '!I8</f>
        <v>0</v>
      </c>
      <c r="J16" s="14">
        <f>'כללי  '!J8</f>
        <v>286040.83</v>
      </c>
      <c r="K16" s="14">
        <f>'כללי  '!K8</f>
        <v>286040.83</v>
      </c>
      <c r="L16" s="14">
        <f>'כללי  '!L8</f>
        <v>7402531.9100000001</v>
      </c>
      <c r="M16" s="14">
        <f>'כללי  '!M8</f>
        <v>505468.08999999985</v>
      </c>
      <c r="N16" s="14">
        <f>'כללי  '!N8</f>
        <v>700000</v>
      </c>
      <c r="O16" s="14">
        <f>'כללי  '!O8</f>
        <v>0</v>
      </c>
      <c r="P16" s="14">
        <f>'כללי  '!P8</f>
        <v>205468.08999999985</v>
      </c>
      <c r="Q16" s="14">
        <f>'כללי  '!Q8</f>
        <v>300000</v>
      </c>
      <c r="R16" s="14">
        <f>'כללי  '!R8</f>
        <v>0</v>
      </c>
      <c r="S16" s="14">
        <f>'כללי  '!S8</f>
        <v>300000</v>
      </c>
      <c r="T16" s="14">
        <f>'כללי  '!T8</f>
        <v>0</v>
      </c>
      <c r="U16" s="14">
        <f>'כללי  '!U8</f>
        <v>700000</v>
      </c>
      <c r="V16" s="14">
        <f>'כללי  '!V8</f>
        <v>350000</v>
      </c>
      <c r="W16" s="14">
        <f>'כללי  '!W8</f>
        <v>350000</v>
      </c>
      <c r="X16" s="14">
        <f>'כללי  '!X8</f>
        <v>0</v>
      </c>
      <c r="Y16" s="14">
        <f>'כללי  '!Y8</f>
        <v>0</v>
      </c>
      <c r="Z16" s="14">
        <f>'כללי  '!Z8</f>
        <v>0</v>
      </c>
      <c r="AA16" s="13">
        <f>'כללי  '!AA8</f>
        <v>760000</v>
      </c>
    </row>
    <row r="17" spans="1:34" s="149" customFormat="1">
      <c r="A17" s="81"/>
      <c r="B17" s="81">
        <v>5</v>
      </c>
      <c r="C17" s="81" t="s">
        <v>1039</v>
      </c>
      <c r="D17" s="198">
        <f>SUM(D15:D16)</f>
        <v>14068000</v>
      </c>
      <c r="E17" s="198">
        <f t="shared" ref="E17:Z17" si="3">SUM(E15:E16)</f>
        <v>14068000</v>
      </c>
      <c r="F17" s="198">
        <f t="shared" si="3"/>
        <v>0</v>
      </c>
      <c r="G17" s="198">
        <f t="shared" si="3"/>
        <v>10718000</v>
      </c>
      <c r="H17" s="198">
        <f t="shared" si="3"/>
        <v>9372125.870000001</v>
      </c>
      <c r="I17" s="198">
        <f t="shared" si="3"/>
        <v>0</v>
      </c>
      <c r="J17" s="198">
        <f t="shared" si="3"/>
        <v>864338.46</v>
      </c>
      <c r="K17" s="198">
        <f t="shared" si="3"/>
        <v>864338.46</v>
      </c>
      <c r="L17" s="198">
        <f t="shared" si="3"/>
        <v>10236464.33</v>
      </c>
      <c r="M17" s="198">
        <f t="shared" si="3"/>
        <v>1081535.67</v>
      </c>
      <c r="N17" s="198">
        <f t="shared" si="3"/>
        <v>1050000</v>
      </c>
      <c r="O17" s="198">
        <f t="shared" si="3"/>
        <v>1700000</v>
      </c>
      <c r="P17" s="198">
        <f t="shared" si="3"/>
        <v>481535.66999999993</v>
      </c>
      <c r="Q17" s="198">
        <f t="shared" si="3"/>
        <v>600000</v>
      </c>
      <c r="R17" s="198">
        <f t="shared" si="3"/>
        <v>0</v>
      </c>
      <c r="S17" s="198">
        <f t="shared" si="3"/>
        <v>600000</v>
      </c>
      <c r="T17" s="198">
        <f t="shared" si="3"/>
        <v>0</v>
      </c>
      <c r="U17" s="198">
        <f t="shared" si="3"/>
        <v>1050000</v>
      </c>
      <c r="V17" s="198">
        <f t="shared" si="3"/>
        <v>700000</v>
      </c>
      <c r="W17" s="198">
        <f t="shared" si="3"/>
        <v>350000</v>
      </c>
      <c r="X17" s="198">
        <f t="shared" si="3"/>
        <v>0</v>
      </c>
      <c r="Y17" s="198">
        <f t="shared" si="3"/>
        <v>0</v>
      </c>
      <c r="Z17" s="198">
        <f t="shared" si="3"/>
        <v>0</v>
      </c>
      <c r="AA17" s="763"/>
      <c r="AB17" s="15"/>
      <c r="AC17" s="765"/>
      <c r="AD17" s="766"/>
      <c r="AE17" s="766"/>
      <c r="AF17" s="767"/>
      <c r="AG17" s="767"/>
      <c r="AH17" s="766"/>
    </row>
    <row r="18" spans="1:34" s="15" customFormat="1">
      <c r="A18" s="13"/>
      <c r="B18" s="13"/>
      <c r="C18" s="13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3"/>
    </row>
    <row r="19" spans="1:34" s="15" customFormat="1">
      <c r="A19" s="13">
        <f>A16+1</f>
        <v>8</v>
      </c>
      <c r="B19" s="13">
        <v>1688</v>
      </c>
      <c r="C19" s="13" t="s">
        <v>125</v>
      </c>
      <c r="D19" s="14">
        <f>'כללי  '!D10</f>
        <v>15133000</v>
      </c>
      <c r="E19" s="14">
        <f>'כללי  '!E10</f>
        <v>15133000</v>
      </c>
      <c r="F19" s="14">
        <f>'כללי  '!F10</f>
        <v>0</v>
      </c>
      <c r="G19" s="14">
        <f>'כללי  '!G10</f>
        <v>15133000</v>
      </c>
      <c r="H19" s="14">
        <f>'כללי  '!H10</f>
        <v>15133000</v>
      </c>
      <c r="I19" s="14">
        <f>'כללי  '!I10</f>
        <v>0</v>
      </c>
      <c r="J19" s="14">
        <f>'כללי  '!J10</f>
        <v>0</v>
      </c>
      <c r="K19" s="14">
        <f>'כללי  '!K10</f>
        <v>0</v>
      </c>
      <c r="L19" s="14">
        <f>'כללי  '!L10</f>
        <v>15133000</v>
      </c>
      <c r="M19" s="14">
        <f>'כללי  '!M10</f>
        <v>0</v>
      </c>
      <c r="N19" s="14">
        <f>'כללי  '!N10</f>
        <v>0</v>
      </c>
      <c r="O19" s="14">
        <f>'כללי  '!O10</f>
        <v>0</v>
      </c>
      <c r="P19" s="14">
        <f>'כללי  '!P10</f>
        <v>0</v>
      </c>
      <c r="Q19" s="14">
        <f>'כללי  '!Q10</f>
        <v>0</v>
      </c>
      <c r="R19" s="14">
        <f>'כללי  '!R10</f>
        <v>0</v>
      </c>
      <c r="S19" s="14">
        <f>'כללי  '!S10</f>
        <v>0</v>
      </c>
      <c r="T19" s="14">
        <f>'כללי  '!T10</f>
        <v>0</v>
      </c>
      <c r="U19" s="14">
        <f>'כללי  '!U10</f>
        <v>0</v>
      </c>
      <c r="V19" s="14">
        <f>'כללי  '!V10</f>
        <v>0</v>
      </c>
      <c r="W19" s="14">
        <f>'כללי  '!W10</f>
        <v>0</v>
      </c>
      <c r="X19" s="14">
        <f>'כללי  '!X10</f>
        <v>0</v>
      </c>
      <c r="Y19" s="14">
        <f>'כללי  '!Y10</f>
        <v>0</v>
      </c>
      <c r="Z19" s="14">
        <f>'כללי  '!Z10</f>
        <v>0</v>
      </c>
      <c r="AA19" s="13">
        <f>'כללי  '!AA10</f>
        <v>990000</v>
      </c>
    </row>
    <row r="20" spans="1:34" s="149" customFormat="1">
      <c r="A20" s="81"/>
      <c r="B20" s="81">
        <v>12</v>
      </c>
      <c r="C20" s="81" t="s">
        <v>1055</v>
      </c>
      <c r="D20" s="198">
        <f>SUM(D19)</f>
        <v>15133000</v>
      </c>
      <c r="E20" s="198">
        <f t="shared" ref="E20:Z20" si="4">SUM(E19)</f>
        <v>15133000</v>
      </c>
      <c r="F20" s="198">
        <f t="shared" si="4"/>
        <v>0</v>
      </c>
      <c r="G20" s="198">
        <f t="shared" si="4"/>
        <v>15133000</v>
      </c>
      <c r="H20" s="198">
        <f t="shared" si="4"/>
        <v>15133000</v>
      </c>
      <c r="I20" s="198">
        <f t="shared" si="4"/>
        <v>0</v>
      </c>
      <c r="J20" s="198">
        <f t="shared" si="4"/>
        <v>0</v>
      </c>
      <c r="K20" s="198">
        <f t="shared" si="4"/>
        <v>0</v>
      </c>
      <c r="L20" s="198">
        <f t="shared" si="4"/>
        <v>15133000</v>
      </c>
      <c r="M20" s="198">
        <f t="shared" si="4"/>
        <v>0</v>
      </c>
      <c r="N20" s="198">
        <f t="shared" si="4"/>
        <v>0</v>
      </c>
      <c r="O20" s="198">
        <f t="shared" si="4"/>
        <v>0</v>
      </c>
      <c r="P20" s="198">
        <f t="shared" si="4"/>
        <v>0</v>
      </c>
      <c r="Q20" s="198">
        <f t="shared" si="4"/>
        <v>0</v>
      </c>
      <c r="R20" s="198">
        <f t="shared" si="4"/>
        <v>0</v>
      </c>
      <c r="S20" s="198">
        <f t="shared" si="4"/>
        <v>0</v>
      </c>
      <c r="T20" s="198">
        <f t="shared" si="4"/>
        <v>0</v>
      </c>
      <c r="U20" s="198">
        <f t="shared" si="4"/>
        <v>0</v>
      </c>
      <c r="V20" s="198">
        <f t="shared" si="4"/>
        <v>0</v>
      </c>
      <c r="W20" s="198">
        <f t="shared" si="4"/>
        <v>0</v>
      </c>
      <c r="X20" s="198">
        <f t="shared" si="4"/>
        <v>0</v>
      </c>
      <c r="Y20" s="198">
        <f t="shared" si="4"/>
        <v>0</v>
      </c>
      <c r="Z20" s="198">
        <f t="shared" si="4"/>
        <v>0</v>
      </c>
      <c r="AA20" s="763"/>
      <c r="AB20" s="15"/>
      <c r="AC20" s="765"/>
      <c r="AD20" s="766"/>
      <c r="AE20" s="766"/>
      <c r="AF20" s="767"/>
      <c r="AG20" s="767"/>
      <c r="AH20" s="766"/>
    </row>
    <row r="21" spans="1:34" s="15" customFormat="1">
      <c r="A21" s="13"/>
      <c r="B21" s="13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3"/>
    </row>
    <row r="22" spans="1:34" s="99" customFormat="1" ht="15.75">
      <c r="A22" s="85">
        <f>A19</f>
        <v>8</v>
      </c>
      <c r="B22" s="85"/>
      <c r="C22" s="85" t="s">
        <v>126</v>
      </c>
      <c r="D22" s="27">
        <f>D20+D17+D13+D7</f>
        <v>109471606</v>
      </c>
      <c r="E22" s="27">
        <f t="shared" ref="E22:Z22" si="5">E20+E17+E13+E7</f>
        <v>114354020</v>
      </c>
      <c r="F22" s="27">
        <f t="shared" si="5"/>
        <v>-4882414</v>
      </c>
      <c r="G22" s="27">
        <f t="shared" si="5"/>
        <v>74283020</v>
      </c>
      <c r="H22" s="27">
        <f t="shared" si="5"/>
        <v>54198754.880000003</v>
      </c>
      <c r="I22" s="27">
        <f t="shared" si="5"/>
        <v>207252.8</v>
      </c>
      <c r="J22" s="27">
        <f t="shared" si="5"/>
        <v>3096209.4899999998</v>
      </c>
      <c r="K22" s="27">
        <f t="shared" si="5"/>
        <v>3303462.2899999996</v>
      </c>
      <c r="L22" s="27">
        <f t="shared" si="5"/>
        <v>57502217.170000002</v>
      </c>
      <c r="M22" s="27">
        <f t="shared" si="5"/>
        <v>14904388.83</v>
      </c>
      <c r="N22" s="27">
        <f t="shared" si="5"/>
        <v>10050000</v>
      </c>
      <c r="O22" s="27">
        <f t="shared" si="5"/>
        <v>27015000</v>
      </c>
      <c r="P22" s="27">
        <f t="shared" si="5"/>
        <v>16780802.829999998</v>
      </c>
      <c r="Q22" s="27">
        <f t="shared" si="5"/>
        <v>1406000</v>
      </c>
      <c r="R22" s="27">
        <f t="shared" si="5"/>
        <v>0</v>
      </c>
      <c r="S22" s="27">
        <f t="shared" si="5"/>
        <v>1406000</v>
      </c>
      <c r="T22" s="27">
        <f t="shared" si="5"/>
        <v>3282414</v>
      </c>
      <c r="U22" s="27">
        <f t="shared" si="5"/>
        <v>6767586</v>
      </c>
      <c r="V22" s="27">
        <f t="shared" si="5"/>
        <v>6941586</v>
      </c>
      <c r="W22" s="27">
        <f t="shared" si="5"/>
        <v>-174000</v>
      </c>
      <c r="X22" s="27">
        <f t="shared" si="5"/>
        <v>0</v>
      </c>
      <c r="Y22" s="27">
        <f t="shared" si="5"/>
        <v>0</v>
      </c>
      <c r="Z22" s="27">
        <f t="shared" si="5"/>
        <v>0</v>
      </c>
      <c r="AA22" s="85"/>
      <c r="AB22" s="15"/>
    </row>
    <row r="23" spans="1:34" s="15" customFormat="1">
      <c r="A23" s="13"/>
      <c r="B23" s="13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>
        <f>D23-L23-M23-N23</f>
        <v>0</v>
      </c>
      <c r="P23" s="14"/>
      <c r="Q23" s="14"/>
      <c r="R23" s="14"/>
      <c r="S23" s="14"/>
      <c r="T23" s="14">
        <f>P23-M23+R23</f>
        <v>0</v>
      </c>
      <c r="U23" s="14">
        <f>N23-T23</f>
        <v>0</v>
      </c>
      <c r="V23" s="14"/>
      <c r="W23" s="14"/>
      <c r="X23" s="14"/>
      <c r="Y23" s="14"/>
      <c r="Z23" s="13"/>
      <c r="AA23" s="13"/>
    </row>
    <row r="25" spans="1:34">
      <c r="P25" s="622" t="s">
        <v>902</v>
      </c>
      <c r="Q25" s="31">
        <v>2650000</v>
      </c>
    </row>
    <row r="26" spans="1:34">
      <c r="P26" s="31" t="s">
        <v>806</v>
      </c>
      <c r="Q26" s="31">
        <f>1560000-154000</f>
        <v>1406000</v>
      </c>
    </row>
    <row r="27" spans="1:34">
      <c r="Q27" s="31">
        <f>SUM(Q25:Q26)</f>
        <v>4056000</v>
      </c>
    </row>
  </sheetData>
  <sheetProtection formatCells="0" formatColumns="0" formatRows="0" insertColumns="0" insertRows="0" insertHyperlinks="0" deleteColumns="0" deleteRows="0" sort="0" autoFilter="0" pivotTables="0"/>
  <sortState ref="A6:AD13">
    <sortCondition ref="AA6:AA13"/>
  </sortState>
  <conditionalFormatting sqref="AC7:XFD7 A7:Z7">
    <cfRule type="cellIs" dxfId="7" priority="8" operator="equal">
      <formula>0</formula>
    </cfRule>
  </conditionalFormatting>
  <conditionalFormatting sqref="AA7">
    <cfRule type="cellIs" dxfId="6" priority="7" operator="equal">
      <formula>0</formula>
    </cfRule>
  </conditionalFormatting>
  <conditionalFormatting sqref="AC13:XFD13 A13:Z13">
    <cfRule type="cellIs" dxfId="5" priority="6" operator="equal">
      <formula>0</formula>
    </cfRule>
  </conditionalFormatting>
  <conditionalFormatting sqref="AA13">
    <cfRule type="cellIs" dxfId="4" priority="5" operator="equal">
      <formula>0</formula>
    </cfRule>
  </conditionalFormatting>
  <conditionalFormatting sqref="AC17:XFD17 A17:Z17">
    <cfRule type="cellIs" dxfId="3" priority="4" operator="equal">
      <formula>0</formula>
    </cfRule>
  </conditionalFormatting>
  <conditionalFormatting sqref="AA17">
    <cfRule type="cellIs" dxfId="2" priority="3" operator="equal">
      <formula>0</formula>
    </cfRule>
  </conditionalFormatting>
  <conditionalFormatting sqref="AC20:XFD20 A20:Z20">
    <cfRule type="cellIs" dxfId="1" priority="2" operator="equal">
      <formula>0</formula>
    </cfRule>
  </conditionalFormatting>
  <conditionalFormatting sqref="AA20">
    <cfRule type="cellIs" dxfId="0" priority="1" operator="equal">
      <formula>0</formula>
    </cfRule>
  </conditionalFormatting>
  <printOptions horizontalCentered="1"/>
  <pageMargins left="0" right="0" top="1.3385826771653544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4"/>
  <sheetViews>
    <sheetView showZeros="0" rightToLeft="1" zoomScaleNormal="100" workbookViewId="0">
      <pane xSplit="1" ySplit="4" topLeftCell="R12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.75"/>
  <cols>
    <col min="1" max="1" width="22.7109375" style="385" customWidth="1"/>
    <col min="2" max="8" width="12.7109375" style="6" hidden="1" customWidth="1"/>
    <col min="9" max="9" width="11.140625" style="6" hidden="1" customWidth="1"/>
    <col min="10" max="10" width="12.7109375" style="5" hidden="1" customWidth="1"/>
    <col min="11" max="11" width="11.42578125" style="6" hidden="1" customWidth="1"/>
    <col min="12" max="12" width="11.140625" style="6" hidden="1" customWidth="1"/>
    <col min="13" max="13" width="12.5703125" style="6" hidden="1" customWidth="1"/>
    <col min="14" max="14" width="12.7109375" style="5" hidden="1" customWidth="1"/>
    <col min="15" max="17" width="12.140625" style="6" hidden="1" customWidth="1"/>
    <col min="18" max="18" width="11.140625" style="6" customWidth="1"/>
    <col min="19" max="19" width="12.140625" style="6" customWidth="1"/>
    <col min="20" max="20" width="11.85546875" style="6" customWidth="1"/>
    <col min="21" max="21" width="11.28515625" style="6" customWidth="1"/>
    <col min="22" max="22" width="8.28515625" style="6" hidden="1" customWidth="1"/>
    <col min="23" max="23" width="12" style="6" customWidth="1"/>
    <col min="24" max="34" width="13.42578125" style="382" hidden="1" customWidth="1"/>
    <col min="35" max="35" width="11.85546875" style="382" hidden="1" customWidth="1"/>
    <col min="36" max="36" width="11.140625" style="382" hidden="1" customWidth="1"/>
    <col min="37" max="37" width="13.42578125" style="382" customWidth="1"/>
    <col min="38" max="38" width="12.85546875" style="382" customWidth="1"/>
    <col min="39" max="39" width="13.28515625" style="382" customWidth="1"/>
    <col min="40" max="40" width="12" style="382" customWidth="1"/>
    <col min="41" max="41" width="13.85546875" style="382" customWidth="1"/>
    <col min="42" max="42" width="11.140625" style="382" hidden="1" customWidth="1"/>
    <col min="43" max="43" width="10.140625" style="382" hidden="1" customWidth="1"/>
    <col min="44" max="45" width="11.140625" style="382" hidden="1" customWidth="1"/>
    <col min="46" max="46" width="10.140625" style="382" hidden="1" customWidth="1"/>
    <col min="47" max="47" width="11.140625" style="382" hidden="1" customWidth="1"/>
    <col min="48" max="48" width="9.140625" style="382"/>
    <col min="49" max="49" width="13.140625" style="382" customWidth="1"/>
    <col min="50" max="50" width="15" style="382" bestFit="1" customWidth="1"/>
    <col min="51" max="16384" width="9.140625" style="382"/>
  </cols>
  <sheetData>
    <row r="1" spans="1:50" s="353" customFormat="1" ht="23.25">
      <c r="A1" s="776" t="s">
        <v>937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50" s="353" customFormat="1" ht="23.25">
      <c r="A2" s="354"/>
      <c r="B2" s="355"/>
      <c r="C2" s="355"/>
      <c r="D2" s="355"/>
      <c r="E2" s="355"/>
      <c r="F2" s="355"/>
      <c r="G2" s="355"/>
      <c r="H2" s="355"/>
      <c r="I2" s="355"/>
      <c r="J2" s="4"/>
      <c r="K2" s="355"/>
      <c r="L2" s="355"/>
      <c r="M2" s="355"/>
      <c r="N2" s="4"/>
      <c r="O2" s="355"/>
      <c r="P2" s="355"/>
      <c r="Q2" s="355"/>
      <c r="R2" s="355"/>
      <c r="S2" s="355"/>
      <c r="T2" s="355"/>
      <c r="U2" s="355"/>
      <c r="V2" s="355"/>
      <c r="W2" s="355"/>
    </row>
    <row r="3" spans="1:50" s="360" customFormat="1">
      <c r="A3" s="356"/>
      <c r="B3" s="815" t="s">
        <v>190</v>
      </c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357"/>
      <c r="Q3" s="357"/>
      <c r="R3" s="815" t="s">
        <v>191</v>
      </c>
      <c r="S3" s="815"/>
      <c r="T3" s="815"/>
      <c r="U3" s="816"/>
      <c r="V3" s="815"/>
      <c r="W3" s="815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632" t="s">
        <v>636</v>
      </c>
      <c r="AI3" s="820" t="s">
        <v>636</v>
      </c>
      <c r="AJ3" s="821"/>
      <c r="AK3" s="822"/>
      <c r="AL3" s="359"/>
      <c r="AM3" s="621" t="s">
        <v>1092</v>
      </c>
      <c r="AN3" s="653"/>
      <c r="AO3" s="652"/>
      <c r="AP3" s="817" t="s">
        <v>883</v>
      </c>
      <c r="AQ3" s="818"/>
      <c r="AR3" s="819"/>
      <c r="AS3" s="817" t="s">
        <v>934</v>
      </c>
      <c r="AT3" s="818"/>
      <c r="AU3" s="819"/>
    </row>
    <row r="4" spans="1:50" s="365" customFormat="1" ht="68.25" customHeight="1">
      <c r="A4" s="356" t="s">
        <v>192</v>
      </c>
      <c r="B4" s="356" t="s">
        <v>193</v>
      </c>
      <c r="C4" s="356" t="s">
        <v>4</v>
      </c>
      <c r="D4" s="356" t="s">
        <v>194</v>
      </c>
      <c r="E4" s="356" t="s">
        <v>212</v>
      </c>
      <c r="F4" s="361" t="s">
        <v>7</v>
      </c>
      <c r="G4" s="361" t="s">
        <v>8</v>
      </c>
      <c r="H4" s="361" t="s">
        <v>9</v>
      </c>
      <c r="I4" s="361" t="s">
        <v>10</v>
      </c>
      <c r="J4" s="248" t="s">
        <v>11</v>
      </c>
      <c r="K4" s="12" t="s">
        <v>637</v>
      </c>
      <c r="L4" s="356" t="s">
        <v>638</v>
      </c>
      <c r="M4" s="356" t="s">
        <v>639</v>
      </c>
      <c r="N4" s="248" t="s">
        <v>195</v>
      </c>
      <c r="O4" s="361" t="s">
        <v>640</v>
      </c>
      <c r="P4" s="361" t="s">
        <v>641</v>
      </c>
      <c r="Q4" s="361" t="s">
        <v>642</v>
      </c>
      <c r="R4" s="361" t="s">
        <v>643</v>
      </c>
      <c r="S4" s="356" t="s">
        <v>644</v>
      </c>
      <c r="T4" s="362" t="s">
        <v>13</v>
      </c>
      <c r="U4" s="356" t="s">
        <v>14</v>
      </c>
      <c r="V4" s="363" t="s">
        <v>15</v>
      </c>
      <c r="W4" s="356" t="s">
        <v>184</v>
      </c>
      <c r="X4" s="364" t="s">
        <v>645</v>
      </c>
      <c r="Y4" s="364" t="s">
        <v>646</v>
      </c>
      <c r="Z4" s="364" t="s">
        <v>647</v>
      </c>
      <c r="AA4" s="364" t="s">
        <v>648</v>
      </c>
      <c r="AB4" s="364" t="s">
        <v>649</v>
      </c>
      <c r="AC4" s="364" t="s">
        <v>650</v>
      </c>
      <c r="AD4" s="364" t="s">
        <v>651</v>
      </c>
      <c r="AE4" s="364" t="s">
        <v>652</v>
      </c>
      <c r="AF4" s="364" t="s">
        <v>653</v>
      </c>
      <c r="AG4" s="364" t="s">
        <v>654</v>
      </c>
      <c r="AH4" s="364" t="s">
        <v>655</v>
      </c>
      <c r="AI4" s="12" t="s">
        <v>938</v>
      </c>
      <c r="AJ4" s="12" t="s">
        <v>939</v>
      </c>
      <c r="AK4" s="12" t="s">
        <v>940</v>
      </c>
      <c r="AL4" s="12" t="s">
        <v>941</v>
      </c>
      <c r="AM4" s="12" t="s">
        <v>13</v>
      </c>
      <c r="AN4" s="12" t="s">
        <v>14</v>
      </c>
      <c r="AO4" s="12" t="s">
        <v>184</v>
      </c>
      <c r="AP4" s="12" t="s">
        <v>13</v>
      </c>
      <c r="AQ4" s="12" t="s">
        <v>14</v>
      </c>
      <c r="AR4" s="12" t="s">
        <v>184</v>
      </c>
      <c r="AS4" s="12" t="s">
        <v>13</v>
      </c>
      <c r="AT4" s="12" t="s">
        <v>14</v>
      </c>
      <c r="AU4" s="12" t="s">
        <v>184</v>
      </c>
    </row>
    <row r="5" spans="1:50" s="369" customFormat="1" ht="24.95" customHeight="1">
      <c r="A5" s="772" t="s">
        <v>196</v>
      </c>
      <c r="B5" s="366">
        <f>'פרוט הנדסה 2017'!D$122</f>
        <v>693014769</v>
      </c>
      <c r="C5" s="366">
        <f>'פרוט הנדסה 2017'!E$122</f>
        <v>596043468</v>
      </c>
      <c r="D5" s="366">
        <f>'פרוט הנדסה 2017'!F$122</f>
        <v>96971301</v>
      </c>
      <c r="E5" s="366">
        <f>'פרוט הנדסה 2017'!G$122</f>
        <v>404262285</v>
      </c>
      <c r="F5" s="366">
        <f>'פרוט הנדסה 2017'!H$122</f>
        <v>325615379.21999997</v>
      </c>
      <c r="G5" s="366">
        <f>'פרוט הנדסה 2017'!I$122</f>
        <v>10485657.759999998</v>
      </c>
      <c r="H5" s="366">
        <f>'פרוט הנדסה 2017'!J$122</f>
        <v>9127528.2300000004</v>
      </c>
      <c r="I5" s="366">
        <f>'פרוט הנדסה 2017'!K$122</f>
        <v>19613185.990000002</v>
      </c>
      <c r="J5" s="366">
        <f>'פרוט הנדסה 2017'!L$122</f>
        <v>345228565.20999992</v>
      </c>
      <c r="K5" s="366">
        <f>'פרוט הנדסה 2017'!M$122</f>
        <v>60905719.790000007</v>
      </c>
      <c r="L5" s="366">
        <f>'פרוט הנדסה 2017'!N$122</f>
        <v>33487931</v>
      </c>
      <c r="M5" s="366">
        <f>'פרוט הנדסה 2017'!O$122</f>
        <v>253392553</v>
      </c>
      <c r="N5" s="366">
        <f>'פרוט הנדסה 2017'!P$122</f>
        <v>59033719.789999999</v>
      </c>
      <c r="O5" s="366">
        <f>'פרוט הנדסה 2017'!Q$122</f>
        <v>7715000</v>
      </c>
      <c r="P5" s="366">
        <f>'פרוט הנדסה 2017'!R$122</f>
        <v>10150000</v>
      </c>
      <c r="Q5" s="366">
        <f>'פרוט הנדסה 2017'!S$122</f>
        <v>17865000</v>
      </c>
      <c r="R5" s="366">
        <f>'פרוט הנדסה 2017'!T$122</f>
        <v>15993000</v>
      </c>
      <c r="S5" s="366">
        <f>'פרוט הנדסה 2017'!U$122</f>
        <v>17494931</v>
      </c>
      <c r="T5" s="366">
        <f>'פרוט הנדסה 2017'!V$122</f>
        <v>-14023000</v>
      </c>
      <c r="U5" s="367">
        <f>'פרוט הנדסה 2017'!W$122</f>
        <v>0</v>
      </c>
      <c r="V5" s="367">
        <f>'פרוט הנדסה 2017'!X$122</f>
        <v>0</v>
      </c>
      <c r="W5" s="366">
        <f>'פרוט הנדסה 2017'!Y$122</f>
        <v>31517931</v>
      </c>
      <c r="X5" s="368">
        <f>'פרוט הנדסה 2017'!AB122</f>
        <v>-15719000</v>
      </c>
      <c r="Y5" s="368">
        <f>'פרוט הנדסה 2017'!AE122</f>
        <v>0</v>
      </c>
      <c r="Z5" s="368">
        <f>'פרוט הנדסה 2017'!AH122</f>
        <v>0</v>
      </c>
      <c r="AA5" s="368">
        <f>'פרוט הנדסה 2017'!AK122</f>
        <v>-4000</v>
      </c>
      <c r="AB5" s="368">
        <f>'פרוט הנדסה 2017'!AN122</f>
        <v>160000</v>
      </c>
      <c r="AC5" s="368">
        <f>'פרוט הנדסה 2017'!AQ122</f>
        <v>700000</v>
      </c>
      <c r="AD5" s="368">
        <f>'פרוט הנדסה 2017'!AT122</f>
        <v>20387931</v>
      </c>
      <c r="AE5" s="368">
        <f>'פרוט הנדסה 2017'!AW122</f>
        <v>0</v>
      </c>
      <c r="AF5" s="368">
        <f>'פרוט הנדסה 2017'!AZ122</f>
        <v>500000</v>
      </c>
      <c r="AG5" s="368">
        <f>'פרוט הנדסה 2017'!BC122</f>
        <v>500000</v>
      </c>
      <c r="AH5" s="368">
        <f>'פרוט הנדסה 2017'!BF$122</f>
        <v>690000</v>
      </c>
      <c r="AI5" s="368">
        <f>'פרוט הנדסה 2017'!BG$122</f>
        <v>7214931</v>
      </c>
      <c r="AJ5" s="368">
        <f>'פרוט הנדסה 2017'!BH$122</f>
        <v>0</v>
      </c>
      <c r="AK5" s="368">
        <f>'פרוט הנדסה 2017'!BI$122</f>
        <v>7214931</v>
      </c>
      <c r="AL5" s="368">
        <f>'פרוט הנדסה 2017'!BJ$122</f>
        <v>10280000</v>
      </c>
      <c r="AM5" s="368">
        <f>'פרוט הנדסה 2017'!BK$122</f>
        <v>-23303000</v>
      </c>
      <c r="AN5" s="368">
        <f>'פרוט הנדסה 2017'!BL$122</f>
        <v>5740127</v>
      </c>
      <c r="AO5" s="368">
        <f>'פרוט הנדסה 2017'!BM$122</f>
        <v>24777804</v>
      </c>
      <c r="AP5" s="368">
        <f>'פרוט הנדסה 2017'!BN$122</f>
        <v>0</v>
      </c>
      <c r="AQ5" s="368">
        <f>'פרוט הנדסה 2017'!BO$122</f>
        <v>0</v>
      </c>
      <c r="AR5" s="368">
        <f>'פרוט הנדסה 2017'!BP$122</f>
        <v>0</v>
      </c>
      <c r="AS5" s="368">
        <f>'פרוט הנדסה 2017'!BQ$122</f>
        <v>3539873</v>
      </c>
      <c r="AT5" s="368">
        <f>'פרוט הנדסה 2017'!BR$122</f>
        <v>0</v>
      </c>
      <c r="AU5" s="368">
        <f>'פרוט הנדסה 2017'!BS$122</f>
        <v>6740127</v>
      </c>
      <c r="AW5" s="370"/>
      <c r="AX5" s="370"/>
    </row>
    <row r="6" spans="1:50" s="5" customFormat="1" ht="24.95" customHeight="1">
      <c r="A6" s="772" t="s">
        <v>197</v>
      </c>
      <c r="B6" s="368">
        <f>'פרוט החב. לפיתוח 2017'!D$110</f>
        <v>1849788405</v>
      </c>
      <c r="C6" s="368">
        <f>'פרוט החב. לפיתוח 2017'!E$110</f>
        <v>1457008347</v>
      </c>
      <c r="D6" s="368">
        <f>'פרוט החב. לפיתוח 2017'!F$110</f>
        <v>392780058</v>
      </c>
      <c r="E6" s="368">
        <f>'פרוט החב. לפיתוח 2017'!G$110</f>
        <v>571732958</v>
      </c>
      <c r="F6" s="368">
        <f>'פרוט החב. לפיתוח 2017'!H$110</f>
        <v>419055069.12</v>
      </c>
      <c r="G6" s="368">
        <f>'פרוט החב. לפיתוח 2017'!I$110</f>
        <v>48972870.70000001</v>
      </c>
      <c r="H6" s="368">
        <f>'פרוט החב. לפיתוח 2017'!J$110</f>
        <v>7502690.7400000002</v>
      </c>
      <c r="I6" s="368">
        <f>'פרוט החב. לפיתוח 2017'!K$110</f>
        <v>56475561.439999983</v>
      </c>
      <c r="J6" s="368">
        <f>'פרוט החב. לפיתוח 2017'!L$110</f>
        <v>475530630.56000006</v>
      </c>
      <c r="K6" s="368">
        <f>'פרוט החב. לפיתוח 2017'!M$110</f>
        <v>251630013.43999994</v>
      </c>
      <c r="L6" s="368">
        <f>'פרוט החב. לפיתוח 2017'!N$110</f>
        <v>333402275</v>
      </c>
      <c r="M6" s="368">
        <f>'פרוט החב. לפיתוח 2017'!O$110</f>
        <v>789225486</v>
      </c>
      <c r="N6" s="368">
        <f>'פרוט החב. לפיתוח 2017'!P$110</f>
        <v>96202327.440000027</v>
      </c>
      <c r="O6" s="368">
        <f>'פרוט החב. לפיתוח 2017'!Q$110</f>
        <v>113321145</v>
      </c>
      <c r="P6" s="368">
        <f>'פרוט החב. לפיתוח 2017'!R$110</f>
        <v>43852000</v>
      </c>
      <c r="Q6" s="368">
        <f>'פרוט החב. לפיתוח 2017'!S$110</f>
        <v>157173145</v>
      </c>
      <c r="R6" s="368">
        <f>'פרוט החב. לפיתוח 2017'!T$110</f>
        <v>1745459</v>
      </c>
      <c r="S6" s="368">
        <f>'פרוט החב. לפיתוח 2017'!U$110</f>
        <v>331656816</v>
      </c>
      <c r="T6" s="368">
        <f>'פרוט החב. לפיתוח 2017'!V$110</f>
        <v>137680940.30000001</v>
      </c>
      <c r="U6" s="368">
        <f>'פרוט החב. לפיתוח 2017'!W$110</f>
        <v>6500000</v>
      </c>
      <c r="V6" s="368">
        <f>'פרוט החב. לפיתוח 2017'!X$110</f>
        <v>0</v>
      </c>
      <c r="W6" s="368">
        <f>'פרוט החב. לפיתוח 2017'!Y$110</f>
        <v>187475875.69999999</v>
      </c>
      <c r="X6" s="368">
        <f>'פרוט החב. לפיתוח 2017'!AB110</f>
        <v>-234197</v>
      </c>
      <c r="Y6" s="368">
        <f>'פרוט החב. לפיתוח 2017'!AE110</f>
        <v>0</v>
      </c>
      <c r="Z6" s="368">
        <f>'פרוט החב. לפיתוח 2017'!AH110</f>
        <v>4335000</v>
      </c>
      <c r="AA6" s="368">
        <f>'פרוט החב. לפיתוח 2017'!AK110</f>
        <v>4250000</v>
      </c>
      <c r="AB6" s="368">
        <f>'פרוט החב. לפיתוח 2017'!AN110</f>
        <v>-100000</v>
      </c>
      <c r="AC6" s="368">
        <f>'פרוט החב. לפיתוח 2017'!AQ110</f>
        <v>10550000</v>
      </c>
      <c r="AD6" s="368">
        <f>'פרוט החב. לפיתוח 2017'!AT110</f>
        <v>800000</v>
      </c>
      <c r="AE6" s="368">
        <f>'פרוט החב. לפיתוח 2017'!AW110</f>
        <v>10300000</v>
      </c>
      <c r="AF6" s="368">
        <f>'פרוט החב. לפיתוח 2017'!AZ110</f>
        <v>5125000</v>
      </c>
      <c r="AG6" s="368">
        <f>'פרוט החב. לפיתוח 2017'!BC110</f>
        <v>0</v>
      </c>
      <c r="AH6" s="368">
        <f>'פרוט החב. לפיתוח 2017'!BF$110</f>
        <v>50825545</v>
      </c>
      <c r="AI6" s="368">
        <f>'פרוט החב. לפיתוח 2017'!BG$110</f>
        <v>85851348</v>
      </c>
      <c r="AJ6" s="368">
        <f>'פרוט החב. לפיתוח 2017'!BH$110</f>
        <v>32554613</v>
      </c>
      <c r="AK6" s="368">
        <f>'פרוט החב. לפיתוח 2017'!BI$110</f>
        <v>118405961</v>
      </c>
      <c r="AL6" s="368">
        <f>'פרוט החב. לפיתוח 2017'!BJ$110</f>
        <v>213250855</v>
      </c>
      <c r="AM6" s="368">
        <f>'פרוט החב. לפיתוח 2017'!BK$110</f>
        <v>109086215</v>
      </c>
      <c r="AN6" s="368">
        <f>'פרוט החב. לפיתוח 2017'!BL$110</f>
        <v>0</v>
      </c>
      <c r="AO6" s="368">
        <f>'פרוט החב. לפיתוח 2017'!BM$110</f>
        <v>9319746</v>
      </c>
      <c r="AP6" s="368">
        <f>'פרוט החב. לפיתוח 2017'!BN$110</f>
        <v>28125000</v>
      </c>
      <c r="AQ6" s="368">
        <f>'פרוט החב. לפיתוח 2017'!BO$110</f>
        <v>0</v>
      </c>
      <c r="AR6" s="368">
        <f>'פרוט החב. לפיתוח 2017'!BP$110</f>
        <v>4429613</v>
      </c>
      <c r="AS6" s="368">
        <f>'פרוט החב. לפיתוח 2017'!BQ$110</f>
        <v>39524338</v>
      </c>
      <c r="AT6" s="368">
        <f>'פרוט החב. לפיתוח 2017'!BR$110</f>
        <v>0</v>
      </c>
      <c r="AU6" s="368">
        <f>'פרוט החב. לפיתוח 2017'!BS$110</f>
        <v>173726517</v>
      </c>
      <c r="AW6" s="372"/>
      <c r="AX6" s="372"/>
    </row>
    <row r="7" spans="1:50" s="5" customFormat="1" ht="24.95" customHeight="1">
      <c r="A7" s="769" t="s">
        <v>198</v>
      </c>
      <c r="B7" s="368">
        <f>'פרוט תבל 2017'!D$82</f>
        <v>547456840</v>
      </c>
      <c r="C7" s="368">
        <f>'פרוט תבל 2017'!E$82</f>
        <v>578780840</v>
      </c>
      <c r="D7" s="368">
        <f>'פרוט תבל 2017'!F$82</f>
        <v>-31324000</v>
      </c>
      <c r="E7" s="368">
        <f>'פרוט תבל 2017'!G$82</f>
        <v>401930840</v>
      </c>
      <c r="F7" s="368">
        <f>'פרוט תבל 2017'!H$82</f>
        <v>343915745.27999991</v>
      </c>
      <c r="G7" s="368">
        <f>'פרוט תבל 2017'!I$82</f>
        <v>18824039.779999997</v>
      </c>
      <c r="H7" s="368">
        <f>'פרוט תבל 2017'!J$82</f>
        <v>17226281.890000001</v>
      </c>
      <c r="I7" s="368">
        <f>'פרוט תבל 2017'!K$82</f>
        <v>36050321.670000002</v>
      </c>
      <c r="J7" s="368">
        <f>'פרוט תבל 2017'!L$82</f>
        <v>379966066.94999987</v>
      </c>
      <c r="K7" s="368">
        <f>'פרוט תבל 2017'!M$82</f>
        <v>37999773.050000004</v>
      </c>
      <c r="L7" s="368">
        <f>'פרוט תבל 2017'!N$82</f>
        <v>25186000</v>
      </c>
      <c r="M7" s="368">
        <f>'פרוט תבל 2017'!O$82</f>
        <v>104305000</v>
      </c>
      <c r="N7" s="368">
        <f>'פרוט תבל 2017'!P$82</f>
        <v>21964773.050000004</v>
      </c>
      <c r="O7" s="368">
        <f>'פרוט תבל 2017'!Q$82</f>
        <v>2550000</v>
      </c>
      <c r="P7" s="368">
        <f>'פרוט תבל 2017'!R$82</f>
        <v>14652000</v>
      </c>
      <c r="Q7" s="368">
        <f>'פרוט תבל 2017'!S$82</f>
        <v>17202000</v>
      </c>
      <c r="R7" s="368">
        <f>'פרוט תבל 2017'!T$82</f>
        <v>1167000</v>
      </c>
      <c r="S7" s="368">
        <f>'פרוט תבל 2017'!U$82</f>
        <v>24019000</v>
      </c>
      <c r="T7" s="373">
        <f>'פרוט תבל 2017'!V$82</f>
        <v>14320000</v>
      </c>
      <c r="U7" s="368">
        <f>'פרוט תבל 2017'!W$82</f>
        <v>9407000</v>
      </c>
      <c r="V7" s="374">
        <f>'פרוט תבל 2017'!X$82</f>
        <v>0</v>
      </c>
      <c r="W7" s="368">
        <f>'פרוט תבל 2017'!Y$82</f>
        <v>292000</v>
      </c>
      <c r="X7" s="368">
        <f>'פרוט תבל 2017'!AB82</f>
        <v>-1091000</v>
      </c>
      <c r="Y7" s="368">
        <f>'פרוט תבל 2017'!AE82</f>
        <v>300000</v>
      </c>
      <c r="Z7" s="368">
        <f>'פרוט תבל 2017'!AH82</f>
        <v>8866000</v>
      </c>
      <c r="AA7" s="368">
        <f>'פרוט תבל 2017'!AK82</f>
        <v>3609000</v>
      </c>
      <c r="AB7" s="368">
        <f>'פרוט תבל 2017'!AN82</f>
        <v>2530000</v>
      </c>
      <c r="AC7" s="368">
        <f>'פרוט תבל 2017'!AQ82</f>
        <v>1150000</v>
      </c>
      <c r="AD7" s="368">
        <f>'פרוט תבל 2017'!AT82</f>
        <v>0</v>
      </c>
      <c r="AE7" s="368">
        <f>'פרוט תבל 2017'!AW82</f>
        <v>1750000</v>
      </c>
      <c r="AF7" s="368">
        <f>'פרוט תבל 2017'!AZ82</f>
        <v>1500000</v>
      </c>
      <c r="AG7" s="368">
        <f>'פרוט תבל 2017'!BC82</f>
        <v>1150000</v>
      </c>
      <c r="AH7" s="368">
        <f>'פרוט תבל 2017'!BF$82</f>
        <v>1300000</v>
      </c>
      <c r="AI7" s="368">
        <f>'פרוט תבל 2017'!BG$82</f>
        <v>21064000</v>
      </c>
      <c r="AJ7" s="368">
        <f>'פרוט תבל 2017'!BH$82</f>
        <v>930000</v>
      </c>
      <c r="AK7" s="368">
        <f>'פרוט תבל 2017'!BI$82</f>
        <v>21994000</v>
      </c>
      <c r="AL7" s="368">
        <f>'פרוט תבל 2017'!BJ$82</f>
        <v>2025000</v>
      </c>
      <c r="AM7" s="368">
        <f>'פרוט תבל 2017'!BK$82</f>
        <v>14320000</v>
      </c>
      <c r="AN7" s="368">
        <f>'פרוט תבל 2017'!BL$82</f>
        <v>7674000</v>
      </c>
      <c r="AO7" s="368">
        <f>'פרוט תבל 2017'!BM$82</f>
        <v>0</v>
      </c>
      <c r="AP7" s="368">
        <f>'פרוט תבל 2017'!BN$82</f>
        <v>930000</v>
      </c>
      <c r="AQ7" s="368">
        <f>'פרוט תבל 2017'!BO$82</f>
        <v>0</v>
      </c>
      <c r="AR7" s="368">
        <f>'פרוט תבל 2017'!BP$82</f>
        <v>0</v>
      </c>
      <c r="AS7" s="368">
        <f>'פרוט תבל 2017'!BQ$82</f>
        <v>0</v>
      </c>
      <c r="AT7" s="368">
        <f>'פרוט תבל 2017'!BR$82</f>
        <v>1733000</v>
      </c>
      <c r="AU7" s="368">
        <f>'פרוט תבל 2017'!BS$82</f>
        <v>292000</v>
      </c>
      <c r="AW7" s="372"/>
      <c r="AX7" s="372"/>
    </row>
    <row r="8" spans="1:50" s="5" customFormat="1" ht="24.95" customHeight="1">
      <c r="A8" s="769" t="s">
        <v>332</v>
      </c>
      <c r="B8" s="368">
        <f>'פרוט בטחון פיקוח  2017'!D$11</f>
        <v>2548500</v>
      </c>
      <c r="C8" s="368">
        <f>'פרוט בטחון פיקוח  2017'!E$11</f>
        <v>1798500</v>
      </c>
      <c r="D8" s="368">
        <f>'פרוט בטחון פיקוח  2017'!F$11</f>
        <v>750000</v>
      </c>
      <c r="E8" s="368">
        <f>'פרוט בטחון פיקוח  2017'!G$11</f>
        <v>500000</v>
      </c>
      <c r="F8" s="368">
        <f>'פרוט בטחון פיקוח  2017'!H$11</f>
        <v>309609.8</v>
      </c>
      <c r="G8" s="368">
        <f>'פרוט בטחון פיקוח  2017'!I$11</f>
        <v>0</v>
      </c>
      <c r="H8" s="368">
        <f>'פרוט בטחון פיקוח  2017'!J$11</f>
        <v>0</v>
      </c>
      <c r="I8" s="368">
        <f>'פרוט בטחון פיקוח  2017'!K$11</f>
        <v>0</v>
      </c>
      <c r="J8" s="368">
        <f>'פרוט בטחון פיקוח  2017'!L$11</f>
        <v>309609.8</v>
      </c>
      <c r="K8" s="368">
        <f>'פרוט בטחון פיקוח  2017'!M$11</f>
        <v>1088890.2</v>
      </c>
      <c r="L8" s="368">
        <f>'פרוט בטחון פיקוח  2017'!N$11</f>
        <v>500000</v>
      </c>
      <c r="M8" s="368">
        <f>'פרוט בטחון פיקוח  2017'!O$11</f>
        <v>650000</v>
      </c>
      <c r="N8" s="368">
        <f>'פרוט בטחון פיקוח  2017'!P$11</f>
        <v>190390.2</v>
      </c>
      <c r="O8" s="368">
        <f>'פרוט בטחון פיקוח  2017'!Q$11</f>
        <v>550000</v>
      </c>
      <c r="P8" s="368">
        <f>'פרוט בטחון פיקוח  2017'!R$11</f>
        <v>348500</v>
      </c>
      <c r="Q8" s="368">
        <f>'פרוט בטחון פיקוח  2017'!S$11</f>
        <v>898500</v>
      </c>
      <c r="R8" s="368">
        <f>'פרוט בטחון פיקוח  2017'!T$11</f>
        <v>0</v>
      </c>
      <c r="S8" s="368">
        <f>'פרוט בטחון פיקוח  2017'!U$11</f>
        <v>500000</v>
      </c>
      <c r="T8" s="373">
        <f>'פרוט בטחון פיקוח  2017'!V$11</f>
        <v>0</v>
      </c>
      <c r="U8" s="368">
        <f>'פרוט בטחון פיקוח  2017'!W$11</f>
        <v>500000</v>
      </c>
      <c r="V8" s="374">
        <f>'פרוט בטחון פיקוח  2017'!X$11</f>
        <v>0</v>
      </c>
      <c r="W8" s="368">
        <f>'פרוט בטחון פיקוח  2017'!Y$11</f>
        <v>0</v>
      </c>
      <c r="X8" s="368">
        <f>'פרוט בטחון פיקוח  2017'!AB11</f>
        <v>0</v>
      </c>
      <c r="Y8" s="368">
        <f>'פרוט בטחון פיקוח  2017'!AE11</f>
        <v>0</v>
      </c>
      <c r="Z8" s="368">
        <f>'פרוט בטחון פיקוח  2017'!AH11</f>
        <v>0</v>
      </c>
      <c r="AA8" s="368">
        <f>'פרוט בטחון פיקוח  2017'!AK11</f>
        <v>0</v>
      </c>
      <c r="AB8" s="368">
        <f>'פרוט בטחון פיקוח  2017'!AN11</f>
        <v>0</v>
      </c>
      <c r="AC8" s="368">
        <f>'פרוט בטחון פיקוח  2017'!AQ11</f>
        <v>0</v>
      </c>
      <c r="AD8" s="368">
        <f>'פרוט בטחון פיקוח  2017'!AT11</f>
        <v>0</v>
      </c>
      <c r="AE8" s="368">
        <f>'פרוט בטחון פיקוח  2017'!BE$11</f>
        <v>0</v>
      </c>
      <c r="AF8" s="368">
        <f>'פרוט בטחון פיקוח  2017'!AZ11</f>
        <v>500000</v>
      </c>
      <c r="AG8" s="368">
        <f>'פרוט בטחון פיקוח  2017'!BC11</f>
        <v>0</v>
      </c>
      <c r="AH8" s="368">
        <f>'פרוט בטחון פיקוח  2017'!BF$11</f>
        <v>0</v>
      </c>
      <c r="AI8" s="368">
        <f>'פרוט בטחון פיקוח  2017'!BG$11</f>
        <v>500000</v>
      </c>
      <c r="AJ8" s="368">
        <f>'פרוט בטחון פיקוח  2017'!BH$11</f>
        <v>0</v>
      </c>
      <c r="AK8" s="368">
        <f>'פרוט בטחון פיקוח  2017'!BI$11</f>
        <v>500000</v>
      </c>
      <c r="AL8" s="368">
        <f>'פרוט בטחון פיקוח  2017'!BJ$11</f>
        <v>0</v>
      </c>
      <c r="AM8" s="368">
        <f>'פרוט בטחון פיקוח  2017'!BK$11</f>
        <v>0</v>
      </c>
      <c r="AN8" s="368">
        <f>'פרוט בטחון פיקוח  2017'!BL$11</f>
        <v>500000</v>
      </c>
      <c r="AO8" s="368">
        <f>'פרוט בטחון פיקוח  2017'!BM$11</f>
        <v>0</v>
      </c>
      <c r="AP8" s="368">
        <f>'פרוט בטחון פיקוח  2017'!BN$11</f>
        <v>0</v>
      </c>
      <c r="AQ8" s="368">
        <f>'פרוט בטחון פיקוח  2017'!BO$11</f>
        <v>0</v>
      </c>
      <c r="AR8" s="368">
        <f>'פרוט בטחון פיקוח  2017'!BP$11</f>
        <v>0</v>
      </c>
      <c r="AS8" s="368">
        <f>'פרוט בטחון פיקוח  2017'!BQ$11</f>
        <v>0</v>
      </c>
      <c r="AT8" s="368">
        <f>'פרוט בטחון פיקוח  2017'!BR$11</f>
        <v>0</v>
      </c>
      <c r="AU8" s="368">
        <f>'פרוט בטחון פיקוח  2017'!BS$11</f>
        <v>0</v>
      </c>
      <c r="AW8" s="372"/>
      <c r="AX8" s="372"/>
    </row>
    <row r="9" spans="1:50" s="5" customFormat="1" ht="24.95" customHeight="1">
      <c r="A9" s="769" t="s">
        <v>199</v>
      </c>
      <c r="B9" s="368">
        <f>'פרוט חינוך תנוס  2017'!D$45</f>
        <v>17405700</v>
      </c>
      <c r="C9" s="368">
        <f>'פרוט חינוך תנוס  2017'!E$45</f>
        <v>15769000</v>
      </c>
      <c r="D9" s="368">
        <f>'פרוט חינוך תנוס  2017'!F$45</f>
        <v>1636700</v>
      </c>
      <c r="E9" s="368">
        <f>'פרוט חינוך תנוס  2017'!G$45</f>
        <v>11873621</v>
      </c>
      <c r="F9" s="368">
        <f>'פרוט חינוך תנוס  2017'!H$45</f>
        <v>6635514.5299999993</v>
      </c>
      <c r="G9" s="368">
        <f>'פרוט חינוך תנוס  2017'!I$45</f>
        <v>2607485.11</v>
      </c>
      <c r="H9" s="368">
        <f>'פרוט חינוך תנוס  2017'!J$45</f>
        <v>74173.58</v>
      </c>
      <c r="I9" s="368">
        <f>'פרוט חינוך תנוס  2017'!K$45</f>
        <v>2681658.69</v>
      </c>
      <c r="J9" s="368">
        <f>'פרוט חינוך תנוס  2017'!L$45</f>
        <v>9317173.2199999988</v>
      </c>
      <c r="K9" s="368">
        <f>'פרוט חינוך תנוס  2017'!M$45</f>
        <v>4666447.7800000012</v>
      </c>
      <c r="L9" s="368">
        <f>'פרוט חינוך תנוס  2017'!N$45</f>
        <v>2255079</v>
      </c>
      <c r="M9" s="368">
        <f>'פרוט חינוך תנוס  2017'!O$45</f>
        <v>1167000</v>
      </c>
      <c r="N9" s="368">
        <f>'פרוט חינוך תנוס  2017'!P$45</f>
        <v>2556447.7800000007</v>
      </c>
      <c r="O9" s="368">
        <f>'פרוט חינוך תנוס  2017'!Q$45</f>
        <v>460000</v>
      </c>
      <c r="P9" s="368">
        <f>'פרוט חינוך תנוס  2017'!R$45</f>
        <v>1650000</v>
      </c>
      <c r="Q9" s="368">
        <f>'פרוט חינוך תנוס  2017'!S$45</f>
        <v>2110000</v>
      </c>
      <c r="R9" s="368">
        <f>'פרוט חינוך תנוס  2017'!T$45</f>
        <v>0</v>
      </c>
      <c r="S9" s="368">
        <f>'פרוט חינוך תנוס  2017'!U$45</f>
        <v>2255079</v>
      </c>
      <c r="T9" s="373">
        <f>'פרוט חינוך תנוס  2017'!V$45</f>
        <v>0</v>
      </c>
      <c r="U9" s="368">
        <f>'פרוט חינוך תנוס  2017'!W$45</f>
        <v>1745000</v>
      </c>
      <c r="V9" s="374">
        <f>'פרוט חינוך תנוס  2017'!X$45</f>
        <v>0</v>
      </c>
      <c r="W9" s="368">
        <f>'פרוט חינוך תנוס  2017'!Y$45</f>
        <v>510079</v>
      </c>
      <c r="X9" s="368">
        <f>'פרוט חינוך תנוס  2017'!AB45</f>
        <v>0</v>
      </c>
      <c r="Y9" s="368">
        <f>'פרוט חינוך תנוס  2017'!AE45</f>
        <v>0</v>
      </c>
      <c r="Z9" s="368">
        <f>'פרוט חינוך תנוס  2017'!AH45</f>
        <v>0</v>
      </c>
      <c r="AA9" s="368">
        <f>'פרוט חינוך תנוס  2017'!AK45</f>
        <v>300000</v>
      </c>
      <c r="AB9" s="368">
        <f>'פרוט חינוך תנוס  2017'!AN45</f>
        <v>200000</v>
      </c>
      <c r="AC9" s="368">
        <f>'פרוט חינוך תנוס  2017'!AQ45</f>
        <v>0</v>
      </c>
      <c r="AD9" s="368">
        <f>'פרוט חינוך תנוס  2017'!AT45</f>
        <v>141621</v>
      </c>
      <c r="AE9" s="368">
        <f>'פרוט חינוך תנוס  2017'!AW45</f>
        <v>300000</v>
      </c>
      <c r="AF9" s="368">
        <f>'פרוט חינוך תנוס  2017'!AZ45</f>
        <v>161700</v>
      </c>
      <c r="AG9" s="368">
        <f>'פרוט חינוך תנוס  2017'!BC45</f>
        <v>0</v>
      </c>
      <c r="AH9" s="368">
        <f>'פרוט חינוך תנוס  2017'!BF$45</f>
        <v>0</v>
      </c>
      <c r="AI9" s="368">
        <f>'פרוט חינוך תנוס  2017'!BG$45</f>
        <v>1103321</v>
      </c>
      <c r="AJ9" s="368">
        <f>'פרוט חינוך תנוס  2017'!BH$45</f>
        <v>0</v>
      </c>
      <c r="AK9" s="368">
        <f>'פרוט חינוך תנוס  2017'!BI$45</f>
        <v>1103321</v>
      </c>
      <c r="AL9" s="368">
        <f>'פרוט חינוך תנוס  2017'!BJ$45</f>
        <v>1151758</v>
      </c>
      <c r="AM9" s="368">
        <f>'פרוט חינוך תנוס  2017'!BK$45</f>
        <v>0</v>
      </c>
      <c r="AN9" s="368">
        <f>'פרוט חינוך תנוס  2017'!BL$45</f>
        <v>800000</v>
      </c>
      <c r="AO9" s="368">
        <f>'פרוט חינוך תנוס  2017'!BM$45</f>
        <v>303321</v>
      </c>
      <c r="AP9" s="368">
        <f>'פרוט חינוך תנוס  2017'!BN$45</f>
        <v>0</v>
      </c>
      <c r="AQ9" s="368">
        <f>'פרוט חינוך תנוס  2017'!BO$45</f>
        <v>0</v>
      </c>
      <c r="AR9" s="368">
        <f>'פרוט חינוך תנוס  2017'!BP$45</f>
        <v>0</v>
      </c>
      <c r="AS9" s="368">
        <f>'פרוט חינוך תנוס  2017'!BQ$45</f>
        <v>0</v>
      </c>
      <c r="AT9" s="368">
        <f>'פרוט חינוך תנוס  2017'!BR$45</f>
        <v>945000</v>
      </c>
      <c r="AU9" s="368">
        <f>'פרוט חינוך תנוס  2017'!BS$45</f>
        <v>206758</v>
      </c>
      <c r="AW9" s="372"/>
      <c r="AX9" s="372"/>
    </row>
    <row r="10" spans="1:50" s="5" customFormat="1" ht="24.95" customHeight="1">
      <c r="A10" s="769" t="s">
        <v>200</v>
      </c>
      <c r="B10" s="368">
        <f>'פרוט שאיפה 2017'!D$28</f>
        <v>121760000</v>
      </c>
      <c r="C10" s="368">
        <f>'פרוט שאיפה 2017'!E$28</f>
        <v>93922000</v>
      </c>
      <c r="D10" s="368">
        <f>'פרוט שאיפה 2017'!F$28</f>
        <v>27838000</v>
      </c>
      <c r="E10" s="368">
        <f>'פרוט שאיפה 2017'!G$28</f>
        <v>74690000</v>
      </c>
      <c r="F10" s="368">
        <f>'פרוט שאיפה 2017'!H$28</f>
        <v>66801642.750000007</v>
      </c>
      <c r="G10" s="368">
        <f>'פרוט שאיפה 2017'!I$28</f>
        <v>6438280.0999999987</v>
      </c>
      <c r="H10" s="368">
        <f>'פרוט שאיפה 2017'!J$28</f>
        <v>0</v>
      </c>
      <c r="I10" s="368">
        <f>'פרוט שאיפה 2017'!K$28</f>
        <v>6438280.0999999987</v>
      </c>
      <c r="J10" s="368">
        <f>'פרוט שאיפה 2017'!L$28</f>
        <v>73239922.849999994</v>
      </c>
      <c r="K10" s="368">
        <f>'פרוט שאיפה 2017'!M$28</f>
        <v>3170077.1500000018</v>
      </c>
      <c r="L10" s="368">
        <f>'פרוט שאיפה 2017'!N$28</f>
        <v>14614320</v>
      </c>
      <c r="M10" s="368">
        <f>'פרוט שאיפה 2017'!O$28</f>
        <v>30735680</v>
      </c>
      <c r="N10" s="368">
        <f>'פרוט שאיפה 2017'!P$28</f>
        <v>1450077.1500000015</v>
      </c>
      <c r="O10" s="368">
        <f>'פרוט שאיפה 2017'!Q$28</f>
        <v>1550000</v>
      </c>
      <c r="P10" s="368">
        <f>'פרוט שאיפה 2017'!R$28</f>
        <v>170000</v>
      </c>
      <c r="Q10" s="368">
        <f>'פרוט שאיפה 2017'!S$28</f>
        <v>1720000</v>
      </c>
      <c r="R10" s="368">
        <f>'פרוט שאיפה 2017'!T$28</f>
        <v>0</v>
      </c>
      <c r="S10" s="368">
        <f>'פרוט שאיפה 2017'!U$28</f>
        <v>14614320</v>
      </c>
      <c r="T10" s="373">
        <f>'פרוט שאיפה 2017'!V$28</f>
        <v>9820000</v>
      </c>
      <c r="U10" s="368">
        <f>'פרוט שאיפה 2017'!W$28</f>
        <v>4720000</v>
      </c>
      <c r="V10" s="374">
        <f>'פרוט שאיפה 2017'!X$28</f>
        <v>0</v>
      </c>
      <c r="W10" s="368">
        <f>'פרוט שאיפה 2017'!Y$28</f>
        <v>74320</v>
      </c>
      <c r="X10" s="368">
        <f>'פרוט שאיפה 2017'!AB28</f>
        <v>0</v>
      </c>
      <c r="Y10" s="368">
        <f>'פרוט שאיפה 2017'!AE28</f>
        <v>2074320</v>
      </c>
      <c r="Z10" s="368">
        <f>'פרוט שאיפה 2017'!AH28</f>
        <v>1000000</v>
      </c>
      <c r="AA10" s="368">
        <f>'פרוט שאיפה 2017'!AK28</f>
        <v>2700000</v>
      </c>
      <c r="AB10" s="368">
        <f>'פרוט שאיפה 2017'!AN28</f>
        <v>1200000</v>
      </c>
      <c r="AC10" s="368">
        <f>'פרוט שאיפה 2017'!AQ28</f>
        <v>200000</v>
      </c>
      <c r="AD10" s="368">
        <f>'פרוט שאיפה 2017'!AT28</f>
        <v>1050000</v>
      </c>
      <c r="AE10" s="368">
        <f>'פרוט שאיפה 2017'!AW28</f>
        <v>400000</v>
      </c>
      <c r="AF10" s="368">
        <f>'פרוט שאיפה 2017'!AZ$28</f>
        <v>2340000</v>
      </c>
      <c r="AG10" s="368">
        <f>'פרוט שאיפה 2017'!BC28</f>
        <v>1180000</v>
      </c>
      <c r="AH10" s="368">
        <f>'פרוט שאיפה 2017'!BF$28</f>
        <v>0</v>
      </c>
      <c r="AI10" s="368">
        <f>'פרוט שאיפה 2017'!BG$28</f>
        <v>12144320</v>
      </c>
      <c r="AJ10" s="368">
        <f>'פרוט שאיפה 2017'!BH$28</f>
        <v>200000</v>
      </c>
      <c r="AK10" s="368">
        <f>'פרוט שאיפה 2017'!BI$28</f>
        <v>12344320</v>
      </c>
      <c r="AL10" s="368">
        <f>'פרוט שאיפה 2017'!BJ$28</f>
        <v>2270000</v>
      </c>
      <c r="AM10" s="368">
        <f>'פרוט שאיפה 2017'!BK$28</f>
        <v>7670000</v>
      </c>
      <c r="AN10" s="368">
        <f>'פרוט שאיפה 2017'!BL$28</f>
        <v>4600000</v>
      </c>
      <c r="AO10" s="368">
        <f>'פרוט שאיפה 2017'!BM$28</f>
        <v>74320</v>
      </c>
      <c r="AP10" s="368">
        <f>'פרוט שאיפה 2017'!BN$28</f>
        <v>0</v>
      </c>
      <c r="AQ10" s="368">
        <f>'פרוט שאיפה 2017'!BO$28</f>
        <v>200000</v>
      </c>
      <c r="AR10" s="368">
        <f>'פרוט שאיפה 2017'!BP$28</f>
        <v>0</v>
      </c>
      <c r="AS10" s="368">
        <f>'פרוט שאיפה 2017'!BQ$28</f>
        <v>2150000</v>
      </c>
      <c r="AT10" s="368">
        <f>'פרוט שאיפה 2017'!BR$28</f>
        <v>120000</v>
      </c>
      <c r="AU10" s="368">
        <f>'פרוט שאיפה 2017'!BS$28</f>
        <v>0</v>
      </c>
      <c r="AW10" s="372"/>
      <c r="AX10" s="372"/>
    </row>
    <row r="11" spans="1:50" s="5" customFormat="1" ht="24.95" customHeight="1">
      <c r="A11" s="769" t="s">
        <v>201</v>
      </c>
      <c r="B11" s="368">
        <f>'פרוט שאיפה 2017'!D$54</f>
        <v>11175529</v>
      </c>
      <c r="C11" s="368">
        <f>'פרוט שאיפה 2017'!E$54</f>
        <v>11875529</v>
      </c>
      <c r="D11" s="368">
        <f>'פרוט שאיפה 2017'!F$54</f>
        <v>-700000</v>
      </c>
      <c r="E11" s="368">
        <f>'פרוט שאיפה 2017'!G$54</f>
        <v>7495529</v>
      </c>
      <c r="F11" s="368">
        <f>'פרוט שאיפה 2017'!H$54</f>
        <v>5216430.3999999994</v>
      </c>
      <c r="G11" s="368">
        <f>'פרוט שאיפה 2017'!I$54</f>
        <v>1587767.57</v>
      </c>
      <c r="H11" s="368">
        <f>'פרוט שאיפה 2017'!J$54</f>
        <v>0.2</v>
      </c>
      <c r="I11" s="368">
        <f>'פרוט שאיפה 2017'!K$54</f>
        <v>1587767.77</v>
      </c>
      <c r="J11" s="368">
        <f>'פרוט שאיפה 2017'!L$54</f>
        <v>6804198.169999999</v>
      </c>
      <c r="K11" s="368">
        <f>'פרוט שאיפה 2017'!M$54</f>
        <v>691330.83000000007</v>
      </c>
      <c r="L11" s="368">
        <f>'פרוט שאיפה 2017'!N$54</f>
        <v>1650000</v>
      </c>
      <c r="M11" s="368">
        <f>'פרוט שאיפה 2017'!O$54</f>
        <v>2030000</v>
      </c>
      <c r="N11" s="368">
        <f>'פרוט שאיפה 2017'!P$54</f>
        <v>691330.83000000007</v>
      </c>
      <c r="O11" s="368">
        <f>'פרוט שאיפה 2017'!Q$54</f>
        <v>0</v>
      </c>
      <c r="P11" s="368">
        <f>'פרוט שאיפה 2017'!R$54</f>
        <v>0</v>
      </c>
      <c r="Q11" s="368">
        <f>'פרוט שאיפה 2017'!S$54</f>
        <v>0</v>
      </c>
      <c r="R11" s="368">
        <f>'פרוט שאיפה 2017'!T$54</f>
        <v>0</v>
      </c>
      <c r="S11" s="368">
        <f>'פרוט שאיפה 2017'!U$54</f>
        <v>1650000</v>
      </c>
      <c r="T11" s="373">
        <f>'פרוט שאיפה 2017'!V$54</f>
        <v>0</v>
      </c>
      <c r="U11" s="368">
        <f>'פרוט שאיפה 2017'!W$54</f>
        <v>1650000</v>
      </c>
      <c r="V11" s="374">
        <f>'פרוט שאיפה 2017'!X$54</f>
        <v>0</v>
      </c>
      <c r="W11" s="368">
        <f>'פרוט שאיפה 2017'!Y$54</f>
        <v>0</v>
      </c>
      <c r="X11" s="368">
        <f>'פרוט שאיפה 2017'!AB54</f>
        <v>0</v>
      </c>
      <c r="Y11" s="368">
        <f>'פרוט שאיפה 2017'!AE54</f>
        <v>1150000</v>
      </c>
      <c r="Z11" s="368">
        <f>'פרוט שאיפה 2017'!AH54</f>
        <v>0</v>
      </c>
      <c r="AA11" s="368">
        <f>'פרוט שאיפה 2017'!AK54</f>
        <v>250000</v>
      </c>
      <c r="AB11" s="368">
        <f>'פרוט שאיפה 2017'!AN54</f>
        <v>250000</v>
      </c>
      <c r="AC11" s="368">
        <f>'פרוט שאיפה 2017'!AQ54</f>
        <v>0</v>
      </c>
      <c r="AD11" s="368">
        <f>'פרוט שאיפה 2017'!AT54</f>
        <v>0</v>
      </c>
      <c r="AE11" s="368">
        <f>'פרוט שאיפה 2017'!AW54</f>
        <v>0</v>
      </c>
      <c r="AF11" s="368">
        <f>'פרוט שאיפה 2017'!AZ$54</f>
        <v>0</v>
      </c>
      <c r="AG11" s="368">
        <f>'פרוט שאיפה 2017'!BC54</f>
        <v>0</v>
      </c>
      <c r="AH11" s="368">
        <f>'פרוט שאיפה 2017'!BF$54</f>
        <v>0</v>
      </c>
      <c r="AI11" s="368">
        <f>'פרוט שאיפה 2017'!BG$54</f>
        <v>1650000</v>
      </c>
      <c r="AJ11" s="368">
        <f>'פרוט שאיפה 2017'!BH$54</f>
        <v>0</v>
      </c>
      <c r="AK11" s="368">
        <f>'פרוט שאיפה 2017'!BI$54</f>
        <v>1650000</v>
      </c>
      <c r="AL11" s="368">
        <f>'פרוט שאיפה 2017'!BJ$54</f>
        <v>0</v>
      </c>
      <c r="AM11" s="368">
        <f>'פרוט שאיפה 2017'!BK$54</f>
        <v>0</v>
      </c>
      <c r="AN11" s="368">
        <f>'פרוט שאיפה 2017'!BL$54</f>
        <v>1650000</v>
      </c>
      <c r="AO11" s="368">
        <f>'פרוט שאיפה 2017'!BM$54</f>
        <v>0</v>
      </c>
      <c r="AP11" s="368">
        <f>'פרוט שאיפה 2017'!BN$54</f>
        <v>0</v>
      </c>
      <c r="AQ11" s="368">
        <f>'פרוט שאיפה 2017'!BO$54</f>
        <v>0</v>
      </c>
      <c r="AR11" s="368">
        <f>'פרוט שאיפה 2017'!BP$54</f>
        <v>0</v>
      </c>
      <c r="AS11" s="368">
        <f>'פרוט שאיפה 2017'!BQ$54</f>
        <v>0</v>
      </c>
      <c r="AT11" s="368">
        <f>'פרוט שאיפה 2017'!BR$54</f>
        <v>0</v>
      </c>
      <c r="AU11" s="368">
        <f>'פרוט שאיפה 2017'!BS$54</f>
        <v>0</v>
      </c>
      <c r="AW11" s="372"/>
      <c r="AX11" s="372"/>
    </row>
    <row r="12" spans="1:50" s="5" customFormat="1" ht="24.95" customHeight="1">
      <c r="A12" s="769" t="s">
        <v>202</v>
      </c>
      <c r="B12" s="368">
        <f>'פרוט שאיפה 2017'!D$67</f>
        <v>10966559</v>
      </c>
      <c r="C12" s="368">
        <f>'פרוט שאיפה 2017'!E$67</f>
        <v>11576559</v>
      </c>
      <c r="D12" s="368">
        <f>'פרוט שאיפה 2017'!F$67</f>
        <v>-610000</v>
      </c>
      <c r="E12" s="368">
        <f>'פרוט שאיפה 2017'!G$67</f>
        <v>9051500</v>
      </c>
      <c r="F12" s="368">
        <f>'פרוט שאיפה 2017'!H$67</f>
        <v>4887708.7</v>
      </c>
      <c r="G12" s="368">
        <f>'פרוט שאיפה 2017'!I$67</f>
        <v>345108.7</v>
      </c>
      <c r="H12" s="368">
        <f>'פרוט שאיפה 2017'!J$67</f>
        <v>0</v>
      </c>
      <c r="I12" s="368">
        <f>'פרוט שאיפה 2017'!K$67</f>
        <v>345108.7</v>
      </c>
      <c r="J12" s="368">
        <f>'פרוט שאיפה 2017'!L$67</f>
        <v>5232817.3999999994</v>
      </c>
      <c r="K12" s="368">
        <f>'פרוט שאיפה 2017'!M$67</f>
        <v>494682.59999999992</v>
      </c>
      <c r="L12" s="368">
        <f>'פרוט שאיפה 2017'!N$67</f>
        <v>496059</v>
      </c>
      <c r="M12" s="368">
        <f>'פרוט שאיפה 2017'!O$67</f>
        <v>4743000</v>
      </c>
      <c r="N12" s="368">
        <f>'פרוט שאיפה 2017'!P$67</f>
        <v>3818682.5999999996</v>
      </c>
      <c r="O12" s="368">
        <f>'פרוט שאיפה 2017'!Q$67</f>
        <v>25000</v>
      </c>
      <c r="P12" s="368">
        <f>'פרוט שאיפה 2017'!R$67</f>
        <v>0</v>
      </c>
      <c r="Q12" s="368">
        <f>'פרוט שאיפה 2017'!S$67</f>
        <v>25000</v>
      </c>
      <c r="R12" s="368">
        <f>'פרוט שאיפה 2017'!T$67</f>
        <v>3349000</v>
      </c>
      <c r="S12" s="368">
        <f>'פרוט שאיפה 2017'!U$67</f>
        <v>-2852941</v>
      </c>
      <c r="T12" s="373">
        <f>'פרוט שאיפה 2017'!V$67</f>
        <v>-3149000</v>
      </c>
      <c r="U12" s="368">
        <f>'פרוט שאיפה 2017'!W$67</f>
        <v>200000</v>
      </c>
      <c r="V12" s="374">
        <f>'פרוט שאיפה 2017'!X$67</f>
        <v>0</v>
      </c>
      <c r="W12" s="368">
        <f>'פרוט שאיפה 2017'!Y$67</f>
        <v>96059</v>
      </c>
      <c r="X12" s="368">
        <f>'פרוט שאיפה 2017'!AB67</f>
        <v>-3349000</v>
      </c>
      <c r="Y12" s="368">
        <f>'פרוט שאיפה 2017'!AE67</f>
        <v>200000</v>
      </c>
      <c r="Z12" s="368">
        <f>'פרוט שאיפה 2017'!AH67</f>
        <v>0</v>
      </c>
      <c r="AA12" s="368">
        <f>'פרוט שאיפה 2017'!AK67</f>
        <v>0</v>
      </c>
      <c r="AB12" s="368">
        <f>'פרוט שאיפה 2017'!AN67</f>
        <v>0</v>
      </c>
      <c r="AC12" s="368">
        <f>'פרוט שאיפה 2017'!AQ67</f>
        <v>0</v>
      </c>
      <c r="AD12" s="368">
        <f>'פרוט שאיפה 2017'!AT67</f>
        <v>0</v>
      </c>
      <c r="AE12" s="368">
        <f>'פרוט שאיפה 2017'!AW67</f>
        <v>0</v>
      </c>
      <c r="AF12" s="368">
        <f>'פרוט שאיפה 2017'!AZ$67</f>
        <v>0</v>
      </c>
      <c r="AG12" s="368">
        <f>'פרוט שאיפה 2017'!BC$67</f>
        <v>200000</v>
      </c>
      <c r="AH12" s="368">
        <f>'פרוט שאיפה 2017'!BF$67</f>
        <v>0</v>
      </c>
      <c r="AI12" s="368">
        <f>'פרוט שאיפה 2017'!BG$67</f>
        <v>-2949000</v>
      </c>
      <c r="AJ12" s="368">
        <f>'פרוט שאיפה 2017'!BH$67</f>
        <v>35001</v>
      </c>
      <c r="AK12" s="368">
        <f>'פרוט שאיפה 2017'!BI$67</f>
        <v>-2913999</v>
      </c>
      <c r="AL12" s="368">
        <f>'פרוט שאיפה 2017'!BJ$67</f>
        <v>61058</v>
      </c>
      <c r="AM12" s="368">
        <f>'פרוט שאיפה 2017'!BK$67</f>
        <v>-3149000</v>
      </c>
      <c r="AN12" s="368">
        <f>'פרוט שאיפה 2017'!BL$67</f>
        <v>235001</v>
      </c>
      <c r="AO12" s="368">
        <f>'פרוט שאיפה 2017'!BM$67</f>
        <v>0</v>
      </c>
      <c r="AP12" s="368">
        <f>'פרוט שאיפה 2017'!BN$67</f>
        <v>0</v>
      </c>
      <c r="AQ12" s="368">
        <f>'פרוט שאיפה 2017'!BO$67</f>
        <v>35001</v>
      </c>
      <c r="AR12" s="368">
        <f>'פרוט שאיפה 2017'!BP$67</f>
        <v>0</v>
      </c>
      <c r="AS12" s="368">
        <f>'פרוט שאיפה 2017'!BQ$67</f>
        <v>0</v>
      </c>
      <c r="AT12" s="368">
        <f>'פרוט שאיפה 2017'!BR$67</f>
        <v>0</v>
      </c>
      <c r="AU12" s="368">
        <f>'פרוט שאיפה 2017'!BS$67</f>
        <v>61058</v>
      </c>
      <c r="AW12" s="372"/>
      <c r="AX12" s="372"/>
    </row>
    <row r="13" spans="1:50" s="5" customFormat="1" ht="24.95" customHeight="1">
      <c r="A13" s="769" t="s">
        <v>203</v>
      </c>
      <c r="B13" s="368">
        <f>'פרוט הח. לתיירות'!D$20</f>
        <v>21580000</v>
      </c>
      <c r="C13" s="368">
        <f>'פרוט הח. לתיירות'!E$20</f>
        <v>18319960</v>
      </c>
      <c r="D13" s="368">
        <f>'פרוט הח. לתיירות'!F$20</f>
        <v>3260040</v>
      </c>
      <c r="E13" s="368">
        <f>'פרוט הח. לתיירות'!G$20</f>
        <v>5714960</v>
      </c>
      <c r="F13" s="368">
        <f>'פרוט הח. לתיירות'!H$20</f>
        <v>4581665.78</v>
      </c>
      <c r="G13" s="368">
        <f>'פרוט הח. לתיירות'!I$20</f>
        <v>0</v>
      </c>
      <c r="H13" s="368">
        <f>'פרוט הח. לתיירות'!J$20</f>
        <v>0</v>
      </c>
      <c r="I13" s="368">
        <f>'פרוט הח. לתיירות'!K$20</f>
        <v>0</v>
      </c>
      <c r="J13" s="368">
        <f>'פרוט הח. לתיירות'!L$20</f>
        <v>4581665.78</v>
      </c>
      <c r="K13" s="368">
        <f>'פרוט הח. לתיירות'!M$20</f>
        <v>4383294.2200000007</v>
      </c>
      <c r="L13" s="368">
        <f>'פרוט הח. לתיירות'!N$20</f>
        <v>10175040</v>
      </c>
      <c r="M13" s="368">
        <f>'פרוט הח. לתיירות'!O$20</f>
        <v>2440000</v>
      </c>
      <c r="N13" s="368">
        <f>'פרוט הח. לתיירות'!P$20</f>
        <v>1133294.2200000002</v>
      </c>
      <c r="O13" s="368">
        <f>'פרוט הח. לתיירות'!Q$20</f>
        <v>200000</v>
      </c>
      <c r="P13" s="368">
        <f>'פרוט הח. לתיירות'!R$20</f>
        <v>3050000</v>
      </c>
      <c r="Q13" s="368">
        <f>'פרוט הח. לתיירות'!S$20</f>
        <v>3250000</v>
      </c>
      <c r="R13" s="368">
        <f>'פרוט הח. לתיירות'!T$20</f>
        <v>0</v>
      </c>
      <c r="S13" s="368">
        <f>'פרוט הח. לתיירות'!U$20</f>
        <v>10175040</v>
      </c>
      <c r="T13" s="373">
        <f>'פרוט הח. לתיירות'!V$20</f>
        <v>5210000</v>
      </c>
      <c r="U13" s="368">
        <f>'פרוט הח. לתיירות'!W$20</f>
        <v>65040</v>
      </c>
      <c r="V13" s="374">
        <f>'פרוט הח. לתיירות'!X$20</f>
        <v>0</v>
      </c>
      <c r="W13" s="368">
        <f>'פרוט הח. לתיירות'!Y$20</f>
        <v>4900000</v>
      </c>
      <c r="X13" s="368">
        <f>'פרוט הח. לתיירות'!AB20</f>
        <v>0</v>
      </c>
      <c r="Y13" s="368">
        <f>'פרוט הח. לתיירות'!AE20</f>
        <v>265040</v>
      </c>
      <c r="Z13" s="368">
        <f>'פרוט הח. לתיירות'!AH20</f>
        <v>0</v>
      </c>
      <c r="AA13" s="368">
        <f>'פרוט הח. לתיירות'!AK20</f>
        <v>200000</v>
      </c>
      <c r="AB13" s="368">
        <f>'פרוט הח. לתיירות'!AN20</f>
        <v>0</v>
      </c>
      <c r="AC13" s="368">
        <f>'פרוט הח. לתיירות'!AQ20</f>
        <v>0</v>
      </c>
      <c r="AD13" s="368">
        <f>'פרוט הח. לתיירות'!AT20</f>
        <v>1100000</v>
      </c>
      <c r="AE13" s="368">
        <f>'פרוט הח. לתיירות'!AW20</f>
        <v>0</v>
      </c>
      <c r="AF13" s="368">
        <f>'פרוט הח. לתיירות'!AZ$20</f>
        <v>900000</v>
      </c>
      <c r="AG13" s="368">
        <f>'פרוט הח. לתיירות'!BC20</f>
        <v>0</v>
      </c>
      <c r="AH13" s="368">
        <f>'פרוט הח. לתיירות'!BF$20</f>
        <v>300000</v>
      </c>
      <c r="AI13" s="368">
        <f>'פרוט הח. לתיירות'!BG$20</f>
        <v>2765040</v>
      </c>
      <c r="AJ13" s="368">
        <f>'פרוט הח. לתיירות'!BH$20</f>
        <v>0</v>
      </c>
      <c r="AK13" s="368">
        <f>'פרוט הח. לתיירות'!BI$20</f>
        <v>2765040</v>
      </c>
      <c r="AL13" s="368">
        <f>'פרוט הח. לתיירות'!BJ$20</f>
        <v>7410000</v>
      </c>
      <c r="AM13" s="368">
        <f>'פרוט הח. לתיירות'!BK$20</f>
        <v>2600000</v>
      </c>
      <c r="AN13" s="368">
        <f>'פרוט הח. לתיירות'!BL$20</f>
        <v>0</v>
      </c>
      <c r="AO13" s="368">
        <f>'פרוט הח. לתיירות'!BM$20</f>
        <v>165040</v>
      </c>
      <c r="AP13" s="368">
        <f>'פרוט הח. לתיירות'!BN$20</f>
        <v>0</v>
      </c>
      <c r="AQ13" s="368">
        <f>'פרוט הח. לתיירות'!BO$20</f>
        <v>0</v>
      </c>
      <c r="AR13" s="368">
        <f>'פרוט הח. לתיירות'!BP$20</f>
        <v>0</v>
      </c>
      <c r="AS13" s="368">
        <f>'פרוט הח. לתיירות'!BQ$20</f>
        <v>2610000</v>
      </c>
      <c r="AT13" s="368">
        <f>'פרוט הח. לתיירות'!BR$20</f>
        <v>0</v>
      </c>
      <c r="AU13" s="368">
        <f>'פרוט הח. לתיירות'!BS$20</f>
        <v>4800000</v>
      </c>
      <c r="AW13" s="372"/>
      <c r="AX13" s="372"/>
    </row>
    <row r="14" spans="1:50" s="5" customFormat="1" ht="24.95" customHeight="1">
      <c r="A14" s="769" t="s">
        <v>204</v>
      </c>
      <c r="B14" s="368">
        <f>'פרוט מחשוב '!D$17</f>
        <v>37923842</v>
      </c>
      <c r="C14" s="368">
        <f>'פרוט מחשוב '!E$17</f>
        <v>36323842</v>
      </c>
      <c r="D14" s="368">
        <f>'פרוט מחשוב '!F$17</f>
        <v>1600000</v>
      </c>
      <c r="E14" s="368">
        <f>'פרוט מחשוב '!G$17</f>
        <v>12963842</v>
      </c>
      <c r="F14" s="368">
        <f>'פרוט מחשוב '!H$17</f>
        <v>12011098.16</v>
      </c>
      <c r="G14" s="368">
        <f>'פרוט מחשוב '!I$17</f>
        <v>239762.62</v>
      </c>
      <c r="H14" s="368">
        <f>'פרוט מחשוב '!J$17</f>
        <v>487200</v>
      </c>
      <c r="I14" s="368">
        <f>'פרוט מחשוב '!K$17</f>
        <v>726962.62</v>
      </c>
      <c r="J14" s="368">
        <f>'פרוט מחשוב '!L$17</f>
        <v>12738060.780000001</v>
      </c>
      <c r="K14" s="368">
        <f>'פרוט מחשוב '!M$17</f>
        <v>4073780.9800000004</v>
      </c>
      <c r="L14" s="368">
        <f>'פרוט מחשוב '!N$17</f>
        <v>4750000</v>
      </c>
      <c r="M14" s="368">
        <f>'פרוט מחשוב '!O$17</f>
        <v>16362000.24</v>
      </c>
      <c r="N14" s="368">
        <f>'פרוט מחשוב '!P$17</f>
        <v>225781.2200000005</v>
      </c>
      <c r="O14" s="368">
        <f>'פרוט מחשוב '!Q$17</f>
        <v>2650000</v>
      </c>
      <c r="P14" s="368">
        <f>'פרוט מחשוב '!R$17</f>
        <v>1250000</v>
      </c>
      <c r="Q14" s="368">
        <f>'פרוט מחשוב '!S$17</f>
        <v>3900000</v>
      </c>
      <c r="R14" s="368">
        <f>'פרוט מחשוב '!T$17</f>
        <v>52000.239999999991</v>
      </c>
      <c r="S14" s="368">
        <f>'פרוט מחשוב '!U$17</f>
        <v>4697999.76</v>
      </c>
      <c r="T14" s="368">
        <f>'פרוט מחשוב '!V$17</f>
        <v>2500000</v>
      </c>
      <c r="U14" s="368">
        <f>'פרוט מחשוב '!W$17</f>
        <v>2197999.7599999998</v>
      </c>
      <c r="V14" s="368">
        <f>'פרוט מחשוב '!X$17</f>
        <v>0</v>
      </c>
      <c r="W14" s="368">
        <f>'פרוט מחשוב '!Y$17</f>
        <v>0</v>
      </c>
      <c r="X14" s="375">
        <f>'פרוט מחשוב '!AB17</f>
        <v>0</v>
      </c>
      <c r="Y14" s="368">
        <f>'פרוט מחשוב '!AE17</f>
        <v>0</v>
      </c>
      <c r="Z14" s="368">
        <f>'פרוט מחשוב '!AH17</f>
        <v>755000</v>
      </c>
      <c r="AA14" s="368">
        <f>'פרוט מחשוב '!AK17</f>
        <v>0</v>
      </c>
      <c r="AB14" s="368">
        <f>'פרוט מחשוב '!AN17</f>
        <v>70000</v>
      </c>
      <c r="AC14" s="368">
        <f>'פרוט מחשוב '!AQ17</f>
        <v>0</v>
      </c>
      <c r="AD14" s="368">
        <f>'פרוט מחשוב '!AT17</f>
        <v>0</v>
      </c>
      <c r="AE14" s="368">
        <f>'פרוט מחשוב '!AW17</f>
        <v>0</v>
      </c>
      <c r="AF14" s="368">
        <f>'פרוט מחשוב '!AZ$17</f>
        <v>0</v>
      </c>
      <c r="AG14" s="368">
        <f>'פרוט מחשוב '!BC$17</f>
        <v>913000</v>
      </c>
      <c r="AH14" s="368">
        <f>'פרוט מחשוב '!BF$17</f>
        <v>60000</v>
      </c>
      <c r="AI14" s="368">
        <f>'פרוט מחשוב '!BG$17</f>
        <v>1798000</v>
      </c>
      <c r="AJ14" s="368">
        <f>'פרוט מחשוב '!BH$17</f>
        <v>0</v>
      </c>
      <c r="AK14" s="368">
        <f>'פרוט מחשוב '!BI$17</f>
        <v>1798000</v>
      </c>
      <c r="AL14" s="368">
        <f>'פרוט מחשוב '!BJ$17</f>
        <v>2899999.76</v>
      </c>
      <c r="AM14" s="368">
        <f>'פרוט מחשוב '!BK$17</f>
        <v>300000</v>
      </c>
      <c r="AN14" s="368">
        <f>'פרוט מחשוב '!BL$17</f>
        <v>1498000</v>
      </c>
      <c r="AO14" s="368">
        <f>'פרוט מחשוב '!BM$17</f>
        <v>0</v>
      </c>
      <c r="AP14" s="368">
        <f>'פרוט מחשוב '!BN$17</f>
        <v>0</v>
      </c>
      <c r="AQ14" s="368">
        <f>'פרוט מחשוב '!BO$17</f>
        <v>0</v>
      </c>
      <c r="AR14" s="368">
        <f>'פרוט מחשוב '!BP$17</f>
        <v>0</v>
      </c>
      <c r="AS14" s="368">
        <f>'פרוט מחשוב '!BQ$17</f>
        <v>2200000</v>
      </c>
      <c r="AT14" s="368">
        <f>'פרוט מחשוב '!BR$17</f>
        <v>699999.76</v>
      </c>
      <c r="AU14" s="368">
        <f>'פרוט מחשוב '!BS$17</f>
        <v>0</v>
      </c>
      <c r="AW14" s="372"/>
      <c r="AX14" s="372"/>
    </row>
    <row r="15" spans="1:50" s="5" customFormat="1" ht="24.95" customHeight="1">
      <c r="A15" s="769" t="s">
        <v>205</v>
      </c>
      <c r="B15" s="368">
        <f>'פרוט נכסים'!D$23</f>
        <v>161539700</v>
      </c>
      <c r="C15" s="368">
        <f>'פרוט נכסים'!E$23</f>
        <v>159519700</v>
      </c>
      <c r="D15" s="368">
        <f>'פרוט נכסים'!F$23</f>
        <v>2020000</v>
      </c>
      <c r="E15" s="368">
        <f>'פרוט נכסים'!G$23</f>
        <v>95872525</v>
      </c>
      <c r="F15" s="368">
        <f>'פרוט נכסים'!H$23</f>
        <v>73604299.710000008</v>
      </c>
      <c r="G15" s="368">
        <f>'פרוט נכסים'!I$23</f>
        <v>6107</v>
      </c>
      <c r="H15" s="368">
        <f>'פרוט נכסים'!J$23</f>
        <v>0</v>
      </c>
      <c r="I15" s="368">
        <f>'פרוט נכסים'!K$23</f>
        <v>6107</v>
      </c>
      <c r="J15" s="368">
        <f>'פרוט נכסים'!L$23</f>
        <v>73610406.710000008</v>
      </c>
      <c r="K15" s="368">
        <f>'פרוט נכסים'!M$23</f>
        <v>22262118.289999999</v>
      </c>
      <c r="L15" s="368">
        <f>'פרוט נכסים'!N$23</f>
        <v>2645000</v>
      </c>
      <c r="M15" s="368">
        <f>'פרוט נכסים'!O$23</f>
        <v>63022175</v>
      </c>
      <c r="N15" s="368">
        <f>'פרוט נכסים'!P$23</f>
        <v>22262118.289999999</v>
      </c>
      <c r="O15" s="368">
        <f>'פרוט נכסים'!Q$23</f>
        <v>0</v>
      </c>
      <c r="P15" s="368">
        <f>'פרוט נכסים'!R$23</f>
        <v>0</v>
      </c>
      <c r="Q15" s="368">
        <f>'פרוט נכסים'!S$23</f>
        <v>0</v>
      </c>
      <c r="R15" s="368">
        <f>'פרוט נכסים'!T$23</f>
        <v>0</v>
      </c>
      <c r="S15" s="368">
        <f>'פרוט נכסים'!U$23</f>
        <v>2645000</v>
      </c>
      <c r="T15" s="373">
        <f>'פרוט נכסים'!V$23</f>
        <v>2645000</v>
      </c>
      <c r="U15" s="368">
        <f>'פרוט נכסים'!W$23</f>
        <v>0</v>
      </c>
      <c r="V15" s="374">
        <f>'פרוט נכסים'!X$23</f>
        <v>0</v>
      </c>
      <c r="W15" s="368">
        <f>'פרוט נכסים'!Y$23</f>
        <v>0</v>
      </c>
      <c r="X15" s="368">
        <f>'פרוט נכסים'!AB23</f>
        <v>0</v>
      </c>
      <c r="Y15" s="368">
        <f>'פרוט נכסים'!AE23</f>
        <v>0</v>
      </c>
      <c r="Z15" s="368">
        <f>'פרוט נכסים'!AH23</f>
        <v>0</v>
      </c>
      <c r="AA15" s="368">
        <f>'פרוט נכסים'!AK23</f>
        <v>0</v>
      </c>
      <c r="AB15" s="368">
        <f>'פרוט נכסים'!AN23</f>
        <v>0</v>
      </c>
      <c r="AC15" s="368">
        <f>'פרוט נכסים'!AQ23</f>
        <v>0</v>
      </c>
      <c r="AD15" s="368">
        <f>'פרוט נכסים'!AT23</f>
        <v>0</v>
      </c>
      <c r="AE15" s="368">
        <f>'פרוט נכסים'!AW23</f>
        <v>0</v>
      </c>
      <c r="AF15" s="368">
        <f>'פרוט נכסים'!AZ$23</f>
        <v>0</v>
      </c>
      <c r="AG15" s="368">
        <f>'פרוט נכסים'!BC$23</f>
        <v>0</v>
      </c>
      <c r="AH15" s="368">
        <f>'פרוט נכסים'!BF$23</f>
        <v>25000</v>
      </c>
      <c r="AI15" s="368">
        <f>'פרוט נכסים'!BG$23</f>
        <v>25000</v>
      </c>
      <c r="AJ15" s="368">
        <f>'פרוט נכסים'!BH$23</f>
        <v>0</v>
      </c>
      <c r="AK15" s="368">
        <f>'פרוט נכסים'!BI$23</f>
        <v>25000</v>
      </c>
      <c r="AL15" s="368">
        <f>'פרוט נכסים'!BJ$23</f>
        <v>2620000</v>
      </c>
      <c r="AM15" s="368">
        <f>'פרוט נכסים'!BK$23</f>
        <v>25000</v>
      </c>
      <c r="AN15" s="368">
        <f>'פרוט נכסים'!BL$23</f>
        <v>0</v>
      </c>
      <c r="AO15" s="368">
        <f>'פרוט נכסים'!BM$23</f>
        <v>0</v>
      </c>
      <c r="AP15" s="368">
        <f>'פרוט נכסים'!BN$23</f>
        <v>0</v>
      </c>
      <c r="AQ15" s="368">
        <f>'פרוט נכסים'!BO$23</f>
        <v>0</v>
      </c>
      <c r="AR15" s="368">
        <f>'פרוט נכסים'!BP$23</f>
        <v>0</v>
      </c>
      <c r="AS15" s="368">
        <f>'פרוט נכסים'!BQ$23</f>
        <v>2620000</v>
      </c>
      <c r="AT15" s="368">
        <f>'פרוט נכסים'!BR$23</f>
        <v>0</v>
      </c>
      <c r="AU15" s="368">
        <f>'פרוט נכסים'!BS$23</f>
        <v>0</v>
      </c>
      <c r="AW15" s="372"/>
      <c r="AX15" s="372"/>
    </row>
    <row r="16" spans="1:50" s="5" customFormat="1" ht="24.95" customHeight="1">
      <c r="A16" s="769" t="s">
        <v>206</v>
      </c>
      <c r="B16" s="368">
        <f>'פרוט שיפוצי בתים עמידר '!D$9</f>
        <v>78490000</v>
      </c>
      <c r="C16" s="368">
        <f>'פרוט שיפוצי בתים עמידר '!E$9</f>
        <v>80500000</v>
      </c>
      <c r="D16" s="368">
        <f>'פרוט שיפוצי בתים עמידר '!F$9</f>
        <v>-2010000</v>
      </c>
      <c r="E16" s="368">
        <f>'פרוט שיפוצי בתים עמידר '!G$9</f>
        <v>55290000</v>
      </c>
      <c r="F16" s="368">
        <f>'פרוט שיפוצי בתים עמידר '!H$9</f>
        <v>54081757.43</v>
      </c>
      <c r="G16" s="368">
        <f>'פרוט שיפוצי בתים עמידר '!I$9</f>
        <v>0</v>
      </c>
      <c r="H16" s="368">
        <f>'פרוט שיפוצי בתים עמידר '!J$9</f>
        <v>0</v>
      </c>
      <c r="I16" s="368">
        <f>'פרוט שיפוצי בתים עמידר '!K$9</f>
        <v>0</v>
      </c>
      <c r="J16" s="368">
        <f>'פרוט שיפוצי בתים עמידר '!L$9</f>
        <v>54081757.43</v>
      </c>
      <c r="K16" s="368">
        <f>'פרוט שיפוצי בתים עמידר '!M$9</f>
        <v>4608242.57</v>
      </c>
      <c r="L16" s="368">
        <f>'פרוט שיפוצי בתים עמידר '!N$9</f>
        <v>11550000</v>
      </c>
      <c r="M16" s="368">
        <f>'פרוט שיפוצי בתים עמידר '!O$9</f>
        <v>8250000</v>
      </c>
      <c r="N16" s="368">
        <f>'פרוט שיפוצי בתים עמידר '!P$9</f>
        <v>1208242.57</v>
      </c>
      <c r="O16" s="368">
        <f>'פרוט שיפוצי בתים עמידר '!Q$9</f>
        <v>3400000</v>
      </c>
      <c r="P16" s="368">
        <f>'פרוט שיפוצי בתים עמידר '!R$9</f>
        <v>0</v>
      </c>
      <c r="Q16" s="368">
        <f>'פרוט שיפוצי בתים עמידר '!S$9</f>
        <v>3400000</v>
      </c>
      <c r="R16" s="368">
        <f>'פרוט שיפוצי בתים עמידר '!T$9</f>
        <v>0</v>
      </c>
      <c r="S16" s="368">
        <f>'פרוט שיפוצי בתים עמידר '!U$9</f>
        <v>11550000</v>
      </c>
      <c r="T16" s="373">
        <f>'פרוט שיפוצי בתים עמידר '!V$9</f>
        <v>50000</v>
      </c>
      <c r="U16" s="368">
        <f>'פרוט שיפוצי בתים עמידר '!W$9</f>
        <v>0</v>
      </c>
      <c r="V16" s="374">
        <f>'פרוט שיפוצי בתים עמידר '!X$9</f>
        <v>0</v>
      </c>
      <c r="W16" s="368">
        <f>'פרוט שיפוצי בתים עמידר '!Y$9</f>
        <v>11500000</v>
      </c>
      <c r="X16" s="368">
        <f>'פרוט שיפוצי בתים עמידר '!AB9</f>
        <v>0</v>
      </c>
      <c r="Y16" s="368">
        <f>'פרוט שיפוצי בתים עמידר '!AE9</f>
        <v>0</v>
      </c>
      <c r="Z16" s="368">
        <f>'פרוט שיפוצי בתים עמידר '!AH9</f>
        <v>0</v>
      </c>
      <c r="AA16" s="368">
        <f>'פרוט שיפוצי בתים עמידר '!BE$9</f>
        <v>0</v>
      </c>
      <c r="AB16" s="368">
        <f>'פרוט שיפוצי בתים עמידר '!AN9</f>
        <v>0</v>
      </c>
      <c r="AC16" s="368">
        <f>'פרוט שיפוצי בתים עמידר '!AQ9</f>
        <v>0</v>
      </c>
      <c r="AD16" s="368">
        <f>'פרוט שיפוצי בתים עמידר '!AT9</f>
        <v>0</v>
      </c>
      <c r="AE16" s="368">
        <f>'פרוט שיפוצי בתים עמידר '!AW9</f>
        <v>500000</v>
      </c>
      <c r="AF16" s="368">
        <f>'פרוט שיפוצי בתים עמידר '!AZ$9</f>
        <v>0</v>
      </c>
      <c r="AG16" s="368">
        <f>'פרוט שיפוצי בתים עמידר '!BC$9</f>
        <v>550000</v>
      </c>
      <c r="AH16" s="368">
        <f>'פרוט שיפוצי בתים עמידר '!BF$9</f>
        <v>1000000</v>
      </c>
      <c r="AI16" s="368">
        <f>'פרוט שיפוצי בתים עמידר '!BG$9</f>
        <v>2050000</v>
      </c>
      <c r="AJ16" s="368">
        <f>'פרוט שיפוצי בתים עמידר '!BH$9</f>
        <v>1500000</v>
      </c>
      <c r="AK16" s="368">
        <f>'פרוט שיפוצי בתים עמידר '!BI$9</f>
        <v>3550000</v>
      </c>
      <c r="AL16" s="368">
        <f>'פרוט שיפוצי בתים עמידר '!BJ$9</f>
        <v>8000000</v>
      </c>
      <c r="AM16" s="368">
        <f>'פרוט שיפוצי בתים עמידר '!BK$9</f>
        <v>50000</v>
      </c>
      <c r="AN16" s="368">
        <f>'פרוט שיפוצי בתים עמידר '!BL$9</f>
        <v>0</v>
      </c>
      <c r="AO16" s="368">
        <f>'פרוט שיפוצי בתים עמידר '!BM$9</f>
        <v>3500000</v>
      </c>
      <c r="AP16" s="368">
        <f>'פרוט שיפוצי בתים עמידר '!BN$9</f>
        <v>0</v>
      </c>
      <c r="AQ16" s="368">
        <f>'פרוט שיפוצי בתים עמידר '!BO$9</f>
        <v>0</v>
      </c>
      <c r="AR16" s="368">
        <f>'פרוט שיפוצי בתים עמידר '!BP$9</f>
        <v>1500000</v>
      </c>
      <c r="AS16" s="368">
        <f>'פרוט שיפוצי בתים עמידר '!BQ$9</f>
        <v>0</v>
      </c>
      <c r="AT16" s="368">
        <f>'פרוט שיפוצי בתים עמידר '!BR$9</f>
        <v>0</v>
      </c>
      <c r="AU16" s="368">
        <f>'פרוט שיפוצי בתים עמידר '!BS$9</f>
        <v>8000000</v>
      </c>
      <c r="AW16" s="372"/>
      <c r="AX16" s="372"/>
    </row>
    <row r="17" spans="1:50" s="5" customFormat="1" ht="24.95" customHeight="1">
      <c r="A17" s="769" t="s">
        <v>207</v>
      </c>
      <c r="B17" s="368">
        <f>'פרוט כללי '!D$19</f>
        <v>162984020</v>
      </c>
      <c r="C17" s="368">
        <f>'פרוט כללי '!E$19</f>
        <v>158206000</v>
      </c>
      <c r="D17" s="368">
        <f>'פרוט כללי '!F$19</f>
        <v>4778020</v>
      </c>
      <c r="E17" s="368">
        <f>'פרוט כללי '!G$19</f>
        <v>86313000</v>
      </c>
      <c r="F17" s="368">
        <f>'פרוט כללי '!H$19</f>
        <v>75354902.549999997</v>
      </c>
      <c r="G17" s="368">
        <f>'פרוט כללי '!I$19</f>
        <v>4572028.6399999997</v>
      </c>
      <c r="H17" s="368">
        <f>'פרוט כללי '!J$19</f>
        <v>784729.09</v>
      </c>
      <c r="I17" s="368">
        <f>'פרוט כללי '!K$19</f>
        <v>5356757.7299999995</v>
      </c>
      <c r="J17" s="368">
        <f>'פרוט כללי '!L$19</f>
        <v>80711660.280000001</v>
      </c>
      <c r="K17" s="368">
        <f>'פרוט כללי '!M$19</f>
        <v>12572359.720000001</v>
      </c>
      <c r="L17" s="368">
        <f>'פרוט כללי '!N$19</f>
        <v>16750000</v>
      </c>
      <c r="M17" s="368">
        <f>'פרוט כללי '!O$19</f>
        <v>52950000</v>
      </c>
      <c r="N17" s="368">
        <f>'פרוט כללי '!P$19</f>
        <v>5601339.7200000007</v>
      </c>
      <c r="O17" s="368">
        <f>'פרוט כללי '!Q$19</f>
        <v>350000</v>
      </c>
      <c r="P17" s="368">
        <f>'פרוט כללי '!R$19</f>
        <v>7155000</v>
      </c>
      <c r="Q17" s="368">
        <f>'פרוט כללי '!S$19</f>
        <v>7505000</v>
      </c>
      <c r="R17" s="368">
        <f>'פרוט כללי '!T$19</f>
        <v>533980</v>
      </c>
      <c r="S17" s="368">
        <f>'פרוט כללי '!U$19</f>
        <v>16216020</v>
      </c>
      <c r="T17" s="373">
        <f>'פרוט כללי '!V$19</f>
        <v>8201060</v>
      </c>
      <c r="U17" s="368">
        <f>'פרוט כללי '!W$19</f>
        <v>8014960</v>
      </c>
      <c r="V17" s="374">
        <f>'פרוט כללי '!X$19</f>
        <v>0</v>
      </c>
      <c r="W17" s="368">
        <f>'פרוט כללי '!Y$19</f>
        <v>0</v>
      </c>
      <c r="X17" s="368">
        <f>'פרוט כללי '!AB19</f>
        <v>0</v>
      </c>
      <c r="Y17" s="368">
        <f>'פרוט כללי '!AE19</f>
        <v>0</v>
      </c>
      <c r="Z17" s="368">
        <f>'פרוט כללי '!AH19</f>
        <v>1970020</v>
      </c>
      <c r="AA17" s="368">
        <f>'פרוט כללי '!AK19</f>
        <v>2900000</v>
      </c>
      <c r="AB17" s="368">
        <f>'פרוט כללי '!AN19</f>
        <v>480000</v>
      </c>
      <c r="AC17" s="368">
        <f>'פרוט כללי '!AQ19</f>
        <v>1410000</v>
      </c>
      <c r="AD17" s="368">
        <f>'פרוט כללי '!AT19</f>
        <v>200000</v>
      </c>
      <c r="AE17" s="368">
        <f>'פרוט כללי '!AW19</f>
        <v>500000</v>
      </c>
      <c r="AF17" s="368">
        <f>'פרוט כללי '!AZ$19</f>
        <v>0</v>
      </c>
      <c r="AG17" s="368">
        <f>'פרוט כללי '!BC$19</f>
        <v>2600000</v>
      </c>
      <c r="AH17" s="368">
        <f>'פרוט כללי '!BF$19</f>
        <v>2000000</v>
      </c>
      <c r="AI17" s="368">
        <f>'פרוט כללי '!BG$19</f>
        <v>12060020</v>
      </c>
      <c r="AJ17" s="368">
        <f>'פרוט כללי '!BH$19</f>
        <v>1406000</v>
      </c>
      <c r="AK17" s="368">
        <f>'פרוט כללי '!BI$19</f>
        <v>13466020</v>
      </c>
      <c r="AL17" s="368">
        <f>'פרוט כללי '!BJ$19</f>
        <v>2750000</v>
      </c>
      <c r="AM17" s="368">
        <f>'פרוט כללי '!BK$19</f>
        <v>6051060</v>
      </c>
      <c r="AN17" s="368">
        <f>'פרוט כללי '!BL$19</f>
        <v>7414960</v>
      </c>
      <c r="AO17" s="368">
        <f>'פרוט כללי '!BM$19</f>
        <v>0</v>
      </c>
      <c r="AP17" s="368">
        <f>'פרוט כללי '!BN$19</f>
        <v>1256000</v>
      </c>
      <c r="AQ17" s="368">
        <f>'פרוט כללי '!BO$19</f>
        <v>150000</v>
      </c>
      <c r="AR17" s="368">
        <f>'פרוט כללי '!BP$19</f>
        <v>0</v>
      </c>
      <c r="AS17" s="368">
        <f>'פרוט כללי '!BQ$19</f>
        <v>2400000</v>
      </c>
      <c r="AT17" s="368">
        <f>'פרוט כללי '!BR$19</f>
        <v>350000</v>
      </c>
      <c r="AU17" s="368">
        <f>'פרוט כללי '!BS$19</f>
        <v>0</v>
      </c>
      <c r="AW17" s="372"/>
      <c r="AX17" s="372"/>
    </row>
    <row r="18" spans="1:50" s="377" customFormat="1" ht="24.95" customHeight="1">
      <c r="A18" s="772" t="s">
        <v>208</v>
      </c>
      <c r="B18" s="773">
        <f t="shared" ref="B18:AU18" si="0">SUM(B5:B17)</f>
        <v>3716633864</v>
      </c>
      <c r="C18" s="773">
        <f t="shared" si="0"/>
        <v>3219643745</v>
      </c>
      <c r="D18" s="773">
        <f t="shared" si="0"/>
        <v>496990119</v>
      </c>
      <c r="E18" s="773">
        <f t="shared" si="0"/>
        <v>1737691060</v>
      </c>
      <c r="F18" s="773">
        <f t="shared" si="0"/>
        <v>1392070823.4300001</v>
      </c>
      <c r="G18" s="773">
        <f t="shared" si="0"/>
        <v>94079107.980000004</v>
      </c>
      <c r="H18" s="773">
        <f t="shared" si="0"/>
        <v>35202603.730000004</v>
      </c>
      <c r="I18" s="773">
        <f t="shared" si="0"/>
        <v>129281711.70999998</v>
      </c>
      <c r="J18" s="773">
        <f t="shared" si="0"/>
        <v>1521352535.1399999</v>
      </c>
      <c r="K18" s="773">
        <f t="shared" si="0"/>
        <v>408546730.62000006</v>
      </c>
      <c r="L18" s="773">
        <f t="shared" si="0"/>
        <v>457461704</v>
      </c>
      <c r="M18" s="773">
        <f t="shared" si="0"/>
        <v>1329272894.24</v>
      </c>
      <c r="N18" s="773">
        <f t="shared" si="0"/>
        <v>216338524.86000001</v>
      </c>
      <c r="O18" s="773">
        <f t="shared" si="0"/>
        <v>132771145</v>
      </c>
      <c r="P18" s="773">
        <f t="shared" si="0"/>
        <v>82277500</v>
      </c>
      <c r="Q18" s="773">
        <f t="shared" si="0"/>
        <v>215048645</v>
      </c>
      <c r="R18" s="773">
        <f t="shared" si="0"/>
        <v>22840439.239999998</v>
      </c>
      <c r="S18" s="773">
        <f t="shared" si="0"/>
        <v>434621264.75999999</v>
      </c>
      <c r="T18" s="773">
        <f t="shared" si="0"/>
        <v>163255000.30000001</v>
      </c>
      <c r="U18" s="773">
        <f t="shared" si="0"/>
        <v>34999999.759999998</v>
      </c>
      <c r="V18" s="773">
        <f t="shared" si="0"/>
        <v>0</v>
      </c>
      <c r="W18" s="773">
        <f t="shared" si="0"/>
        <v>236366264.69999999</v>
      </c>
      <c r="X18" s="773">
        <f>SUM(X5:X17)</f>
        <v>-20393197</v>
      </c>
      <c r="Y18" s="773">
        <f>SUM(Y5:Y17)</f>
        <v>3989360</v>
      </c>
      <c r="Z18" s="773">
        <f t="shared" ref="Z18:AN18" si="1">SUM(Z5:Z17)</f>
        <v>16926020</v>
      </c>
      <c r="AA18" s="773">
        <f t="shared" si="1"/>
        <v>14205000</v>
      </c>
      <c r="AB18" s="773">
        <f t="shared" si="1"/>
        <v>4790000</v>
      </c>
      <c r="AC18" s="773">
        <f t="shared" si="1"/>
        <v>14010000</v>
      </c>
      <c r="AD18" s="773">
        <f t="shared" si="1"/>
        <v>23679552</v>
      </c>
      <c r="AE18" s="773">
        <f t="shared" si="1"/>
        <v>13750000</v>
      </c>
      <c r="AF18" s="773">
        <f t="shared" si="1"/>
        <v>11026700</v>
      </c>
      <c r="AG18" s="773">
        <f t="shared" si="1"/>
        <v>7093000</v>
      </c>
      <c r="AH18" s="773">
        <f t="shared" si="1"/>
        <v>56200545</v>
      </c>
      <c r="AI18" s="773">
        <f t="shared" si="1"/>
        <v>145276980</v>
      </c>
      <c r="AJ18" s="773">
        <f>SUM(AJ5:AJ17)</f>
        <v>36625614</v>
      </c>
      <c r="AK18" s="773">
        <f>SUM(AK5:AK17)</f>
        <v>181902594</v>
      </c>
      <c r="AL18" s="773">
        <f t="shared" si="1"/>
        <v>252718670.75999999</v>
      </c>
      <c r="AM18" s="773">
        <f t="shared" si="1"/>
        <v>113650275</v>
      </c>
      <c r="AN18" s="773">
        <f t="shared" si="1"/>
        <v>30112088</v>
      </c>
      <c r="AO18" s="773">
        <f t="shared" si="0"/>
        <v>38140231</v>
      </c>
      <c r="AP18" s="376">
        <f t="shared" si="0"/>
        <v>30311000</v>
      </c>
      <c r="AQ18" s="376">
        <f>SUM(AQ5:AQ17)</f>
        <v>385001</v>
      </c>
      <c r="AR18" s="376">
        <f>SUM(AR5:AR17)</f>
        <v>5929613</v>
      </c>
      <c r="AS18" s="376">
        <f>SUM(AS5:AS17)</f>
        <v>55044211</v>
      </c>
      <c r="AT18" s="376">
        <f t="shared" si="0"/>
        <v>3847999.76</v>
      </c>
      <c r="AU18" s="376">
        <f t="shared" si="0"/>
        <v>193826460</v>
      </c>
      <c r="AW18" s="372"/>
    </row>
    <row r="19" spans="1:50" s="5" customFormat="1">
      <c r="A19" s="378"/>
      <c r="B19" s="371"/>
      <c r="C19" s="371"/>
      <c r="D19" s="366"/>
      <c r="E19" s="371"/>
      <c r="F19" s="371"/>
      <c r="G19" s="371"/>
      <c r="H19" s="371"/>
      <c r="I19" s="371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79"/>
      <c r="U19" s="366"/>
      <c r="V19" s="380"/>
      <c r="W19" s="366"/>
      <c r="X19" s="381"/>
      <c r="Y19" s="381"/>
      <c r="Z19" s="381"/>
      <c r="AA19" s="381"/>
      <c r="AB19" s="381"/>
      <c r="AC19" s="381"/>
      <c r="AD19" s="381"/>
      <c r="AE19" s="381"/>
      <c r="AF19" s="381"/>
      <c r="AG19" s="381"/>
      <c r="AH19" s="381"/>
      <c r="AI19" s="381"/>
      <c r="AJ19" s="381"/>
      <c r="AK19" s="381"/>
      <c r="AL19" s="381"/>
      <c r="AM19" s="381"/>
      <c r="AN19" s="381"/>
      <c r="AO19" s="381"/>
      <c r="AP19" s="381"/>
      <c r="AQ19" s="381"/>
      <c r="AR19" s="381"/>
      <c r="AS19" s="381"/>
      <c r="AT19" s="381"/>
      <c r="AU19" s="381"/>
    </row>
    <row r="20" spans="1:50" s="5" customFormat="1">
      <c r="A20" s="382"/>
      <c r="B20" s="383"/>
      <c r="C20" s="383"/>
      <c r="D20" s="384"/>
      <c r="E20" s="383"/>
      <c r="F20" s="383"/>
      <c r="G20" s="383"/>
      <c r="H20" s="383"/>
      <c r="I20" s="383"/>
      <c r="J20" s="384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</row>
    <row r="21" spans="1:50">
      <c r="M21" s="386"/>
      <c r="O21" s="386"/>
      <c r="P21" s="386"/>
      <c r="Q21" s="386"/>
      <c r="R21" s="5"/>
      <c r="S21" s="387"/>
      <c r="T21" s="387"/>
      <c r="U21" s="387"/>
      <c r="V21" s="387"/>
      <c r="W21" s="387"/>
      <c r="AI21" s="376">
        <v>145276980</v>
      </c>
    </row>
    <row r="22" spans="1:50">
      <c r="AA22" s="383"/>
      <c r="AB22" s="383"/>
      <c r="AC22" s="383"/>
      <c r="AD22" s="383"/>
      <c r="AE22" s="383"/>
      <c r="AF22" s="383"/>
      <c r="AG22" s="383"/>
      <c r="AH22" s="383"/>
      <c r="AI22" s="383"/>
      <c r="AM22" s="383">
        <f>AF22</f>
        <v>0</v>
      </c>
      <c r="AN22" s="383"/>
      <c r="AO22" s="383"/>
      <c r="AP22" s="383"/>
      <c r="AQ22" s="383"/>
      <c r="AR22" s="383"/>
      <c r="AS22" s="383"/>
      <c r="AT22" s="383"/>
      <c r="AU22" s="383"/>
    </row>
    <row r="23" spans="1:50">
      <c r="AF23" s="383"/>
      <c r="AG23" s="383"/>
      <c r="AH23" s="383"/>
    </row>
    <row r="24" spans="1:50">
      <c r="AF24" s="383"/>
      <c r="AG24" s="383"/>
      <c r="AH24" s="383"/>
    </row>
    <row r="25" spans="1:50">
      <c r="AF25" s="383"/>
      <c r="AG25" s="383"/>
      <c r="AH25" s="383"/>
      <c r="AM25" s="383"/>
      <c r="AO25" s="383"/>
    </row>
    <row r="26" spans="1:50">
      <c r="AF26" s="383"/>
    </row>
    <row r="27" spans="1:50">
      <c r="AM27" s="383">
        <f>SUM(AM22:AM22)</f>
        <v>0</v>
      </c>
      <c r="AO27" s="383">
        <f>SUM(AO22:AO22)</f>
        <v>0</v>
      </c>
    </row>
    <row r="28" spans="1:50">
      <c r="AH28" s="383"/>
    </row>
    <row r="30" spans="1:50">
      <c r="AH30" s="383"/>
    </row>
    <row r="32" spans="1:50">
      <c r="AH32" s="383"/>
    </row>
    <row r="33" spans="34:34">
      <c r="AH33" s="383"/>
    </row>
    <row r="34" spans="34:34">
      <c r="AH34" s="383"/>
    </row>
  </sheetData>
  <sheetProtection formatCells="0" formatColumns="0" formatRows="0" insertColumns="0" insertRows="0" insertHyperlinks="0" deleteColumns="0" deleteRows="0" sort="0" autoFilter="0" pivotTables="0"/>
  <mergeCells count="6">
    <mergeCell ref="B3:M3"/>
    <mergeCell ref="N3:O3"/>
    <mergeCell ref="R3:W3"/>
    <mergeCell ref="AS3:AU3"/>
    <mergeCell ref="AP3:AR3"/>
    <mergeCell ref="AI3:AK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F144"/>
  <sheetViews>
    <sheetView showZeros="0" rightToLeft="1" zoomScaleNormal="100" workbookViewId="0">
      <pane xSplit="2" ySplit="6" topLeftCell="C70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5703125" style="239" customWidth="1"/>
    <col min="2" max="2" width="6.7109375" style="239" customWidth="1"/>
    <col min="3" max="3" width="38.28515625" style="239" customWidth="1"/>
    <col min="4" max="4" width="11.28515625" style="31" hidden="1" customWidth="1"/>
    <col min="5" max="5" width="11.85546875" style="251" hidden="1" customWidth="1"/>
    <col min="6" max="6" width="11.140625" style="251" hidden="1" customWidth="1"/>
    <col min="7" max="10" width="12.7109375" style="251" hidden="1" customWidth="1"/>
    <col min="11" max="11" width="11.28515625" style="251" hidden="1" customWidth="1"/>
    <col min="12" max="12" width="11.42578125" style="251" hidden="1" customWidth="1"/>
    <col min="13" max="14" width="11.140625" style="31" hidden="1" customWidth="1"/>
    <col min="15" max="15" width="12.7109375" style="31" hidden="1" customWidth="1"/>
    <col min="16" max="17" width="11.140625" style="31" hidden="1" customWidth="1"/>
    <col min="18" max="18" width="12" style="31" hidden="1" customWidth="1"/>
    <col min="19" max="19" width="11.7109375" style="31" hidden="1" customWidth="1"/>
    <col min="20" max="20" width="10.42578125" style="31" customWidth="1"/>
    <col min="21" max="21" width="10.7109375" style="29" customWidth="1"/>
    <col min="22" max="22" width="11.140625" style="239" customWidth="1"/>
    <col min="23" max="23" width="7" style="239" hidden="1" customWidth="1"/>
    <col min="24" max="24" width="4.85546875" style="239" hidden="1" customWidth="1"/>
    <col min="25" max="25" width="10" style="239" customWidth="1"/>
    <col min="26" max="26" width="11.140625" style="239" hidden="1" customWidth="1"/>
    <col min="27" max="27" width="10" style="239" hidden="1" customWidth="1"/>
    <col min="28" max="29" width="11.140625" style="239" hidden="1" customWidth="1"/>
    <col min="30" max="30" width="10" style="239" hidden="1" customWidth="1"/>
    <col min="31" max="32" width="11.140625" style="239" hidden="1" customWidth="1"/>
    <col min="33" max="33" width="10" style="239" hidden="1" customWidth="1"/>
    <col min="34" max="35" width="11.140625" style="239" hidden="1" customWidth="1"/>
    <col min="36" max="36" width="10" style="239" hidden="1" customWidth="1"/>
    <col min="37" max="38" width="11.140625" style="239" hidden="1" customWidth="1"/>
    <col min="39" max="39" width="10" style="239" hidden="1" customWidth="1"/>
    <col min="40" max="41" width="11.140625" style="239" hidden="1" customWidth="1"/>
    <col min="42" max="42" width="10" style="239" hidden="1" customWidth="1"/>
    <col min="43" max="44" width="11.140625" style="239" hidden="1" customWidth="1"/>
    <col min="45" max="45" width="10" style="239" hidden="1" customWidth="1"/>
    <col min="46" max="47" width="11.140625" style="239" hidden="1" customWidth="1"/>
    <col min="48" max="48" width="10" style="239" hidden="1" customWidth="1"/>
    <col min="49" max="50" width="11.140625" style="239" hidden="1" customWidth="1"/>
    <col min="51" max="51" width="10" style="239" hidden="1" customWidth="1"/>
    <col min="52" max="53" width="11.140625" style="239" hidden="1" customWidth="1"/>
    <col min="54" max="54" width="10" style="239" hidden="1" customWidth="1"/>
    <col min="55" max="56" width="11.140625" style="239" hidden="1" customWidth="1"/>
    <col min="57" max="57" width="10" style="239" hidden="1" customWidth="1"/>
    <col min="58" max="60" width="11.140625" style="239" hidden="1" customWidth="1"/>
    <col min="61" max="61" width="13" style="239" customWidth="1"/>
    <col min="62" max="62" width="10.140625" style="239" bestFit="1" customWidth="1"/>
    <col min="63" max="63" width="12.28515625" style="239" customWidth="1"/>
    <col min="64" max="64" width="10.7109375" style="239" customWidth="1"/>
    <col min="65" max="65" width="13.5703125" style="239" customWidth="1"/>
    <col min="66" max="66" width="9.7109375" style="239" hidden="1" customWidth="1"/>
    <col min="67" max="67" width="10" style="239" hidden="1" customWidth="1"/>
    <col min="68" max="68" width="14.5703125" style="239" hidden="1" customWidth="1"/>
    <col min="69" max="69" width="10.140625" style="239" hidden="1" customWidth="1"/>
    <col min="70" max="70" width="10" style="239" hidden="1" customWidth="1"/>
    <col min="71" max="71" width="14.5703125" style="239" hidden="1" customWidth="1"/>
    <col min="72" max="72" width="7.85546875" style="239" hidden="1" customWidth="1"/>
    <col min="73" max="73" width="13" style="239" customWidth="1"/>
    <col min="74" max="74" width="10.140625" style="239" customWidth="1"/>
    <col min="75" max="75" width="9.140625" style="239"/>
    <col min="76" max="76" width="10.85546875" style="239" customWidth="1"/>
    <col min="77" max="78" width="9.140625" style="239" customWidth="1"/>
    <col min="79" max="16384" width="9.140625" style="239"/>
  </cols>
  <sheetData>
    <row r="1" spans="1:78" ht="18.75">
      <c r="A1" s="777" t="s">
        <v>942</v>
      </c>
    </row>
    <row r="2" spans="1:78" ht="18.75">
      <c r="A2" s="388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4"/>
      <c r="BO2" s="644"/>
      <c r="BP2" s="644"/>
      <c r="BQ2" s="388"/>
      <c r="BR2" s="388"/>
      <c r="BS2" s="388"/>
    </row>
    <row r="3" spans="1:78">
      <c r="D3" s="30"/>
      <c r="E3" s="389"/>
      <c r="F3" s="389"/>
      <c r="G3" s="389"/>
      <c r="H3" s="389"/>
      <c r="I3" s="389"/>
      <c r="J3" s="389"/>
      <c r="K3" s="389"/>
      <c r="L3" s="389"/>
      <c r="M3" s="30"/>
      <c r="N3" s="30"/>
      <c r="O3" s="30"/>
      <c r="P3" s="30"/>
      <c r="Q3" s="30"/>
      <c r="R3" s="30"/>
      <c r="S3" s="30"/>
      <c r="T3" s="826" t="s">
        <v>658</v>
      </c>
      <c r="U3" s="827"/>
      <c r="V3" s="827"/>
      <c r="W3" s="827"/>
      <c r="X3" s="827"/>
      <c r="Y3" s="828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9"/>
      <c r="BJ3" s="522"/>
      <c r="BK3" s="617" t="s">
        <v>1092</v>
      </c>
      <c r="BL3" s="618"/>
      <c r="BM3" s="619"/>
      <c r="BN3" s="817" t="s">
        <v>935</v>
      </c>
      <c r="BO3" s="818"/>
      <c r="BP3" s="819"/>
      <c r="BQ3" s="817" t="s">
        <v>934</v>
      </c>
      <c r="BR3" s="818"/>
      <c r="BS3" s="819"/>
    </row>
    <row r="4" spans="1:78" s="390" customFormat="1" ht="86.25" customHeight="1">
      <c r="A4" s="12" t="s">
        <v>659</v>
      </c>
      <c r="B4" s="12" t="s">
        <v>1</v>
      </c>
      <c r="C4" s="12" t="s">
        <v>2</v>
      </c>
      <c r="D4" s="21" t="s">
        <v>3</v>
      </c>
      <c r="E4" s="12" t="s">
        <v>4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10</v>
      </c>
      <c r="L4" s="12" t="s">
        <v>11</v>
      </c>
      <c r="M4" s="21" t="s">
        <v>637</v>
      </c>
      <c r="N4" s="21" t="s">
        <v>638</v>
      </c>
      <c r="O4" s="21" t="s">
        <v>639</v>
      </c>
      <c r="P4" s="21" t="s">
        <v>12</v>
      </c>
      <c r="Q4" s="21" t="s">
        <v>640</v>
      </c>
      <c r="R4" s="21" t="s">
        <v>641</v>
      </c>
      <c r="S4" s="21" t="s">
        <v>642</v>
      </c>
      <c r="T4" s="21" t="s">
        <v>643</v>
      </c>
      <c r="U4" s="21" t="s">
        <v>644</v>
      </c>
      <c r="V4" s="12" t="s">
        <v>13</v>
      </c>
      <c r="W4" s="12" t="s">
        <v>14</v>
      </c>
      <c r="X4" s="12" t="s">
        <v>15</v>
      </c>
      <c r="Y4" s="12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12" t="s">
        <v>184</v>
      </c>
      <c r="BQ4" s="12" t="s">
        <v>13</v>
      </c>
      <c r="BR4" s="12" t="s">
        <v>14</v>
      </c>
      <c r="BS4" s="12" t="s">
        <v>184</v>
      </c>
      <c r="BT4" s="12" t="s">
        <v>1093</v>
      </c>
    </row>
    <row r="5" spans="1:78" s="244" customFormat="1">
      <c r="A5" s="241"/>
      <c r="B5" s="241"/>
      <c r="C5" s="241"/>
      <c r="D5" s="14"/>
      <c r="E5" s="242"/>
      <c r="F5" s="242"/>
      <c r="G5" s="242"/>
      <c r="H5" s="242"/>
      <c r="I5" s="242"/>
      <c r="J5" s="242"/>
      <c r="K5" s="242"/>
      <c r="L5" s="242"/>
      <c r="M5" s="14"/>
      <c r="N5" s="14"/>
      <c r="O5" s="14"/>
      <c r="P5" s="14"/>
      <c r="Q5" s="14"/>
      <c r="R5" s="14"/>
      <c r="S5" s="14"/>
      <c r="T5" s="14"/>
      <c r="U5" s="14"/>
      <c r="V5" s="242"/>
      <c r="W5" s="242"/>
      <c r="X5" s="242"/>
      <c r="Y5" s="241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1"/>
    </row>
    <row r="6" spans="1:78" s="244" customFormat="1">
      <c r="A6" s="241"/>
      <c r="B6" s="241"/>
      <c r="C6" s="233"/>
      <c r="D6" s="14"/>
      <c r="E6" s="242"/>
      <c r="F6" s="242"/>
      <c r="G6" s="242"/>
      <c r="H6" s="242"/>
      <c r="I6" s="242"/>
      <c r="J6" s="242"/>
      <c r="K6" s="242"/>
      <c r="L6" s="242"/>
      <c r="M6" s="14"/>
      <c r="N6" s="14"/>
      <c r="O6" s="14"/>
      <c r="P6" s="14"/>
      <c r="Q6" s="14"/>
      <c r="R6" s="14"/>
      <c r="S6" s="14"/>
      <c r="T6" s="14"/>
      <c r="U6" s="14"/>
      <c r="V6" s="242"/>
      <c r="W6" s="242"/>
      <c r="X6" s="242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1"/>
    </row>
    <row r="7" spans="1:78" s="244" customFormat="1">
      <c r="A7" s="241">
        <f>A6+1</f>
        <v>1</v>
      </c>
      <c r="B7" s="241">
        <v>179</v>
      </c>
      <c r="C7" s="241" t="s">
        <v>41</v>
      </c>
      <c r="D7" s="14">
        <v>3000000</v>
      </c>
      <c r="E7" s="242">
        <v>3000000</v>
      </c>
      <c r="F7" s="242">
        <f t="shared" ref="F7:F66" si="0">D7-E7</f>
        <v>0</v>
      </c>
      <c r="G7" s="242">
        <v>2895250</v>
      </c>
      <c r="H7" s="242">
        <v>2612020.5499999998</v>
      </c>
      <c r="I7" s="242">
        <v>89797</v>
      </c>
      <c r="J7" s="242"/>
      <c r="K7" s="242">
        <f t="shared" ref="K7:K38" si="1">SUM(I7:J7)</f>
        <v>89797</v>
      </c>
      <c r="L7" s="242">
        <f t="shared" ref="L7:L67" si="2">H7+K7</f>
        <v>2701817.55</v>
      </c>
      <c r="M7" s="14">
        <f>P7+S7</f>
        <v>268432.45000000019</v>
      </c>
      <c r="N7" s="14"/>
      <c r="O7" s="14">
        <f t="shared" ref="O7:O67" si="3">D7-L7-M7-N7</f>
        <v>29750</v>
      </c>
      <c r="P7" s="14">
        <f t="shared" ref="P7:P69" si="4">G7-L7</f>
        <v>193432.45000000019</v>
      </c>
      <c r="Q7" s="14">
        <v>75000</v>
      </c>
      <c r="R7" s="14"/>
      <c r="S7" s="14">
        <f t="shared" ref="S7:S67" si="5">SUM(Q7:R7)</f>
        <v>75000</v>
      </c>
      <c r="T7" s="14">
        <f t="shared" ref="T7:T67" si="6">P7-M7+S7</f>
        <v>0</v>
      </c>
      <c r="U7" s="14">
        <f t="shared" ref="U7:U67" si="7">N7-T7</f>
        <v>0</v>
      </c>
      <c r="V7" s="242">
        <f t="shared" ref="V7:V67" si="8">U7-Y7-W7-X7</f>
        <v>0</v>
      </c>
      <c r="W7" s="242"/>
      <c r="X7" s="242"/>
      <c r="Y7" s="241"/>
      <c r="Z7" s="241"/>
      <c r="AA7" s="241"/>
      <c r="AB7" s="241">
        <f>SUM(Z7:AA7)</f>
        <v>0</v>
      </c>
      <c r="AC7" s="241"/>
      <c r="AD7" s="241"/>
      <c r="AE7" s="241">
        <f>SUM(AC7:AD7)</f>
        <v>0</v>
      </c>
      <c r="AF7" s="241"/>
      <c r="AG7" s="241"/>
      <c r="AH7" s="241">
        <f>SUM(AF7:AG7)</f>
        <v>0</v>
      </c>
      <c r="AI7" s="241"/>
      <c r="AJ7" s="241"/>
      <c r="AK7" s="241">
        <f>SUM(AI7:AJ7)</f>
        <v>0</v>
      </c>
      <c r="AL7" s="241"/>
      <c r="AM7" s="241"/>
      <c r="AN7" s="241">
        <f>SUM(AL7:AM7)</f>
        <v>0</v>
      </c>
      <c r="AO7" s="241"/>
      <c r="AP7" s="241"/>
      <c r="AQ7" s="241">
        <f>SUM(AO7:AP7)</f>
        <v>0</v>
      </c>
      <c r="AR7" s="241"/>
      <c r="AS7" s="241"/>
      <c r="AT7" s="241">
        <f>SUM(AR7:AS7)</f>
        <v>0</v>
      </c>
      <c r="AU7" s="241"/>
      <c r="AV7" s="241"/>
      <c r="AW7" s="241">
        <f>SUM(AU7:AV7)</f>
        <v>0</v>
      </c>
      <c r="AX7" s="241"/>
      <c r="AY7" s="241"/>
      <c r="AZ7" s="241">
        <f>SUM(AX7:AY7)</f>
        <v>0</v>
      </c>
      <c r="BA7" s="241"/>
      <c r="BB7" s="241"/>
      <c r="BC7" s="241">
        <f>SUM(BA7:BB7)</f>
        <v>0</v>
      </c>
      <c r="BD7" s="241"/>
      <c r="BE7" s="241"/>
      <c r="BF7" s="241">
        <f>SUM(BD7:BE7)</f>
        <v>0</v>
      </c>
      <c r="BG7" s="242">
        <f>BF7+AB7+AE7+AH7+AK7+AN7+AQ7+AT7+AW7+AZ7+BC7</f>
        <v>0</v>
      </c>
      <c r="BH7" s="242"/>
      <c r="BI7" s="242">
        <f>BG7+BH7</f>
        <v>0</v>
      </c>
      <c r="BJ7" s="242">
        <f>U7-BI7</f>
        <v>0</v>
      </c>
      <c r="BK7" s="242">
        <f>BI7-BL7-BM6:BM7</f>
        <v>0</v>
      </c>
      <c r="BL7" s="242">
        <f t="shared" ref="BL7:BL22" si="9">BE7</f>
        <v>0</v>
      </c>
      <c r="BM7" s="242">
        <f t="shared" ref="BM7:BM22" si="10">BF7</f>
        <v>0</v>
      </c>
      <c r="BN7" s="242">
        <f>BH7-BO7-BP7</f>
        <v>0</v>
      </c>
      <c r="BO7" s="241"/>
      <c r="BP7" s="241"/>
      <c r="BQ7" s="242">
        <f>BJ7-BR7-BS7</f>
        <v>0</v>
      </c>
      <c r="BR7" s="241"/>
      <c r="BS7" s="241"/>
      <c r="BT7" s="241">
        <v>732000</v>
      </c>
    </row>
    <row r="8" spans="1:78" s="244" customFormat="1">
      <c r="A8" s="241">
        <f t="shared" ref="A8:A70" si="11">A7+1</f>
        <v>2</v>
      </c>
      <c r="B8" s="241">
        <v>304</v>
      </c>
      <c r="C8" s="241" t="s">
        <v>79</v>
      </c>
      <c r="D8" s="14">
        <v>54950000</v>
      </c>
      <c r="E8" s="242">
        <v>54950000</v>
      </c>
      <c r="F8" s="242">
        <f t="shared" si="0"/>
        <v>0</v>
      </c>
      <c r="G8" s="242">
        <v>54950000</v>
      </c>
      <c r="H8" s="242">
        <v>54780522.609999999</v>
      </c>
      <c r="I8" s="242">
        <v>8683.6299999999992</v>
      </c>
      <c r="J8" s="242">
        <v>149074.13</v>
      </c>
      <c r="K8" s="242">
        <f t="shared" si="1"/>
        <v>157757.76000000001</v>
      </c>
      <c r="L8" s="242">
        <f t="shared" si="2"/>
        <v>54938280.369999997</v>
      </c>
      <c r="M8" s="14">
        <f>P8+S8</f>
        <v>11719.630000002682</v>
      </c>
      <c r="N8" s="14"/>
      <c r="O8" s="14">
        <f t="shared" si="3"/>
        <v>0</v>
      </c>
      <c r="P8" s="14">
        <f t="shared" si="4"/>
        <v>11719.630000002682</v>
      </c>
      <c r="Q8" s="14"/>
      <c r="R8" s="14"/>
      <c r="S8" s="14">
        <f t="shared" si="5"/>
        <v>0</v>
      </c>
      <c r="T8" s="14">
        <f t="shared" si="6"/>
        <v>0</v>
      </c>
      <c r="U8" s="14">
        <f t="shared" si="7"/>
        <v>0</v>
      </c>
      <c r="V8" s="242">
        <f t="shared" si="8"/>
        <v>0</v>
      </c>
      <c r="W8" s="242"/>
      <c r="X8" s="242"/>
      <c r="Y8" s="241"/>
      <c r="Z8" s="241"/>
      <c r="AA8" s="241"/>
      <c r="AB8" s="241">
        <f t="shared" ref="AB8:AB70" si="12">SUM(Z8:AA8)</f>
        <v>0</v>
      </c>
      <c r="AC8" s="241"/>
      <c r="AD8" s="241"/>
      <c r="AE8" s="241">
        <f t="shared" ref="AE8:AE71" si="13">SUM(AC8:AD8)</f>
        <v>0</v>
      </c>
      <c r="AF8" s="241"/>
      <c r="AG8" s="241"/>
      <c r="AH8" s="241">
        <f t="shared" ref="AH8:AH71" si="14">SUM(AF8:AG8)</f>
        <v>0</v>
      </c>
      <c r="AI8" s="241"/>
      <c r="AJ8" s="241"/>
      <c r="AK8" s="241">
        <f t="shared" ref="AK8:AK71" si="15">SUM(AI8:AJ8)</f>
        <v>0</v>
      </c>
      <c r="AL8" s="241"/>
      <c r="AM8" s="241"/>
      <c r="AN8" s="241">
        <f t="shared" ref="AN8:AN71" si="16">SUM(AL8:AM8)</f>
        <v>0</v>
      </c>
      <c r="AO8" s="241"/>
      <c r="AP8" s="241"/>
      <c r="AQ8" s="241">
        <f t="shared" ref="AQ8:AQ71" si="17">SUM(AO8:AP8)</f>
        <v>0</v>
      </c>
      <c r="AR8" s="241"/>
      <c r="AS8" s="241"/>
      <c r="AT8" s="241">
        <f t="shared" ref="AT8:AT71" si="18">SUM(AR8:AS8)</f>
        <v>0</v>
      </c>
      <c r="AU8" s="241"/>
      <c r="AV8" s="241"/>
      <c r="AW8" s="241">
        <f t="shared" ref="AW8:AW71" si="19">SUM(AU8:AV8)</f>
        <v>0</v>
      </c>
      <c r="AX8" s="241"/>
      <c r="AY8" s="241"/>
      <c r="AZ8" s="241">
        <f t="shared" ref="AZ8:AZ71" si="20">SUM(AX8:AY8)</f>
        <v>0</v>
      </c>
      <c r="BA8" s="241"/>
      <c r="BB8" s="241"/>
      <c r="BC8" s="241">
        <f t="shared" ref="BC8:BC71" si="21">SUM(BA8:BB8)</f>
        <v>0</v>
      </c>
      <c r="BD8" s="241"/>
      <c r="BE8" s="241"/>
      <c r="BF8" s="241">
        <f t="shared" ref="BF8:BF71" si="22">SUM(BD8:BE8)</f>
        <v>0</v>
      </c>
      <c r="BG8" s="242">
        <f t="shared" ref="BG8:BG27" si="23">BF8+AB8+AE8+AH8+AK8+AN8+AQ8+AT8+AW8+AZ8+BC8</f>
        <v>0</v>
      </c>
      <c r="BH8" s="242"/>
      <c r="BI8" s="242">
        <f t="shared" ref="BI8:BI27" si="24">BG8+BH8</f>
        <v>0</v>
      </c>
      <c r="BJ8" s="242">
        <f t="shared" ref="BJ8:BJ71" si="25">U8-BI8</f>
        <v>0</v>
      </c>
      <c r="BK8" s="242">
        <f t="shared" ref="BK8:BK71" si="26">BI8-BL8-BM7:BM8</f>
        <v>0</v>
      </c>
      <c r="BL8" s="242">
        <f t="shared" si="9"/>
        <v>0</v>
      </c>
      <c r="BM8" s="242">
        <f t="shared" si="10"/>
        <v>0</v>
      </c>
      <c r="BN8" s="242">
        <f t="shared" ref="BN8:BN71" si="27">BH8-BO8-BP8</f>
        <v>0</v>
      </c>
      <c r="BO8" s="241"/>
      <c r="BP8" s="241"/>
      <c r="BQ8" s="242">
        <f t="shared" ref="BQ8:BQ71" si="28">BJ8-BR8-BS8</f>
        <v>0</v>
      </c>
      <c r="BR8" s="241"/>
      <c r="BS8" s="241"/>
      <c r="BT8" s="241">
        <v>746000</v>
      </c>
    </row>
    <row r="9" spans="1:78" s="244" customFormat="1">
      <c r="A9" s="241">
        <f t="shared" si="11"/>
        <v>3</v>
      </c>
      <c r="B9" s="394">
        <v>502</v>
      </c>
      <c r="C9" s="394" t="s">
        <v>1166</v>
      </c>
      <c r="D9" s="14">
        <f>63700000-517000</f>
        <v>63183000</v>
      </c>
      <c r="E9" s="242">
        <v>63700000</v>
      </c>
      <c r="F9" s="242">
        <f t="shared" si="0"/>
        <v>-517000</v>
      </c>
      <c r="G9" s="242">
        <v>63183000</v>
      </c>
      <c r="H9" s="242">
        <v>63178078.729999997</v>
      </c>
      <c r="I9" s="242">
        <v>4635.8500000000004</v>
      </c>
      <c r="J9" s="242">
        <v>71.040000000000006</v>
      </c>
      <c r="K9" s="242">
        <f t="shared" si="1"/>
        <v>4706.8900000000003</v>
      </c>
      <c r="L9" s="242">
        <f t="shared" si="2"/>
        <v>63182785.619999997</v>
      </c>
      <c r="M9" s="14">
        <f>P9+S9</f>
        <v>214.38000000268221</v>
      </c>
      <c r="N9" s="14"/>
      <c r="O9" s="14">
        <f t="shared" si="3"/>
        <v>0</v>
      </c>
      <c r="P9" s="14">
        <f t="shared" si="4"/>
        <v>214.38000000268221</v>
      </c>
      <c r="Q9" s="14"/>
      <c r="R9" s="14"/>
      <c r="S9" s="14">
        <f t="shared" si="5"/>
        <v>0</v>
      </c>
      <c r="T9" s="14">
        <f t="shared" si="6"/>
        <v>0</v>
      </c>
      <c r="U9" s="14">
        <f t="shared" si="7"/>
        <v>0</v>
      </c>
      <c r="V9" s="242">
        <f t="shared" si="8"/>
        <v>0</v>
      </c>
      <c r="W9" s="242"/>
      <c r="X9" s="242"/>
      <c r="Y9" s="241"/>
      <c r="Z9" s="241"/>
      <c r="AA9" s="241"/>
      <c r="AB9" s="241">
        <f t="shared" si="12"/>
        <v>0</v>
      </c>
      <c r="AC9" s="241"/>
      <c r="AD9" s="241"/>
      <c r="AE9" s="241">
        <f t="shared" si="13"/>
        <v>0</v>
      </c>
      <c r="AF9" s="241"/>
      <c r="AG9" s="241"/>
      <c r="AH9" s="241">
        <f t="shared" si="14"/>
        <v>0</v>
      </c>
      <c r="AI9" s="241"/>
      <c r="AJ9" s="241"/>
      <c r="AK9" s="241">
        <f t="shared" si="15"/>
        <v>0</v>
      </c>
      <c r="AL9" s="241"/>
      <c r="AM9" s="241"/>
      <c r="AN9" s="241">
        <f t="shared" si="16"/>
        <v>0</v>
      </c>
      <c r="AO9" s="241"/>
      <c r="AP9" s="241"/>
      <c r="AQ9" s="241">
        <f t="shared" si="17"/>
        <v>0</v>
      </c>
      <c r="AR9" s="241"/>
      <c r="AS9" s="241"/>
      <c r="AT9" s="241">
        <f t="shared" si="18"/>
        <v>0</v>
      </c>
      <c r="AU9" s="241"/>
      <c r="AV9" s="241"/>
      <c r="AW9" s="241">
        <f t="shared" si="19"/>
        <v>0</v>
      </c>
      <c r="AX9" s="241"/>
      <c r="AY9" s="241"/>
      <c r="AZ9" s="241">
        <f t="shared" si="20"/>
        <v>0</v>
      </c>
      <c r="BA9" s="241"/>
      <c r="BB9" s="241"/>
      <c r="BC9" s="241">
        <f t="shared" si="21"/>
        <v>0</v>
      </c>
      <c r="BD9" s="241"/>
      <c r="BE9" s="241"/>
      <c r="BF9" s="241">
        <f t="shared" si="22"/>
        <v>0</v>
      </c>
      <c r="BG9" s="242">
        <f t="shared" si="23"/>
        <v>0</v>
      </c>
      <c r="BH9" s="242"/>
      <c r="BI9" s="242">
        <f t="shared" si="24"/>
        <v>0</v>
      </c>
      <c r="BJ9" s="242">
        <f t="shared" si="25"/>
        <v>0</v>
      </c>
      <c r="BK9" s="242">
        <f t="shared" si="26"/>
        <v>0</v>
      </c>
      <c r="BL9" s="242">
        <f t="shared" si="9"/>
        <v>0</v>
      </c>
      <c r="BM9" s="242">
        <f t="shared" si="10"/>
        <v>0</v>
      </c>
      <c r="BN9" s="242">
        <f t="shared" si="27"/>
        <v>0</v>
      </c>
      <c r="BO9" s="241"/>
      <c r="BP9" s="241"/>
      <c r="BQ9" s="242">
        <f t="shared" si="28"/>
        <v>0</v>
      </c>
      <c r="BR9" s="241"/>
      <c r="BS9" s="241"/>
      <c r="BT9" s="241">
        <v>742000</v>
      </c>
      <c r="BV9" s="246"/>
      <c r="BW9" s="246"/>
      <c r="BX9" s="246"/>
      <c r="BY9" s="246"/>
      <c r="BZ9" s="246"/>
    </row>
    <row r="10" spans="1:78" s="244" customFormat="1">
      <c r="A10" s="241">
        <f t="shared" si="11"/>
        <v>4</v>
      </c>
      <c r="B10" s="241">
        <v>507</v>
      </c>
      <c r="C10" s="241" t="s">
        <v>61</v>
      </c>
      <c r="D10" s="14">
        <v>1810000</v>
      </c>
      <c r="E10" s="242">
        <v>1810000</v>
      </c>
      <c r="F10" s="242">
        <f t="shared" si="0"/>
        <v>0</v>
      </c>
      <c r="G10" s="242">
        <v>1810000</v>
      </c>
      <c r="H10" s="242">
        <v>1653104.23</v>
      </c>
      <c r="I10" s="242">
        <v>11432.19</v>
      </c>
      <c r="J10" s="242"/>
      <c r="K10" s="242">
        <f t="shared" si="1"/>
        <v>11432.19</v>
      </c>
      <c r="L10" s="242">
        <f t="shared" si="2"/>
        <v>1664536.42</v>
      </c>
      <c r="M10" s="14">
        <f>P10+S10-145000</f>
        <v>463.58000000007451</v>
      </c>
      <c r="N10" s="14"/>
      <c r="O10" s="14">
        <f t="shared" si="3"/>
        <v>145000</v>
      </c>
      <c r="P10" s="14">
        <f t="shared" si="4"/>
        <v>145463.58000000007</v>
      </c>
      <c r="Q10" s="14"/>
      <c r="R10" s="14"/>
      <c r="S10" s="14">
        <f t="shared" si="5"/>
        <v>0</v>
      </c>
      <c r="T10" s="14">
        <f t="shared" si="6"/>
        <v>145000</v>
      </c>
      <c r="U10" s="14">
        <f t="shared" si="7"/>
        <v>-145000</v>
      </c>
      <c r="V10" s="242">
        <f t="shared" si="8"/>
        <v>-145000</v>
      </c>
      <c r="W10" s="242"/>
      <c r="X10" s="242"/>
      <c r="Y10" s="241"/>
      <c r="Z10" s="242">
        <v>-130000</v>
      </c>
      <c r="AA10" s="242">
        <v>-13000</v>
      </c>
      <c r="AB10" s="242">
        <f t="shared" si="12"/>
        <v>-143000</v>
      </c>
      <c r="AC10" s="242"/>
      <c r="AD10" s="242"/>
      <c r="AE10" s="242">
        <f t="shared" si="13"/>
        <v>0</v>
      </c>
      <c r="AF10" s="242"/>
      <c r="AG10" s="242"/>
      <c r="AH10" s="242">
        <f t="shared" si="14"/>
        <v>0</v>
      </c>
      <c r="AI10" s="242">
        <v>-1500</v>
      </c>
      <c r="AJ10" s="242">
        <v>-500</v>
      </c>
      <c r="AK10" s="242">
        <f t="shared" si="15"/>
        <v>-2000</v>
      </c>
      <c r="AL10" s="242"/>
      <c r="AM10" s="242"/>
      <c r="AN10" s="242">
        <f t="shared" si="16"/>
        <v>0</v>
      </c>
      <c r="AO10" s="242"/>
      <c r="AP10" s="242"/>
      <c r="AQ10" s="242">
        <f t="shared" si="17"/>
        <v>0</v>
      </c>
      <c r="AR10" s="242"/>
      <c r="AS10" s="242"/>
      <c r="AT10" s="242">
        <f t="shared" si="18"/>
        <v>0</v>
      </c>
      <c r="AU10" s="242"/>
      <c r="AV10" s="242"/>
      <c r="AW10" s="242">
        <f t="shared" si="19"/>
        <v>0</v>
      </c>
      <c r="AX10" s="242"/>
      <c r="AY10" s="242"/>
      <c r="AZ10" s="242">
        <f t="shared" si="20"/>
        <v>0</v>
      </c>
      <c r="BA10" s="242"/>
      <c r="BB10" s="242"/>
      <c r="BC10" s="242">
        <f t="shared" si="21"/>
        <v>0</v>
      </c>
      <c r="BD10" s="242"/>
      <c r="BE10" s="242"/>
      <c r="BF10" s="242">
        <f t="shared" si="22"/>
        <v>0</v>
      </c>
      <c r="BG10" s="242">
        <f t="shared" si="23"/>
        <v>-145000</v>
      </c>
      <c r="BH10" s="242"/>
      <c r="BI10" s="242">
        <f t="shared" si="24"/>
        <v>-145000</v>
      </c>
      <c r="BJ10" s="242">
        <f t="shared" si="25"/>
        <v>0</v>
      </c>
      <c r="BK10" s="242">
        <f t="shared" si="26"/>
        <v>-145000</v>
      </c>
      <c r="BL10" s="242">
        <f t="shared" si="9"/>
        <v>0</v>
      </c>
      <c r="BM10" s="242">
        <f t="shared" si="10"/>
        <v>0</v>
      </c>
      <c r="BN10" s="242">
        <f t="shared" si="27"/>
        <v>0</v>
      </c>
      <c r="BO10" s="241"/>
      <c r="BP10" s="241"/>
      <c r="BQ10" s="242">
        <f t="shared" si="28"/>
        <v>0</v>
      </c>
      <c r="BR10" s="241"/>
      <c r="BS10" s="241"/>
      <c r="BT10" s="241">
        <v>742000</v>
      </c>
      <c r="BV10" s="246"/>
      <c r="BW10" s="246"/>
      <c r="BX10" s="246"/>
      <c r="BY10" s="246"/>
      <c r="BZ10" s="246"/>
    </row>
    <row r="11" spans="1:78" s="244" customFormat="1">
      <c r="A11" s="241">
        <f t="shared" si="11"/>
        <v>5</v>
      </c>
      <c r="B11" s="13">
        <v>546</v>
      </c>
      <c r="C11" s="13" t="s">
        <v>62</v>
      </c>
      <c r="D11" s="14">
        <v>5850000</v>
      </c>
      <c r="E11" s="14">
        <v>5850000</v>
      </c>
      <c r="F11" s="14">
        <f t="shared" si="0"/>
        <v>0</v>
      </c>
      <c r="G11" s="14">
        <v>3550000</v>
      </c>
      <c r="H11" s="14">
        <v>2895703.4</v>
      </c>
      <c r="I11" s="14">
        <v>18052.75</v>
      </c>
      <c r="J11" s="14"/>
      <c r="K11" s="14">
        <f t="shared" si="1"/>
        <v>18052.75</v>
      </c>
      <c r="L11" s="14">
        <f t="shared" si="2"/>
        <v>2913756.15</v>
      </c>
      <c r="M11" s="14">
        <f>P11+S11</f>
        <v>636243.85000000009</v>
      </c>
      <c r="N11" s="14"/>
      <c r="O11" s="14">
        <f t="shared" si="3"/>
        <v>2300000</v>
      </c>
      <c r="P11" s="14">
        <f t="shared" si="4"/>
        <v>636243.85000000009</v>
      </c>
      <c r="Q11" s="14"/>
      <c r="R11" s="14"/>
      <c r="S11" s="14">
        <f t="shared" si="5"/>
        <v>0</v>
      </c>
      <c r="T11" s="14">
        <f t="shared" si="6"/>
        <v>0</v>
      </c>
      <c r="U11" s="14">
        <f t="shared" si="7"/>
        <v>0</v>
      </c>
      <c r="V11" s="14">
        <f t="shared" si="8"/>
        <v>0</v>
      </c>
      <c r="W11" s="14"/>
      <c r="X11" s="14"/>
      <c r="Y11" s="13"/>
      <c r="Z11" s="13"/>
      <c r="AA11" s="13"/>
      <c r="AB11" s="241">
        <f t="shared" si="12"/>
        <v>0</v>
      </c>
      <c r="AC11" s="13"/>
      <c r="AD11" s="13"/>
      <c r="AE11" s="241">
        <f t="shared" si="13"/>
        <v>0</v>
      </c>
      <c r="AF11" s="13"/>
      <c r="AG11" s="13"/>
      <c r="AH11" s="241">
        <f t="shared" si="14"/>
        <v>0</v>
      </c>
      <c r="AI11" s="13"/>
      <c r="AJ11" s="13"/>
      <c r="AK11" s="241">
        <f t="shared" si="15"/>
        <v>0</v>
      </c>
      <c r="AL11" s="13"/>
      <c r="AM11" s="13"/>
      <c r="AN11" s="241">
        <f t="shared" si="16"/>
        <v>0</v>
      </c>
      <c r="AO11" s="13"/>
      <c r="AP11" s="13"/>
      <c r="AQ11" s="241">
        <f t="shared" si="17"/>
        <v>0</v>
      </c>
      <c r="AR11" s="13"/>
      <c r="AS11" s="13"/>
      <c r="AT11" s="241">
        <f t="shared" si="18"/>
        <v>0</v>
      </c>
      <c r="AU11" s="13"/>
      <c r="AV11" s="13"/>
      <c r="AW11" s="241">
        <f t="shared" si="19"/>
        <v>0</v>
      </c>
      <c r="AX11" s="13"/>
      <c r="AY11" s="13"/>
      <c r="AZ11" s="241">
        <f t="shared" si="20"/>
        <v>0</v>
      </c>
      <c r="BA11" s="13"/>
      <c r="BB11" s="13"/>
      <c r="BC11" s="241">
        <f t="shared" si="21"/>
        <v>0</v>
      </c>
      <c r="BD11" s="13"/>
      <c r="BE11" s="13"/>
      <c r="BF11" s="241">
        <f t="shared" si="22"/>
        <v>0</v>
      </c>
      <c r="BG11" s="242">
        <f t="shared" si="23"/>
        <v>0</v>
      </c>
      <c r="BH11" s="242"/>
      <c r="BI11" s="242">
        <f t="shared" si="24"/>
        <v>0</v>
      </c>
      <c r="BJ11" s="242">
        <f t="shared" si="25"/>
        <v>0</v>
      </c>
      <c r="BK11" s="242">
        <f t="shared" si="26"/>
        <v>0</v>
      </c>
      <c r="BL11" s="242">
        <f t="shared" si="9"/>
        <v>0</v>
      </c>
      <c r="BM11" s="242">
        <f t="shared" si="10"/>
        <v>0</v>
      </c>
      <c r="BN11" s="242">
        <f t="shared" si="27"/>
        <v>0</v>
      </c>
      <c r="BO11" s="241"/>
      <c r="BP11" s="241"/>
      <c r="BQ11" s="242">
        <f t="shared" si="28"/>
        <v>0</v>
      </c>
      <c r="BR11" s="241"/>
      <c r="BS11" s="241"/>
      <c r="BT11" s="13">
        <v>742000</v>
      </c>
      <c r="BU11" s="15"/>
      <c r="BV11" s="15"/>
      <c r="BW11" s="15"/>
      <c r="BX11" s="15"/>
      <c r="BY11" s="15"/>
      <c r="BZ11" s="15"/>
    </row>
    <row r="12" spans="1:78" s="244" customFormat="1">
      <c r="A12" s="241">
        <f t="shared" si="11"/>
        <v>6</v>
      </c>
      <c r="B12" s="13">
        <v>592</v>
      </c>
      <c r="C12" s="13" t="s">
        <v>34</v>
      </c>
      <c r="D12" s="14">
        <v>40720000</v>
      </c>
      <c r="E12" s="14">
        <v>24500000</v>
      </c>
      <c r="F12" s="14">
        <f t="shared" si="0"/>
        <v>16220000</v>
      </c>
      <c r="G12" s="14">
        <v>18420000</v>
      </c>
      <c r="H12" s="14">
        <v>17191546.350000001</v>
      </c>
      <c r="I12" s="14">
        <v>41351.410000000003</v>
      </c>
      <c r="J12" s="14">
        <v>224333.65</v>
      </c>
      <c r="K12" s="14">
        <f t="shared" si="1"/>
        <v>265685.06</v>
      </c>
      <c r="L12" s="14">
        <f t="shared" si="2"/>
        <v>17457231.41</v>
      </c>
      <c r="M12" s="14">
        <f>P12+S12</f>
        <v>962768.58999999985</v>
      </c>
      <c r="N12" s="14"/>
      <c r="O12" s="14">
        <f t="shared" si="3"/>
        <v>22300000</v>
      </c>
      <c r="P12" s="14">
        <f t="shared" si="4"/>
        <v>962768.58999999985</v>
      </c>
      <c r="Q12" s="14"/>
      <c r="R12" s="14"/>
      <c r="S12" s="14">
        <f t="shared" si="5"/>
        <v>0</v>
      </c>
      <c r="T12" s="14">
        <f t="shared" si="6"/>
        <v>0</v>
      </c>
      <c r="U12" s="14">
        <f t="shared" si="7"/>
        <v>0</v>
      </c>
      <c r="V12" s="14">
        <f t="shared" si="8"/>
        <v>0</v>
      </c>
      <c r="W12" s="14"/>
      <c r="X12" s="14"/>
      <c r="Y12" s="13"/>
      <c r="Z12" s="13"/>
      <c r="AA12" s="13"/>
      <c r="AB12" s="241">
        <f t="shared" si="12"/>
        <v>0</v>
      </c>
      <c r="AC12" s="13"/>
      <c r="AD12" s="13"/>
      <c r="AE12" s="241">
        <f t="shared" si="13"/>
        <v>0</v>
      </c>
      <c r="AF12" s="13"/>
      <c r="AG12" s="13"/>
      <c r="AH12" s="241">
        <f t="shared" si="14"/>
        <v>0</v>
      </c>
      <c r="AI12" s="13"/>
      <c r="AJ12" s="13"/>
      <c r="AK12" s="241">
        <f t="shared" si="15"/>
        <v>0</v>
      </c>
      <c r="AL12" s="13"/>
      <c r="AM12" s="13"/>
      <c r="AN12" s="241">
        <f t="shared" si="16"/>
        <v>0</v>
      </c>
      <c r="AO12" s="13"/>
      <c r="AP12" s="13"/>
      <c r="AQ12" s="241">
        <f t="shared" si="17"/>
        <v>0</v>
      </c>
      <c r="AR12" s="13"/>
      <c r="AS12" s="13"/>
      <c r="AT12" s="241">
        <f t="shared" si="18"/>
        <v>0</v>
      </c>
      <c r="AU12" s="13"/>
      <c r="AV12" s="13"/>
      <c r="AW12" s="241">
        <f t="shared" si="19"/>
        <v>0</v>
      </c>
      <c r="AX12" s="13"/>
      <c r="AY12" s="13"/>
      <c r="AZ12" s="241">
        <f t="shared" si="20"/>
        <v>0</v>
      </c>
      <c r="BA12" s="13"/>
      <c r="BB12" s="13"/>
      <c r="BC12" s="241">
        <f t="shared" si="21"/>
        <v>0</v>
      </c>
      <c r="BD12" s="13"/>
      <c r="BE12" s="13"/>
      <c r="BF12" s="241">
        <f t="shared" si="22"/>
        <v>0</v>
      </c>
      <c r="BG12" s="242">
        <f t="shared" si="23"/>
        <v>0</v>
      </c>
      <c r="BH12" s="242"/>
      <c r="BI12" s="242">
        <f t="shared" si="24"/>
        <v>0</v>
      </c>
      <c r="BJ12" s="242">
        <f t="shared" si="25"/>
        <v>0</v>
      </c>
      <c r="BK12" s="242">
        <f t="shared" si="26"/>
        <v>0</v>
      </c>
      <c r="BL12" s="242">
        <f t="shared" si="9"/>
        <v>0</v>
      </c>
      <c r="BM12" s="242">
        <f t="shared" si="10"/>
        <v>0</v>
      </c>
      <c r="BN12" s="242">
        <f t="shared" si="27"/>
        <v>0</v>
      </c>
      <c r="BO12" s="241"/>
      <c r="BP12" s="241"/>
      <c r="BQ12" s="242">
        <f t="shared" si="28"/>
        <v>0</v>
      </c>
      <c r="BR12" s="241"/>
      <c r="BS12" s="241"/>
      <c r="BT12" s="13">
        <v>742000</v>
      </c>
      <c r="BU12" s="15"/>
      <c r="BV12" s="16"/>
      <c r="BW12" s="16"/>
      <c r="BX12" s="16"/>
      <c r="BY12" s="16"/>
      <c r="BZ12" s="16"/>
    </row>
    <row r="13" spans="1:78" s="244" customFormat="1">
      <c r="A13" s="241">
        <f t="shared" si="11"/>
        <v>7</v>
      </c>
      <c r="B13" s="394">
        <v>606</v>
      </c>
      <c r="C13" s="394" t="s">
        <v>781</v>
      </c>
      <c r="D13" s="14">
        <v>2800000</v>
      </c>
      <c r="E13" s="14">
        <v>2800000</v>
      </c>
      <c r="F13" s="14">
        <f t="shared" si="0"/>
        <v>0</v>
      </c>
      <c r="G13" s="14">
        <v>550000</v>
      </c>
      <c r="H13" s="14">
        <v>388487.75</v>
      </c>
      <c r="I13" s="14">
        <v>21510</v>
      </c>
      <c r="J13" s="14"/>
      <c r="K13" s="14">
        <f t="shared" si="1"/>
        <v>21510</v>
      </c>
      <c r="L13" s="14">
        <f t="shared" si="2"/>
        <v>409997.75</v>
      </c>
      <c r="M13" s="14">
        <f>P13+S13-140000</f>
        <v>2.25</v>
      </c>
      <c r="N13" s="14"/>
      <c r="O13" s="14">
        <f t="shared" si="3"/>
        <v>2390000</v>
      </c>
      <c r="P13" s="14">
        <f t="shared" si="4"/>
        <v>140002.25</v>
      </c>
      <c r="Q13" s="14"/>
      <c r="R13" s="14"/>
      <c r="S13" s="14">
        <f t="shared" si="5"/>
        <v>0</v>
      </c>
      <c r="T13" s="14">
        <f t="shared" si="6"/>
        <v>140000</v>
      </c>
      <c r="U13" s="14">
        <f t="shared" si="7"/>
        <v>-140000</v>
      </c>
      <c r="V13" s="14">
        <f t="shared" si="8"/>
        <v>-140000</v>
      </c>
      <c r="W13" s="14"/>
      <c r="X13" s="14"/>
      <c r="Y13" s="13"/>
      <c r="Z13" s="242">
        <v>-65000</v>
      </c>
      <c r="AA13" s="242">
        <v>-74000</v>
      </c>
      <c r="AB13" s="242">
        <f t="shared" si="12"/>
        <v>-139000</v>
      </c>
      <c r="AC13" s="13"/>
      <c r="AD13" s="13"/>
      <c r="AE13" s="241">
        <f t="shared" si="13"/>
        <v>0</v>
      </c>
      <c r="AF13" s="13"/>
      <c r="AG13" s="13"/>
      <c r="AH13" s="241">
        <f t="shared" si="14"/>
        <v>0</v>
      </c>
      <c r="AI13" s="13">
        <v>-470</v>
      </c>
      <c r="AJ13" s="13">
        <v>-530</v>
      </c>
      <c r="AK13" s="242">
        <f t="shared" si="15"/>
        <v>-1000</v>
      </c>
      <c r="AL13" s="13"/>
      <c r="AM13" s="13"/>
      <c r="AN13" s="242">
        <f t="shared" si="16"/>
        <v>0</v>
      </c>
      <c r="AO13" s="13"/>
      <c r="AP13" s="13"/>
      <c r="AQ13" s="242">
        <f t="shared" si="17"/>
        <v>0</v>
      </c>
      <c r="AR13" s="13"/>
      <c r="AS13" s="13"/>
      <c r="AT13" s="242">
        <f t="shared" si="18"/>
        <v>0</v>
      </c>
      <c r="AU13" s="13"/>
      <c r="AV13" s="13"/>
      <c r="AW13" s="242">
        <f t="shared" si="19"/>
        <v>0</v>
      </c>
      <c r="AX13" s="13"/>
      <c r="AY13" s="13"/>
      <c r="AZ13" s="242">
        <f t="shared" si="20"/>
        <v>0</v>
      </c>
      <c r="BA13" s="13"/>
      <c r="BB13" s="13"/>
      <c r="BC13" s="242">
        <f t="shared" si="21"/>
        <v>0</v>
      </c>
      <c r="BD13" s="13"/>
      <c r="BE13" s="13"/>
      <c r="BF13" s="242">
        <f t="shared" si="22"/>
        <v>0</v>
      </c>
      <c r="BG13" s="242">
        <f t="shared" si="23"/>
        <v>-140000</v>
      </c>
      <c r="BH13" s="242"/>
      <c r="BI13" s="242">
        <f t="shared" si="24"/>
        <v>-140000</v>
      </c>
      <c r="BJ13" s="242">
        <f t="shared" si="25"/>
        <v>0</v>
      </c>
      <c r="BK13" s="242">
        <f t="shared" si="26"/>
        <v>-140000</v>
      </c>
      <c r="BL13" s="242">
        <f t="shared" si="9"/>
        <v>0</v>
      </c>
      <c r="BM13" s="242">
        <f t="shared" si="10"/>
        <v>0</v>
      </c>
      <c r="BN13" s="242">
        <f t="shared" si="27"/>
        <v>0</v>
      </c>
      <c r="BO13" s="241"/>
      <c r="BP13" s="241"/>
      <c r="BQ13" s="242">
        <f t="shared" si="28"/>
        <v>0</v>
      </c>
      <c r="BR13" s="241"/>
      <c r="BS13" s="241"/>
      <c r="BT13" s="13">
        <v>742000</v>
      </c>
      <c r="BU13" s="15"/>
      <c r="BV13" s="15"/>
      <c r="BW13" s="15"/>
      <c r="BX13" s="15"/>
      <c r="BY13" s="15"/>
      <c r="BZ13" s="15"/>
    </row>
    <row r="14" spans="1:78" s="244" customFormat="1">
      <c r="A14" s="241">
        <f t="shared" si="11"/>
        <v>8</v>
      </c>
      <c r="B14" s="241">
        <v>608</v>
      </c>
      <c r="C14" s="241" t="s">
        <v>42</v>
      </c>
      <c r="D14" s="14">
        <v>7300000</v>
      </c>
      <c r="E14" s="242">
        <v>6000000</v>
      </c>
      <c r="F14" s="242">
        <f t="shared" si="0"/>
        <v>1300000</v>
      </c>
      <c r="G14" s="242">
        <v>5300000</v>
      </c>
      <c r="H14" s="242">
        <v>4636694</v>
      </c>
      <c r="I14" s="242">
        <v>513627</v>
      </c>
      <c r="J14" s="242"/>
      <c r="K14" s="242">
        <f t="shared" si="1"/>
        <v>513627</v>
      </c>
      <c r="L14" s="242">
        <f t="shared" si="2"/>
        <v>5150321</v>
      </c>
      <c r="M14" s="14">
        <f t="shared" ref="M14:M32" si="29">P14+S14</f>
        <v>149679</v>
      </c>
      <c r="N14" s="14">
        <f>1650000-650000-200000+850000</f>
        <v>1650000</v>
      </c>
      <c r="O14" s="14">
        <f t="shared" si="3"/>
        <v>350000</v>
      </c>
      <c r="P14" s="14">
        <f t="shared" si="4"/>
        <v>149679</v>
      </c>
      <c r="Q14" s="14"/>
      <c r="R14" s="14"/>
      <c r="S14" s="14">
        <f t="shared" si="5"/>
        <v>0</v>
      </c>
      <c r="T14" s="14">
        <f t="shared" si="6"/>
        <v>0</v>
      </c>
      <c r="U14" s="14">
        <f t="shared" si="7"/>
        <v>1650000</v>
      </c>
      <c r="V14" s="242">
        <f t="shared" si="8"/>
        <v>1650000</v>
      </c>
      <c r="W14" s="242"/>
      <c r="X14" s="242"/>
      <c r="Y14" s="241"/>
      <c r="Z14" s="242"/>
      <c r="AA14" s="242"/>
      <c r="AB14" s="242">
        <f t="shared" si="12"/>
        <v>0</v>
      </c>
      <c r="AC14" s="242"/>
      <c r="AD14" s="242"/>
      <c r="AE14" s="242">
        <f t="shared" si="13"/>
        <v>0</v>
      </c>
      <c r="AF14" s="242"/>
      <c r="AG14" s="242"/>
      <c r="AH14" s="242">
        <f t="shared" si="14"/>
        <v>0</v>
      </c>
      <c r="AI14" s="242"/>
      <c r="AJ14" s="242"/>
      <c r="AK14" s="242">
        <f t="shared" si="15"/>
        <v>0</v>
      </c>
      <c r="AL14" s="242"/>
      <c r="AM14" s="242"/>
      <c r="AN14" s="242">
        <f t="shared" si="16"/>
        <v>0</v>
      </c>
      <c r="AO14" s="242"/>
      <c r="AP14" s="242"/>
      <c r="AQ14" s="242">
        <f t="shared" si="17"/>
        <v>0</v>
      </c>
      <c r="AR14" s="242"/>
      <c r="AS14" s="242"/>
      <c r="AT14" s="242">
        <f t="shared" si="18"/>
        <v>0</v>
      </c>
      <c r="AU14" s="242"/>
      <c r="AV14" s="242"/>
      <c r="AW14" s="242">
        <f t="shared" si="19"/>
        <v>0</v>
      </c>
      <c r="AX14" s="242"/>
      <c r="AY14" s="242"/>
      <c r="AZ14" s="242">
        <f t="shared" si="20"/>
        <v>0</v>
      </c>
      <c r="BA14" s="242"/>
      <c r="BB14" s="242"/>
      <c r="BC14" s="242">
        <f t="shared" si="21"/>
        <v>0</v>
      </c>
      <c r="BD14" s="242"/>
      <c r="BE14" s="242"/>
      <c r="BF14" s="242">
        <f t="shared" si="22"/>
        <v>0</v>
      </c>
      <c r="BG14" s="242">
        <f t="shared" si="23"/>
        <v>0</v>
      </c>
      <c r="BH14" s="242"/>
      <c r="BI14" s="242">
        <f t="shared" si="24"/>
        <v>0</v>
      </c>
      <c r="BJ14" s="242">
        <f t="shared" si="25"/>
        <v>1650000</v>
      </c>
      <c r="BK14" s="242">
        <f t="shared" si="26"/>
        <v>0</v>
      </c>
      <c r="BL14" s="242">
        <f t="shared" si="9"/>
        <v>0</v>
      </c>
      <c r="BM14" s="242">
        <f t="shared" si="10"/>
        <v>0</v>
      </c>
      <c r="BN14" s="242">
        <f t="shared" si="27"/>
        <v>0</v>
      </c>
      <c r="BO14" s="241"/>
      <c r="BP14" s="241"/>
      <c r="BQ14" s="242">
        <f t="shared" si="28"/>
        <v>1650000</v>
      </c>
      <c r="BR14" s="241"/>
      <c r="BS14" s="241"/>
      <c r="BT14" s="241">
        <v>745000</v>
      </c>
      <c r="BU14" s="392"/>
    </row>
    <row r="15" spans="1:78" s="246" customFormat="1" ht="30">
      <c r="A15" s="241">
        <f t="shared" si="11"/>
        <v>9</v>
      </c>
      <c r="B15" s="13">
        <v>626</v>
      </c>
      <c r="C15" s="13" t="s">
        <v>671</v>
      </c>
      <c r="D15" s="14">
        <v>20025000</v>
      </c>
      <c r="E15" s="14">
        <v>20025000</v>
      </c>
      <c r="F15" s="14">
        <f t="shared" si="0"/>
        <v>0</v>
      </c>
      <c r="G15" s="14">
        <v>14325000</v>
      </c>
      <c r="H15" s="14">
        <v>13508398.77</v>
      </c>
      <c r="I15" s="14">
        <v>148625</v>
      </c>
      <c r="J15" s="14">
        <v>225737.12</v>
      </c>
      <c r="K15" s="14">
        <f t="shared" si="1"/>
        <v>374362.12</v>
      </c>
      <c r="L15" s="14">
        <f t="shared" si="2"/>
        <v>13882760.889999999</v>
      </c>
      <c r="M15" s="14">
        <f t="shared" si="29"/>
        <v>642239.11000000127</v>
      </c>
      <c r="N15" s="14"/>
      <c r="O15" s="14">
        <f t="shared" si="3"/>
        <v>5500000</v>
      </c>
      <c r="P15" s="14">
        <f t="shared" si="4"/>
        <v>442239.11000000127</v>
      </c>
      <c r="Q15" s="14">
        <v>200000</v>
      </c>
      <c r="R15" s="14"/>
      <c r="S15" s="14">
        <f t="shared" si="5"/>
        <v>200000</v>
      </c>
      <c r="T15" s="14">
        <f t="shared" si="6"/>
        <v>0</v>
      </c>
      <c r="U15" s="14">
        <f t="shared" si="7"/>
        <v>0</v>
      </c>
      <c r="V15" s="14">
        <f t="shared" si="8"/>
        <v>0</v>
      </c>
      <c r="W15" s="14"/>
      <c r="X15" s="14"/>
      <c r="Y15" s="13"/>
      <c r="Z15" s="242"/>
      <c r="AA15" s="242"/>
      <c r="AB15" s="242">
        <f t="shared" si="12"/>
        <v>0</v>
      </c>
      <c r="AC15" s="242"/>
      <c r="AD15" s="242"/>
      <c r="AE15" s="242">
        <f t="shared" si="13"/>
        <v>0</v>
      </c>
      <c r="AF15" s="242"/>
      <c r="AG15" s="242"/>
      <c r="AH15" s="242">
        <f t="shared" si="14"/>
        <v>0</v>
      </c>
      <c r="AI15" s="242"/>
      <c r="AJ15" s="242"/>
      <c r="AK15" s="242">
        <f t="shared" si="15"/>
        <v>0</v>
      </c>
      <c r="AL15" s="242"/>
      <c r="AM15" s="242"/>
      <c r="AN15" s="242">
        <f t="shared" si="16"/>
        <v>0</v>
      </c>
      <c r="AO15" s="242"/>
      <c r="AP15" s="242"/>
      <c r="AQ15" s="242">
        <f t="shared" si="17"/>
        <v>0</v>
      </c>
      <c r="AR15" s="242"/>
      <c r="AS15" s="242"/>
      <c r="AT15" s="242">
        <f t="shared" si="18"/>
        <v>0</v>
      </c>
      <c r="AU15" s="242"/>
      <c r="AV15" s="242"/>
      <c r="AW15" s="242">
        <f t="shared" si="19"/>
        <v>0</v>
      </c>
      <c r="AX15" s="242"/>
      <c r="AY15" s="242"/>
      <c r="AZ15" s="242">
        <f t="shared" si="20"/>
        <v>0</v>
      </c>
      <c r="BA15" s="242"/>
      <c r="BB15" s="242"/>
      <c r="BC15" s="242">
        <f t="shared" si="21"/>
        <v>0</v>
      </c>
      <c r="BD15" s="242"/>
      <c r="BE15" s="242"/>
      <c r="BF15" s="242">
        <f t="shared" si="22"/>
        <v>0</v>
      </c>
      <c r="BG15" s="242">
        <f t="shared" si="23"/>
        <v>0</v>
      </c>
      <c r="BH15" s="242"/>
      <c r="BI15" s="242">
        <f t="shared" si="24"/>
        <v>0</v>
      </c>
      <c r="BJ15" s="242">
        <f t="shared" si="25"/>
        <v>0</v>
      </c>
      <c r="BK15" s="242">
        <f t="shared" si="26"/>
        <v>0</v>
      </c>
      <c r="BL15" s="242">
        <f t="shared" si="9"/>
        <v>0</v>
      </c>
      <c r="BM15" s="242">
        <f t="shared" si="10"/>
        <v>0</v>
      </c>
      <c r="BN15" s="242">
        <f t="shared" si="27"/>
        <v>0</v>
      </c>
      <c r="BO15" s="241"/>
      <c r="BP15" s="241"/>
      <c r="BQ15" s="242">
        <f t="shared" si="28"/>
        <v>0</v>
      </c>
      <c r="BR15" s="241"/>
      <c r="BS15" s="241"/>
      <c r="BT15" s="13">
        <v>732000</v>
      </c>
      <c r="BU15" s="15"/>
      <c r="BV15" s="15"/>
      <c r="BW15" s="15"/>
      <c r="BX15" s="15"/>
      <c r="BY15" s="15"/>
      <c r="BZ15" s="15"/>
    </row>
    <row r="16" spans="1:78" s="244" customFormat="1">
      <c r="A16" s="241">
        <f t="shared" si="11"/>
        <v>10</v>
      </c>
      <c r="B16" s="13">
        <v>631</v>
      </c>
      <c r="C16" s="13" t="s">
        <v>80</v>
      </c>
      <c r="D16" s="14">
        <v>7505000</v>
      </c>
      <c r="E16" s="14">
        <v>7445000</v>
      </c>
      <c r="F16" s="14">
        <f t="shared" si="0"/>
        <v>60000</v>
      </c>
      <c r="G16" s="14">
        <v>7105000</v>
      </c>
      <c r="H16" s="14">
        <v>7030689.3200000003</v>
      </c>
      <c r="I16" s="14">
        <v>27554.53</v>
      </c>
      <c r="J16" s="14"/>
      <c r="K16" s="14">
        <f t="shared" si="1"/>
        <v>27554.53</v>
      </c>
      <c r="L16" s="14">
        <f t="shared" si="2"/>
        <v>7058243.8500000006</v>
      </c>
      <c r="M16" s="14">
        <f t="shared" si="29"/>
        <v>46756.149999999441</v>
      </c>
      <c r="N16" s="14">
        <v>400000</v>
      </c>
      <c r="O16" s="14">
        <f t="shared" si="3"/>
        <v>0</v>
      </c>
      <c r="P16" s="14">
        <f t="shared" si="4"/>
        <v>46756.149999999441</v>
      </c>
      <c r="Q16" s="14"/>
      <c r="R16" s="14"/>
      <c r="S16" s="14">
        <f t="shared" si="5"/>
        <v>0</v>
      </c>
      <c r="T16" s="14">
        <f t="shared" si="6"/>
        <v>0</v>
      </c>
      <c r="U16" s="14">
        <f t="shared" si="7"/>
        <v>400000</v>
      </c>
      <c r="V16" s="14">
        <f t="shared" si="8"/>
        <v>400000</v>
      </c>
      <c r="W16" s="14"/>
      <c r="X16" s="14"/>
      <c r="Y16" s="13"/>
      <c r="Z16" s="242"/>
      <c r="AA16" s="242"/>
      <c r="AB16" s="242">
        <f t="shared" si="12"/>
        <v>0</v>
      </c>
      <c r="AC16" s="242"/>
      <c r="AD16" s="242"/>
      <c r="AE16" s="242">
        <f t="shared" si="13"/>
        <v>0</v>
      </c>
      <c r="AF16" s="242"/>
      <c r="AG16" s="242"/>
      <c r="AH16" s="242">
        <f t="shared" si="14"/>
        <v>0</v>
      </c>
      <c r="AI16" s="242"/>
      <c r="AJ16" s="242"/>
      <c r="AK16" s="242">
        <f t="shared" si="15"/>
        <v>0</v>
      </c>
      <c r="AL16" s="242"/>
      <c r="AM16" s="242"/>
      <c r="AN16" s="242">
        <f t="shared" si="16"/>
        <v>0</v>
      </c>
      <c r="AO16" s="242"/>
      <c r="AP16" s="242"/>
      <c r="AQ16" s="242">
        <f t="shared" si="17"/>
        <v>0</v>
      </c>
      <c r="AR16" s="242"/>
      <c r="AS16" s="242"/>
      <c r="AT16" s="242">
        <f t="shared" si="18"/>
        <v>0</v>
      </c>
      <c r="AU16" s="242"/>
      <c r="AV16" s="242"/>
      <c r="AW16" s="242">
        <f t="shared" si="19"/>
        <v>0</v>
      </c>
      <c r="AX16" s="242"/>
      <c r="AY16" s="242"/>
      <c r="AZ16" s="242">
        <f t="shared" si="20"/>
        <v>0</v>
      </c>
      <c r="BA16" s="242"/>
      <c r="BB16" s="242"/>
      <c r="BC16" s="242">
        <f t="shared" si="21"/>
        <v>0</v>
      </c>
      <c r="BD16" s="242"/>
      <c r="BE16" s="242"/>
      <c r="BF16" s="242">
        <f t="shared" si="22"/>
        <v>0</v>
      </c>
      <c r="BG16" s="242">
        <f t="shared" si="23"/>
        <v>0</v>
      </c>
      <c r="BH16" s="242"/>
      <c r="BI16" s="242">
        <f t="shared" si="24"/>
        <v>0</v>
      </c>
      <c r="BJ16" s="242">
        <f t="shared" si="25"/>
        <v>400000</v>
      </c>
      <c r="BK16" s="242">
        <f t="shared" si="26"/>
        <v>0</v>
      </c>
      <c r="BL16" s="242">
        <f t="shared" si="9"/>
        <v>0</v>
      </c>
      <c r="BM16" s="242">
        <f t="shared" si="10"/>
        <v>0</v>
      </c>
      <c r="BN16" s="242">
        <f t="shared" si="27"/>
        <v>0</v>
      </c>
      <c r="BO16" s="241"/>
      <c r="BP16" s="241"/>
      <c r="BQ16" s="242">
        <f t="shared" si="28"/>
        <v>400000</v>
      </c>
      <c r="BR16" s="241"/>
      <c r="BS16" s="241"/>
      <c r="BT16" s="13">
        <v>742000</v>
      </c>
      <c r="BU16" s="15"/>
      <c r="BV16" s="15"/>
      <c r="BW16" s="15"/>
      <c r="BX16" s="15"/>
      <c r="BY16" s="15"/>
      <c r="BZ16" s="15"/>
    </row>
    <row r="17" spans="1:78" s="244" customFormat="1">
      <c r="A17" s="241">
        <f t="shared" si="11"/>
        <v>11</v>
      </c>
      <c r="B17" s="13">
        <v>638</v>
      </c>
      <c r="C17" s="13" t="s">
        <v>63</v>
      </c>
      <c r="D17" s="14">
        <v>7000000</v>
      </c>
      <c r="E17" s="14">
        <v>7000000</v>
      </c>
      <c r="F17" s="14">
        <f t="shared" si="0"/>
        <v>0</v>
      </c>
      <c r="G17" s="14">
        <v>4600000</v>
      </c>
      <c r="H17" s="14">
        <v>3454838.96</v>
      </c>
      <c r="I17" s="14">
        <v>56151.29</v>
      </c>
      <c r="J17" s="14">
        <v>76658.78</v>
      </c>
      <c r="K17" s="14">
        <f t="shared" si="1"/>
        <v>132810.07</v>
      </c>
      <c r="L17" s="14">
        <f t="shared" si="2"/>
        <v>3587649.03</v>
      </c>
      <c r="M17" s="14">
        <f t="shared" si="29"/>
        <v>1012350.9700000002</v>
      </c>
      <c r="N17" s="14"/>
      <c r="O17" s="14">
        <f t="shared" si="3"/>
        <v>2400000</v>
      </c>
      <c r="P17" s="14">
        <f t="shared" si="4"/>
        <v>1012350.9700000002</v>
      </c>
      <c r="Q17" s="14"/>
      <c r="R17" s="14"/>
      <c r="S17" s="14">
        <f t="shared" si="5"/>
        <v>0</v>
      </c>
      <c r="T17" s="14">
        <f t="shared" si="6"/>
        <v>0</v>
      </c>
      <c r="U17" s="14">
        <f t="shared" si="7"/>
        <v>0</v>
      </c>
      <c r="V17" s="242">
        <f t="shared" si="8"/>
        <v>0</v>
      </c>
      <c r="W17" s="242"/>
      <c r="X17" s="242"/>
      <c r="Y17" s="241"/>
      <c r="Z17" s="242"/>
      <c r="AA17" s="242"/>
      <c r="AB17" s="242">
        <f t="shared" si="12"/>
        <v>0</v>
      </c>
      <c r="AC17" s="242"/>
      <c r="AD17" s="242"/>
      <c r="AE17" s="242">
        <f t="shared" si="13"/>
        <v>0</v>
      </c>
      <c r="AF17" s="242"/>
      <c r="AG17" s="242"/>
      <c r="AH17" s="242">
        <f t="shared" si="14"/>
        <v>0</v>
      </c>
      <c r="AI17" s="242"/>
      <c r="AJ17" s="242"/>
      <c r="AK17" s="242">
        <f t="shared" si="15"/>
        <v>0</v>
      </c>
      <c r="AL17" s="242"/>
      <c r="AM17" s="242"/>
      <c r="AN17" s="242">
        <f t="shared" si="16"/>
        <v>0</v>
      </c>
      <c r="AO17" s="242"/>
      <c r="AP17" s="242"/>
      <c r="AQ17" s="242">
        <f t="shared" si="17"/>
        <v>0</v>
      </c>
      <c r="AR17" s="242"/>
      <c r="AS17" s="242"/>
      <c r="AT17" s="242">
        <f t="shared" si="18"/>
        <v>0</v>
      </c>
      <c r="AU17" s="242"/>
      <c r="AV17" s="242"/>
      <c r="AW17" s="242">
        <f t="shared" si="19"/>
        <v>0</v>
      </c>
      <c r="AX17" s="242"/>
      <c r="AY17" s="242"/>
      <c r="AZ17" s="242">
        <f t="shared" si="20"/>
        <v>0</v>
      </c>
      <c r="BA17" s="242"/>
      <c r="BB17" s="242"/>
      <c r="BC17" s="242">
        <f t="shared" si="21"/>
        <v>0</v>
      </c>
      <c r="BD17" s="242"/>
      <c r="BE17" s="242"/>
      <c r="BF17" s="242">
        <f t="shared" si="22"/>
        <v>0</v>
      </c>
      <c r="BG17" s="242">
        <f t="shared" si="23"/>
        <v>0</v>
      </c>
      <c r="BH17" s="242"/>
      <c r="BI17" s="242">
        <f t="shared" si="24"/>
        <v>0</v>
      </c>
      <c r="BJ17" s="242">
        <f t="shared" si="25"/>
        <v>0</v>
      </c>
      <c r="BK17" s="242">
        <f t="shared" si="26"/>
        <v>0</v>
      </c>
      <c r="BL17" s="242">
        <f t="shared" si="9"/>
        <v>0</v>
      </c>
      <c r="BM17" s="242">
        <f t="shared" si="10"/>
        <v>0</v>
      </c>
      <c r="BN17" s="242">
        <f t="shared" si="27"/>
        <v>0</v>
      </c>
      <c r="BO17" s="241"/>
      <c r="BP17" s="241"/>
      <c r="BQ17" s="242">
        <f t="shared" si="28"/>
        <v>0</v>
      </c>
      <c r="BR17" s="241"/>
      <c r="BS17" s="241"/>
      <c r="BT17" s="13">
        <v>742000</v>
      </c>
      <c r="BU17" s="15"/>
      <c r="BV17" s="15"/>
      <c r="BW17" s="15"/>
      <c r="BX17" s="15"/>
      <c r="BY17" s="15"/>
      <c r="BZ17" s="15"/>
    </row>
    <row r="18" spans="1:78" s="244" customFormat="1">
      <c r="A18" s="241">
        <f t="shared" si="11"/>
        <v>12</v>
      </c>
      <c r="B18" s="394">
        <v>658</v>
      </c>
      <c r="C18" s="394" t="s">
        <v>1167</v>
      </c>
      <c r="D18" s="14">
        <v>1700000</v>
      </c>
      <c r="E18" s="242">
        <v>1700000</v>
      </c>
      <c r="F18" s="242">
        <f t="shared" si="0"/>
        <v>0</v>
      </c>
      <c r="G18" s="242">
        <v>1350000</v>
      </c>
      <c r="H18" s="242">
        <v>994575.31</v>
      </c>
      <c r="I18" s="242">
        <v>15858.03</v>
      </c>
      <c r="J18" s="242"/>
      <c r="K18" s="242">
        <f t="shared" si="1"/>
        <v>15858.03</v>
      </c>
      <c r="L18" s="242">
        <f t="shared" si="2"/>
        <v>1010433.3400000001</v>
      </c>
      <c r="M18" s="14">
        <f t="shared" si="29"/>
        <v>339566.65999999992</v>
      </c>
      <c r="N18" s="14"/>
      <c r="O18" s="14">
        <f t="shared" si="3"/>
        <v>350000</v>
      </c>
      <c r="P18" s="14">
        <f t="shared" si="4"/>
        <v>339566.65999999992</v>
      </c>
      <c r="Q18" s="14"/>
      <c r="R18" s="14"/>
      <c r="S18" s="14">
        <f t="shared" si="5"/>
        <v>0</v>
      </c>
      <c r="T18" s="14">
        <f t="shared" si="6"/>
        <v>0</v>
      </c>
      <c r="U18" s="14">
        <f t="shared" si="7"/>
        <v>0</v>
      </c>
      <c r="V18" s="242">
        <f t="shared" si="8"/>
        <v>0</v>
      </c>
      <c r="W18" s="242"/>
      <c r="X18" s="242"/>
      <c r="Y18" s="241"/>
      <c r="Z18" s="242"/>
      <c r="AA18" s="242"/>
      <c r="AB18" s="242">
        <f t="shared" si="12"/>
        <v>0</v>
      </c>
      <c r="AC18" s="242"/>
      <c r="AD18" s="242"/>
      <c r="AE18" s="242">
        <f t="shared" si="13"/>
        <v>0</v>
      </c>
      <c r="AF18" s="242"/>
      <c r="AG18" s="242"/>
      <c r="AH18" s="242">
        <f t="shared" si="14"/>
        <v>0</v>
      </c>
      <c r="AI18" s="242"/>
      <c r="AJ18" s="242"/>
      <c r="AK18" s="242">
        <f t="shared" si="15"/>
        <v>0</v>
      </c>
      <c r="AL18" s="242"/>
      <c r="AM18" s="242"/>
      <c r="AN18" s="242">
        <f t="shared" si="16"/>
        <v>0</v>
      </c>
      <c r="AO18" s="242"/>
      <c r="AP18" s="242"/>
      <c r="AQ18" s="242">
        <f t="shared" si="17"/>
        <v>0</v>
      </c>
      <c r="AR18" s="242"/>
      <c r="AS18" s="242"/>
      <c r="AT18" s="242">
        <f t="shared" si="18"/>
        <v>0</v>
      </c>
      <c r="AU18" s="242"/>
      <c r="AV18" s="242"/>
      <c r="AW18" s="242">
        <f t="shared" si="19"/>
        <v>0</v>
      </c>
      <c r="AX18" s="242"/>
      <c r="AY18" s="242"/>
      <c r="AZ18" s="242">
        <f t="shared" si="20"/>
        <v>0</v>
      </c>
      <c r="BA18" s="242"/>
      <c r="BB18" s="242"/>
      <c r="BC18" s="242">
        <f t="shared" si="21"/>
        <v>0</v>
      </c>
      <c r="BD18" s="242"/>
      <c r="BE18" s="242"/>
      <c r="BF18" s="242">
        <f t="shared" si="22"/>
        <v>0</v>
      </c>
      <c r="BG18" s="242">
        <f t="shared" si="23"/>
        <v>0</v>
      </c>
      <c r="BH18" s="242"/>
      <c r="BI18" s="242">
        <f t="shared" si="24"/>
        <v>0</v>
      </c>
      <c r="BJ18" s="242">
        <f t="shared" si="25"/>
        <v>0</v>
      </c>
      <c r="BK18" s="242">
        <f t="shared" si="26"/>
        <v>0</v>
      </c>
      <c r="BL18" s="242">
        <f t="shared" si="9"/>
        <v>0</v>
      </c>
      <c r="BM18" s="242">
        <f t="shared" si="10"/>
        <v>0</v>
      </c>
      <c r="BN18" s="242">
        <f t="shared" si="27"/>
        <v>0</v>
      </c>
      <c r="BO18" s="241"/>
      <c r="BP18" s="241"/>
      <c r="BQ18" s="242">
        <f t="shared" si="28"/>
        <v>0</v>
      </c>
      <c r="BR18" s="241"/>
      <c r="BS18" s="241"/>
      <c r="BT18" s="241">
        <v>930000</v>
      </c>
    </row>
    <row r="19" spans="1:78" s="15" customFormat="1">
      <c r="A19" s="241">
        <f t="shared" si="11"/>
        <v>13</v>
      </c>
      <c r="B19" s="241">
        <v>1018</v>
      </c>
      <c r="C19" s="241" t="s">
        <v>35</v>
      </c>
      <c r="D19" s="14">
        <v>31900000</v>
      </c>
      <c r="E19" s="242">
        <v>31900000</v>
      </c>
      <c r="F19" s="242">
        <f t="shared" si="0"/>
        <v>0</v>
      </c>
      <c r="G19" s="242">
        <v>6100000</v>
      </c>
      <c r="H19" s="242">
        <v>3004971.79</v>
      </c>
      <c r="I19" s="242">
        <v>4590.32</v>
      </c>
      <c r="J19" s="242">
        <v>84192.99</v>
      </c>
      <c r="K19" s="242">
        <f t="shared" si="1"/>
        <v>88783.31</v>
      </c>
      <c r="L19" s="242">
        <f t="shared" si="2"/>
        <v>3093755.1</v>
      </c>
      <c r="M19" s="14">
        <f t="shared" si="29"/>
        <v>3006244.9</v>
      </c>
      <c r="N19" s="14"/>
      <c r="O19" s="14">
        <f t="shared" si="3"/>
        <v>25800000</v>
      </c>
      <c r="P19" s="14">
        <f t="shared" si="4"/>
        <v>3006244.9</v>
      </c>
      <c r="Q19" s="14"/>
      <c r="R19" s="14"/>
      <c r="S19" s="14">
        <f t="shared" si="5"/>
        <v>0</v>
      </c>
      <c r="T19" s="14">
        <f t="shared" si="6"/>
        <v>0</v>
      </c>
      <c r="U19" s="14">
        <f t="shared" si="7"/>
        <v>0</v>
      </c>
      <c r="V19" s="242">
        <f t="shared" si="8"/>
        <v>0</v>
      </c>
      <c r="W19" s="242"/>
      <c r="X19" s="242"/>
      <c r="Y19" s="241"/>
      <c r="Z19" s="242"/>
      <c r="AA19" s="242"/>
      <c r="AB19" s="242">
        <f t="shared" si="12"/>
        <v>0</v>
      </c>
      <c r="AC19" s="242"/>
      <c r="AD19" s="242"/>
      <c r="AE19" s="242">
        <f t="shared" si="13"/>
        <v>0</v>
      </c>
      <c r="AF19" s="242"/>
      <c r="AG19" s="242"/>
      <c r="AH19" s="242">
        <f t="shared" si="14"/>
        <v>0</v>
      </c>
      <c r="AI19" s="242"/>
      <c r="AJ19" s="242"/>
      <c r="AK19" s="242">
        <f t="shared" si="15"/>
        <v>0</v>
      </c>
      <c r="AL19" s="242"/>
      <c r="AM19" s="242"/>
      <c r="AN19" s="242">
        <f t="shared" si="16"/>
        <v>0</v>
      </c>
      <c r="AO19" s="242"/>
      <c r="AP19" s="242"/>
      <c r="AQ19" s="242">
        <f t="shared" si="17"/>
        <v>0</v>
      </c>
      <c r="AR19" s="242"/>
      <c r="AS19" s="242"/>
      <c r="AT19" s="242">
        <f t="shared" si="18"/>
        <v>0</v>
      </c>
      <c r="AU19" s="242"/>
      <c r="AV19" s="242"/>
      <c r="AW19" s="242">
        <f t="shared" si="19"/>
        <v>0</v>
      </c>
      <c r="AX19" s="242"/>
      <c r="AY19" s="242"/>
      <c r="AZ19" s="242">
        <f t="shared" si="20"/>
        <v>0</v>
      </c>
      <c r="BA19" s="242"/>
      <c r="BB19" s="242"/>
      <c r="BC19" s="242">
        <f t="shared" si="21"/>
        <v>0</v>
      </c>
      <c r="BD19" s="242"/>
      <c r="BE19" s="242"/>
      <c r="BF19" s="242">
        <f t="shared" si="22"/>
        <v>0</v>
      </c>
      <c r="BG19" s="242">
        <f t="shared" si="23"/>
        <v>0</v>
      </c>
      <c r="BH19" s="242"/>
      <c r="BI19" s="242">
        <f t="shared" si="24"/>
        <v>0</v>
      </c>
      <c r="BJ19" s="242">
        <f t="shared" si="25"/>
        <v>0</v>
      </c>
      <c r="BK19" s="242">
        <f t="shared" si="26"/>
        <v>0</v>
      </c>
      <c r="BL19" s="242">
        <f t="shared" si="9"/>
        <v>0</v>
      </c>
      <c r="BM19" s="242">
        <f t="shared" si="10"/>
        <v>0</v>
      </c>
      <c r="BN19" s="242">
        <f t="shared" si="27"/>
        <v>0</v>
      </c>
      <c r="BO19" s="241"/>
      <c r="BP19" s="241"/>
      <c r="BQ19" s="242">
        <f t="shared" si="28"/>
        <v>0</v>
      </c>
      <c r="BR19" s="241"/>
      <c r="BS19" s="241"/>
      <c r="BT19" s="241">
        <v>742000</v>
      </c>
      <c r="BU19" s="244"/>
      <c r="BV19" s="244"/>
      <c r="BW19" s="244"/>
      <c r="BX19" s="244"/>
      <c r="BY19" s="244"/>
      <c r="BZ19" s="244"/>
    </row>
    <row r="20" spans="1:78" s="246" customFormat="1">
      <c r="A20" s="241">
        <f t="shared" si="11"/>
        <v>14</v>
      </c>
      <c r="B20" s="241">
        <v>1060</v>
      </c>
      <c r="C20" s="241" t="s">
        <v>81</v>
      </c>
      <c r="D20" s="14">
        <v>2085000</v>
      </c>
      <c r="E20" s="242">
        <v>2085000</v>
      </c>
      <c r="F20" s="242">
        <f t="shared" si="0"/>
        <v>0</v>
      </c>
      <c r="G20" s="242">
        <v>850000</v>
      </c>
      <c r="H20" s="242">
        <v>718557.75</v>
      </c>
      <c r="I20" s="242">
        <v>40431</v>
      </c>
      <c r="J20" s="242"/>
      <c r="K20" s="242">
        <f t="shared" si="1"/>
        <v>40431</v>
      </c>
      <c r="L20" s="242">
        <f t="shared" si="2"/>
        <v>758988.75</v>
      </c>
      <c r="M20" s="14">
        <f t="shared" si="29"/>
        <v>91011.25</v>
      </c>
      <c r="N20" s="14"/>
      <c r="O20" s="14">
        <f t="shared" si="3"/>
        <v>1235000</v>
      </c>
      <c r="P20" s="14">
        <f t="shared" si="4"/>
        <v>91011.25</v>
      </c>
      <c r="Q20" s="14"/>
      <c r="R20" s="14"/>
      <c r="S20" s="14">
        <f t="shared" si="5"/>
        <v>0</v>
      </c>
      <c r="T20" s="14">
        <f t="shared" si="6"/>
        <v>0</v>
      </c>
      <c r="U20" s="14">
        <f t="shared" si="7"/>
        <v>0</v>
      </c>
      <c r="V20" s="242">
        <f t="shared" si="8"/>
        <v>0</v>
      </c>
      <c r="W20" s="242"/>
      <c r="X20" s="242"/>
      <c r="Y20" s="241"/>
      <c r="Z20" s="242"/>
      <c r="AA20" s="242"/>
      <c r="AB20" s="242">
        <f t="shared" si="12"/>
        <v>0</v>
      </c>
      <c r="AC20" s="242"/>
      <c r="AD20" s="242"/>
      <c r="AE20" s="242">
        <f t="shared" si="13"/>
        <v>0</v>
      </c>
      <c r="AF20" s="242"/>
      <c r="AG20" s="242"/>
      <c r="AH20" s="242">
        <f t="shared" si="14"/>
        <v>0</v>
      </c>
      <c r="AI20" s="242"/>
      <c r="AJ20" s="242"/>
      <c r="AK20" s="242">
        <f t="shared" si="15"/>
        <v>0</v>
      </c>
      <c r="AL20" s="242"/>
      <c r="AM20" s="242"/>
      <c r="AN20" s="242">
        <f t="shared" si="16"/>
        <v>0</v>
      </c>
      <c r="AO20" s="242"/>
      <c r="AP20" s="242"/>
      <c r="AQ20" s="242">
        <f t="shared" si="17"/>
        <v>0</v>
      </c>
      <c r="AR20" s="242"/>
      <c r="AS20" s="242"/>
      <c r="AT20" s="242">
        <f t="shared" si="18"/>
        <v>0</v>
      </c>
      <c r="AU20" s="242"/>
      <c r="AV20" s="242"/>
      <c r="AW20" s="242">
        <f t="shared" si="19"/>
        <v>0</v>
      </c>
      <c r="AX20" s="242"/>
      <c r="AY20" s="242"/>
      <c r="AZ20" s="242">
        <f t="shared" si="20"/>
        <v>0</v>
      </c>
      <c r="BA20" s="242"/>
      <c r="BB20" s="242"/>
      <c r="BC20" s="242">
        <f t="shared" si="21"/>
        <v>0</v>
      </c>
      <c r="BD20" s="242"/>
      <c r="BE20" s="242"/>
      <c r="BF20" s="242">
        <f t="shared" si="22"/>
        <v>0</v>
      </c>
      <c r="BG20" s="242">
        <f t="shared" si="23"/>
        <v>0</v>
      </c>
      <c r="BH20" s="242"/>
      <c r="BI20" s="242">
        <f t="shared" si="24"/>
        <v>0</v>
      </c>
      <c r="BJ20" s="242">
        <f t="shared" si="25"/>
        <v>0</v>
      </c>
      <c r="BK20" s="242">
        <f t="shared" si="26"/>
        <v>0</v>
      </c>
      <c r="BL20" s="242">
        <f t="shared" si="9"/>
        <v>0</v>
      </c>
      <c r="BM20" s="242">
        <f t="shared" si="10"/>
        <v>0</v>
      </c>
      <c r="BN20" s="242">
        <f t="shared" si="27"/>
        <v>0</v>
      </c>
      <c r="BO20" s="241"/>
      <c r="BP20" s="241"/>
      <c r="BQ20" s="242">
        <f t="shared" si="28"/>
        <v>0</v>
      </c>
      <c r="BR20" s="241"/>
      <c r="BS20" s="241"/>
      <c r="BT20" s="241">
        <v>760000</v>
      </c>
      <c r="BU20" s="244"/>
      <c r="BV20" s="244"/>
      <c r="BW20" s="244"/>
      <c r="BX20" s="244"/>
      <c r="BY20" s="244"/>
      <c r="BZ20" s="244"/>
    </row>
    <row r="21" spans="1:78" s="244" customFormat="1">
      <c r="A21" s="241">
        <f t="shared" si="11"/>
        <v>15</v>
      </c>
      <c r="B21" s="241">
        <v>1097</v>
      </c>
      <c r="C21" s="241" t="s">
        <v>64</v>
      </c>
      <c r="D21" s="14">
        <v>1630000</v>
      </c>
      <c r="E21" s="242">
        <v>1630000</v>
      </c>
      <c r="F21" s="242">
        <f t="shared" si="0"/>
        <v>0</v>
      </c>
      <c r="G21" s="242">
        <v>1630000</v>
      </c>
      <c r="H21" s="242">
        <v>1173307.6000000001</v>
      </c>
      <c r="I21" s="242">
        <v>50981.58</v>
      </c>
      <c r="J21" s="242"/>
      <c r="K21" s="242">
        <f t="shared" si="1"/>
        <v>50981.58</v>
      </c>
      <c r="L21" s="242">
        <f t="shared" si="2"/>
        <v>1224289.1800000002</v>
      </c>
      <c r="M21" s="14">
        <f t="shared" si="29"/>
        <v>405710.81999999983</v>
      </c>
      <c r="N21" s="14"/>
      <c r="O21" s="14">
        <f t="shared" si="3"/>
        <v>0</v>
      </c>
      <c r="P21" s="14">
        <f t="shared" si="4"/>
        <v>405710.81999999983</v>
      </c>
      <c r="Q21" s="14"/>
      <c r="R21" s="14"/>
      <c r="S21" s="14">
        <f t="shared" si="5"/>
        <v>0</v>
      </c>
      <c r="T21" s="14">
        <f t="shared" si="6"/>
        <v>0</v>
      </c>
      <c r="U21" s="14">
        <f t="shared" si="7"/>
        <v>0</v>
      </c>
      <c r="V21" s="242">
        <f t="shared" si="8"/>
        <v>0</v>
      </c>
      <c r="W21" s="242"/>
      <c r="X21" s="242"/>
      <c r="Y21" s="241"/>
      <c r="Z21" s="242"/>
      <c r="AA21" s="242"/>
      <c r="AB21" s="242">
        <f t="shared" si="12"/>
        <v>0</v>
      </c>
      <c r="AC21" s="242"/>
      <c r="AD21" s="242"/>
      <c r="AE21" s="242">
        <f t="shared" si="13"/>
        <v>0</v>
      </c>
      <c r="AF21" s="242"/>
      <c r="AG21" s="242"/>
      <c r="AH21" s="242">
        <f t="shared" si="14"/>
        <v>0</v>
      </c>
      <c r="AI21" s="242"/>
      <c r="AJ21" s="242"/>
      <c r="AK21" s="242">
        <f t="shared" si="15"/>
        <v>0</v>
      </c>
      <c r="AL21" s="242"/>
      <c r="AM21" s="242"/>
      <c r="AN21" s="242">
        <f t="shared" si="16"/>
        <v>0</v>
      </c>
      <c r="AO21" s="242"/>
      <c r="AP21" s="242"/>
      <c r="AQ21" s="242">
        <f t="shared" si="17"/>
        <v>0</v>
      </c>
      <c r="AR21" s="242"/>
      <c r="AS21" s="242"/>
      <c r="AT21" s="242">
        <f t="shared" si="18"/>
        <v>0</v>
      </c>
      <c r="AU21" s="242"/>
      <c r="AV21" s="242"/>
      <c r="AW21" s="242">
        <f t="shared" si="19"/>
        <v>0</v>
      </c>
      <c r="AX21" s="242"/>
      <c r="AY21" s="242"/>
      <c r="AZ21" s="242">
        <f t="shared" si="20"/>
        <v>0</v>
      </c>
      <c r="BA21" s="242"/>
      <c r="BB21" s="242"/>
      <c r="BC21" s="242">
        <f t="shared" si="21"/>
        <v>0</v>
      </c>
      <c r="BD21" s="242"/>
      <c r="BE21" s="242"/>
      <c r="BF21" s="242">
        <f t="shared" si="22"/>
        <v>0</v>
      </c>
      <c r="BG21" s="242">
        <f t="shared" si="23"/>
        <v>0</v>
      </c>
      <c r="BH21" s="242"/>
      <c r="BI21" s="242">
        <f t="shared" si="24"/>
        <v>0</v>
      </c>
      <c r="BJ21" s="242">
        <f t="shared" si="25"/>
        <v>0</v>
      </c>
      <c r="BK21" s="242">
        <f t="shared" si="26"/>
        <v>0</v>
      </c>
      <c r="BL21" s="242">
        <f t="shared" si="9"/>
        <v>0</v>
      </c>
      <c r="BM21" s="242">
        <f t="shared" si="10"/>
        <v>0</v>
      </c>
      <c r="BN21" s="242">
        <f t="shared" si="27"/>
        <v>0</v>
      </c>
      <c r="BO21" s="241"/>
      <c r="BP21" s="241"/>
      <c r="BQ21" s="242">
        <f t="shared" si="28"/>
        <v>0</v>
      </c>
      <c r="BR21" s="241"/>
      <c r="BS21" s="241"/>
      <c r="BT21" s="241">
        <v>742000</v>
      </c>
      <c r="BV21" s="246"/>
      <c r="BW21" s="246"/>
      <c r="BX21" s="246"/>
      <c r="BY21" s="246"/>
      <c r="BZ21" s="246"/>
    </row>
    <row r="22" spans="1:78" s="244" customFormat="1">
      <c r="A22" s="241">
        <f t="shared" si="11"/>
        <v>16</v>
      </c>
      <c r="B22" s="241">
        <v>1129</v>
      </c>
      <c r="C22" s="241" t="s">
        <v>43</v>
      </c>
      <c r="D22" s="14">
        <v>5500000</v>
      </c>
      <c r="E22" s="242">
        <v>5500000</v>
      </c>
      <c r="F22" s="242">
        <f t="shared" si="0"/>
        <v>0</v>
      </c>
      <c r="G22" s="242">
        <v>5491771</v>
      </c>
      <c r="H22" s="242">
        <v>4552723.2300000004</v>
      </c>
      <c r="I22" s="242">
        <v>597920</v>
      </c>
      <c r="J22" s="242"/>
      <c r="K22" s="242">
        <f t="shared" si="1"/>
        <v>597920</v>
      </c>
      <c r="L22" s="242">
        <f t="shared" si="2"/>
        <v>5150643.2300000004</v>
      </c>
      <c r="M22" s="14">
        <f t="shared" si="29"/>
        <v>341127.76999999955</v>
      </c>
      <c r="N22" s="14"/>
      <c r="O22" s="14">
        <f t="shared" si="3"/>
        <v>8229</v>
      </c>
      <c r="P22" s="14">
        <f t="shared" si="4"/>
        <v>341127.76999999955</v>
      </c>
      <c r="Q22" s="14"/>
      <c r="R22" s="14"/>
      <c r="S22" s="14">
        <f t="shared" si="5"/>
        <v>0</v>
      </c>
      <c r="T22" s="14">
        <f t="shared" si="6"/>
        <v>0</v>
      </c>
      <c r="U22" s="14">
        <f t="shared" si="7"/>
        <v>0</v>
      </c>
      <c r="V22" s="242">
        <f t="shared" si="8"/>
        <v>0</v>
      </c>
      <c r="W22" s="242"/>
      <c r="X22" s="242"/>
      <c r="Y22" s="241"/>
      <c r="Z22" s="242"/>
      <c r="AA22" s="242"/>
      <c r="AB22" s="242">
        <f t="shared" si="12"/>
        <v>0</v>
      </c>
      <c r="AC22" s="242"/>
      <c r="AD22" s="242"/>
      <c r="AE22" s="242">
        <f t="shared" si="13"/>
        <v>0</v>
      </c>
      <c r="AF22" s="242"/>
      <c r="AG22" s="242"/>
      <c r="AH22" s="242">
        <f t="shared" si="14"/>
        <v>0</v>
      </c>
      <c r="AI22" s="242"/>
      <c r="AJ22" s="242"/>
      <c r="AK22" s="242">
        <f t="shared" si="15"/>
        <v>0</v>
      </c>
      <c r="AL22" s="242"/>
      <c r="AM22" s="242"/>
      <c r="AN22" s="242">
        <f t="shared" si="16"/>
        <v>0</v>
      </c>
      <c r="AO22" s="242"/>
      <c r="AP22" s="242"/>
      <c r="AQ22" s="242">
        <f t="shared" si="17"/>
        <v>0</v>
      </c>
      <c r="AR22" s="242"/>
      <c r="AS22" s="242"/>
      <c r="AT22" s="242">
        <f t="shared" si="18"/>
        <v>0</v>
      </c>
      <c r="AU22" s="242"/>
      <c r="AV22" s="242"/>
      <c r="AW22" s="242">
        <f t="shared" si="19"/>
        <v>0</v>
      </c>
      <c r="AX22" s="242"/>
      <c r="AY22" s="242"/>
      <c r="AZ22" s="242">
        <f t="shared" si="20"/>
        <v>0</v>
      </c>
      <c r="BA22" s="242"/>
      <c r="BB22" s="242"/>
      <c r="BC22" s="242">
        <f t="shared" si="21"/>
        <v>0</v>
      </c>
      <c r="BD22" s="242"/>
      <c r="BE22" s="242"/>
      <c r="BF22" s="242">
        <f t="shared" si="22"/>
        <v>0</v>
      </c>
      <c r="BG22" s="242">
        <f t="shared" si="23"/>
        <v>0</v>
      </c>
      <c r="BH22" s="242"/>
      <c r="BI22" s="242">
        <f t="shared" si="24"/>
        <v>0</v>
      </c>
      <c r="BJ22" s="242">
        <f t="shared" si="25"/>
        <v>0</v>
      </c>
      <c r="BK22" s="242">
        <f t="shared" si="26"/>
        <v>0</v>
      </c>
      <c r="BL22" s="242">
        <f t="shared" si="9"/>
        <v>0</v>
      </c>
      <c r="BM22" s="242">
        <f t="shared" si="10"/>
        <v>0</v>
      </c>
      <c r="BN22" s="242">
        <f t="shared" si="27"/>
        <v>0</v>
      </c>
      <c r="BO22" s="241"/>
      <c r="BP22" s="241"/>
      <c r="BQ22" s="242">
        <f t="shared" si="28"/>
        <v>0</v>
      </c>
      <c r="BR22" s="241"/>
      <c r="BS22" s="241"/>
      <c r="BT22" s="241">
        <v>742000</v>
      </c>
    </row>
    <row r="23" spans="1:78" s="246" customFormat="1">
      <c r="A23" s="241">
        <f t="shared" si="11"/>
        <v>17</v>
      </c>
      <c r="B23" s="241">
        <v>1130</v>
      </c>
      <c r="C23" s="241" t="s">
        <v>44</v>
      </c>
      <c r="D23" s="14">
        <v>13881894</v>
      </c>
      <c r="E23" s="242">
        <v>11881894</v>
      </c>
      <c r="F23" s="242">
        <f t="shared" si="0"/>
        <v>2000000</v>
      </c>
      <c r="G23" s="242">
        <v>10881894</v>
      </c>
      <c r="H23" s="242">
        <v>8712093</v>
      </c>
      <c r="I23" s="242">
        <v>1690096</v>
      </c>
      <c r="J23" s="242">
        <v>41184.800000000003</v>
      </c>
      <c r="K23" s="242">
        <f t="shared" si="1"/>
        <v>1731280.8</v>
      </c>
      <c r="L23" s="242">
        <f t="shared" si="2"/>
        <v>10443373.800000001</v>
      </c>
      <c r="M23" s="14">
        <f t="shared" si="29"/>
        <v>438520.19999999925</v>
      </c>
      <c r="N23" s="14">
        <f>3000000-1000000</f>
        <v>2000000</v>
      </c>
      <c r="O23" s="14">
        <f t="shared" si="3"/>
        <v>1000000</v>
      </c>
      <c r="P23" s="14">
        <f t="shared" si="4"/>
        <v>438520.19999999925</v>
      </c>
      <c r="Q23" s="14"/>
      <c r="R23" s="14"/>
      <c r="S23" s="14">
        <f t="shared" si="5"/>
        <v>0</v>
      </c>
      <c r="T23" s="14">
        <f t="shared" si="6"/>
        <v>0</v>
      </c>
      <c r="U23" s="14">
        <f t="shared" si="7"/>
        <v>2000000</v>
      </c>
      <c r="V23" s="242">
        <f t="shared" si="8"/>
        <v>2000000</v>
      </c>
      <c r="W23" s="242"/>
      <c r="X23" s="242"/>
      <c r="Y23" s="241"/>
      <c r="Z23" s="242"/>
      <c r="AA23" s="242"/>
      <c r="AB23" s="242">
        <f t="shared" si="12"/>
        <v>0</v>
      </c>
      <c r="AC23" s="242"/>
      <c r="AD23" s="242"/>
      <c r="AE23" s="242">
        <f t="shared" si="13"/>
        <v>0</v>
      </c>
      <c r="AF23" s="242"/>
      <c r="AG23" s="242"/>
      <c r="AH23" s="242">
        <f t="shared" si="14"/>
        <v>0</v>
      </c>
      <c r="AI23" s="242"/>
      <c r="AJ23" s="242"/>
      <c r="AK23" s="242">
        <f t="shared" si="15"/>
        <v>0</v>
      </c>
      <c r="AL23" s="242"/>
      <c r="AM23" s="242"/>
      <c r="AN23" s="242">
        <f t="shared" si="16"/>
        <v>0</v>
      </c>
      <c r="AO23" s="393">
        <v>700000</v>
      </c>
      <c r="AP23" s="242"/>
      <c r="AQ23" s="242">
        <f t="shared" si="17"/>
        <v>700000</v>
      </c>
      <c r="AR23" s="242">
        <v>110000</v>
      </c>
      <c r="AS23" s="242"/>
      <c r="AT23" s="242">
        <f t="shared" si="18"/>
        <v>110000</v>
      </c>
      <c r="AU23" s="242"/>
      <c r="AV23" s="242"/>
      <c r="AW23" s="242">
        <f t="shared" si="19"/>
        <v>0</v>
      </c>
      <c r="AX23" s="242">
        <v>500000</v>
      </c>
      <c r="AY23" s="242"/>
      <c r="AZ23" s="242">
        <f t="shared" si="20"/>
        <v>500000</v>
      </c>
      <c r="BA23" s="242"/>
      <c r="BB23" s="242"/>
      <c r="BC23" s="242">
        <f t="shared" si="21"/>
        <v>0</v>
      </c>
      <c r="BD23" s="242">
        <v>690000</v>
      </c>
      <c r="BE23" s="242"/>
      <c r="BF23" s="242">
        <f t="shared" si="22"/>
        <v>690000</v>
      </c>
      <c r="BG23" s="242">
        <f t="shared" si="23"/>
        <v>2000000</v>
      </c>
      <c r="BH23" s="242"/>
      <c r="BI23" s="242">
        <f t="shared" si="24"/>
        <v>2000000</v>
      </c>
      <c r="BJ23" s="242">
        <f t="shared" si="25"/>
        <v>0</v>
      </c>
      <c r="BK23" s="242">
        <f t="shared" si="26"/>
        <v>2000000</v>
      </c>
      <c r="BL23" s="242">
        <f t="shared" ref="BL23:BL46" si="30">BE23</f>
        <v>0</v>
      </c>
      <c r="BM23" s="242"/>
      <c r="BN23" s="242">
        <f t="shared" si="27"/>
        <v>0</v>
      </c>
      <c r="BO23" s="241"/>
      <c r="BP23" s="241"/>
      <c r="BQ23" s="242">
        <f t="shared" si="28"/>
        <v>0</v>
      </c>
      <c r="BR23" s="241"/>
      <c r="BS23" s="241"/>
      <c r="BT23" s="241">
        <v>742000</v>
      </c>
      <c r="BU23" s="392"/>
      <c r="BV23" s="244"/>
      <c r="BW23" s="244"/>
      <c r="BX23" s="244"/>
      <c r="BY23" s="244"/>
      <c r="BZ23" s="244"/>
    </row>
    <row r="24" spans="1:78" s="246" customFormat="1">
      <c r="A24" s="241">
        <f t="shared" si="11"/>
        <v>18</v>
      </c>
      <c r="B24" s="241">
        <v>1220</v>
      </c>
      <c r="C24" s="241" t="s">
        <v>45</v>
      </c>
      <c r="D24" s="14">
        <v>5600000</v>
      </c>
      <c r="E24" s="242">
        <v>4900000</v>
      </c>
      <c r="F24" s="242">
        <f t="shared" si="0"/>
        <v>700000</v>
      </c>
      <c r="G24" s="242">
        <v>5100000</v>
      </c>
      <c r="H24" s="242">
        <v>3753527.33</v>
      </c>
      <c r="I24" s="242">
        <v>909328.58</v>
      </c>
      <c r="J24" s="242">
        <v>55983.4</v>
      </c>
      <c r="K24" s="242">
        <f t="shared" si="1"/>
        <v>965311.98</v>
      </c>
      <c r="L24" s="242">
        <f t="shared" si="2"/>
        <v>4718839.3100000005</v>
      </c>
      <c r="M24" s="14">
        <f t="shared" si="29"/>
        <v>381160.68999999948</v>
      </c>
      <c r="N24" s="14">
        <f>300000+200000</f>
        <v>500000</v>
      </c>
      <c r="O24" s="14">
        <f t="shared" si="3"/>
        <v>0</v>
      </c>
      <c r="P24" s="14">
        <f t="shared" si="4"/>
        <v>381160.68999999948</v>
      </c>
      <c r="Q24" s="14"/>
      <c r="R24" s="14"/>
      <c r="S24" s="14">
        <f t="shared" si="5"/>
        <v>0</v>
      </c>
      <c r="T24" s="14">
        <f t="shared" si="6"/>
        <v>0</v>
      </c>
      <c r="U24" s="14">
        <f t="shared" si="7"/>
        <v>500000</v>
      </c>
      <c r="V24" s="242">
        <f t="shared" si="8"/>
        <v>500000</v>
      </c>
      <c r="W24" s="242"/>
      <c r="X24" s="242"/>
      <c r="Y24" s="242"/>
      <c r="Z24" s="242"/>
      <c r="AA24" s="242"/>
      <c r="AB24" s="242">
        <f t="shared" si="12"/>
        <v>0</v>
      </c>
      <c r="AC24" s="242"/>
      <c r="AD24" s="242"/>
      <c r="AE24" s="242">
        <f t="shared" si="13"/>
        <v>0</v>
      </c>
      <c r="AF24" s="242"/>
      <c r="AG24" s="242"/>
      <c r="AH24" s="242">
        <f t="shared" si="14"/>
        <v>0</v>
      </c>
      <c r="AI24" s="242"/>
      <c r="AJ24" s="242"/>
      <c r="AK24" s="242">
        <f t="shared" si="15"/>
        <v>0</v>
      </c>
      <c r="AL24" s="242"/>
      <c r="AM24" s="242"/>
      <c r="AN24" s="242">
        <f t="shared" si="16"/>
        <v>0</v>
      </c>
      <c r="AO24" s="242"/>
      <c r="AP24" s="242"/>
      <c r="AQ24" s="242">
        <f t="shared" si="17"/>
        <v>0</v>
      </c>
      <c r="AR24" s="242"/>
      <c r="AS24" s="242"/>
      <c r="AT24" s="242">
        <f t="shared" si="18"/>
        <v>0</v>
      </c>
      <c r="AU24" s="242"/>
      <c r="AV24" s="242"/>
      <c r="AW24" s="242">
        <f t="shared" si="19"/>
        <v>0</v>
      </c>
      <c r="AX24" s="242"/>
      <c r="AY24" s="242"/>
      <c r="AZ24" s="242">
        <f t="shared" si="20"/>
        <v>0</v>
      </c>
      <c r="BA24" s="242"/>
      <c r="BB24" s="242"/>
      <c r="BC24" s="242">
        <f t="shared" si="21"/>
        <v>0</v>
      </c>
      <c r="BD24" s="242"/>
      <c r="BE24" s="242"/>
      <c r="BF24" s="242">
        <f t="shared" si="22"/>
        <v>0</v>
      </c>
      <c r="BG24" s="242">
        <f t="shared" si="23"/>
        <v>0</v>
      </c>
      <c r="BH24" s="242"/>
      <c r="BI24" s="242">
        <f t="shared" si="24"/>
        <v>0</v>
      </c>
      <c r="BJ24" s="242">
        <f t="shared" si="25"/>
        <v>500000</v>
      </c>
      <c r="BK24" s="242">
        <f t="shared" si="26"/>
        <v>0</v>
      </c>
      <c r="BL24" s="242">
        <f t="shared" si="30"/>
        <v>0</v>
      </c>
      <c r="BM24" s="242">
        <f t="shared" ref="BM24:BM46" si="31">BF24</f>
        <v>0</v>
      </c>
      <c r="BN24" s="242">
        <f t="shared" si="27"/>
        <v>0</v>
      </c>
      <c r="BO24" s="241"/>
      <c r="BP24" s="241"/>
      <c r="BQ24" s="242">
        <f t="shared" si="28"/>
        <v>500000</v>
      </c>
      <c r="BR24" s="241"/>
      <c r="BS24" s="241"/>
      <c r="BT24" s="241">
        <v>732000</v>
      </c>
      <c r="BU24" s="244"/>
      <c r="BV24" s="244"/>
      <c r="BW24" s="244"/>
      <c r="BX24" s="244"/>
      <c r="BY24" s="244"/>
      <c r="BZ24" s="244"/>
    </row>
    <row r="25" spans="1:78" s="244" customFormat="1">
      <c r="A25" s="241">
        <f t="shared" si="11"/>
        <v>19</v>
      </c>
      <c r="B25" s="394">
        <v>1232</v>
      </c>
      <c r="C25" s="394" t="s">
        <v>782</v>
      </c>
      <c r="D25" s="14">
        <f>5750000-1320000</f>
        <v>4430000</v>
      </c>
      <c r="E25" s="242">
        <v>5750000</v>
      </c>
      <c r="F25" s="242">
        <f t="shared" si="0"/>
        <v>-1320000</v>
      </c>
      <c r="G25" s="242">
        <v>4900000</v>
      </c>
      <c r="H25" s="242">
        <v>4418129.04</v>
      </c>
      <c r="I25" s="242">
        <v>4128.72</v>
      </c>
      <c r="J25" s="242"/>
      <c r="K25" s="242">
        <f t="shared" si="1"/>
        <v>4128.72</v>
      </c>
      <c r="L25" s="242">
        <f t="shared" si="2"/>
        <v>4422257.76</v>
      </c>
      <c r="M25" s="14">
        <f>P25+S25-470000</f>
        <v>7742.2400000002235</v>
      </c>
      <c r="N25" s="14"/>
      <c r="O25" s="14">
        <f t="shared" si="3"/>
        <v>0</v>
      </c>
      <c r="P25" s="14">
        <f t="shared" si="4"/>
        <v>477742.24000000022</v>
      </c>
      <c r="Q25" s="14"/>
      <c r="R25" s="14"/>
      <c r="S25" s="14">
        <f t="shared" si="5"/>
        <v>0</v>
      </c>
      <c r="T25" s="14">
        <f t="shared" si="6"/>
        <v>470000</v>
      </c>
      <c r="U25" s="14">
        <f t="shared" si="7"/>
        <v>-470000</v>
      </c>
      <c r="V25" s="242">
        <f t="shared" si="8"/>
        <v>-470000</v>
      </c>
      <c r="W25" s="242"/>
      <c r="X25" s="242"/>
      <c r="Y25" s="241"/>
      <c r="Z25" s="242">
        <v>-395000</v>
      </c>
      <c r="AA25" s="242">
        <v>-75000</v>
      </c>
      <c r="AB25" s="242">
        <f t="shared" si="12"/>
        <v>-470000</v>
      </c>
      <c r="AC25" s="242"/>
      <c r="AD25" s="242"/>
      <c r="AE25" s="242">
        <f t="shared" si="13"/>
        <v>0</v>
      </c>
      <c r="AF25" s="242"/>
      <c r="AG25" s="242"/>
      <c r="AH25" s="242">
        <f t="shared" si="14"/>
        <v>0</v>
      </c>
      <c r="AI25" s="242"/>
      <c r="AJ25" s="242"/>
      <c r="AK25" s="242">
        <f t="shared" si="15"/>
        <v>0</v>
      </c>
      <c r="AL25" s="242"/>
      <c r="AM25" s="242"/>
      <c r="AN25" s="242">
        <f t="shared" si="16"/>
        <v>0</v>
      </c>
      <c r="AO25" s="242"/>
      <c r="AP25" s="242"/>
      <c r="AQ25" s="242">
        <f t="shared" si="17"/>
        <v>0</v>
      </c>
      <c r="AR25" s="242"/>
      <c r="AS25" s="242"/>
      <c r="AT25" s="242">
        <f t="shared" si="18"/>
        <v>0</v>
      </c>
      <c r="AU25" s="242"/>
      <c r="AV25" s="242"/>
      <c r="AW25" s="242">
        <f t="shared" si="19"/>
        <v>0</v>
      </c>
      <c r="AX25" s="242"/>
      <c r="AY25" s="242"/>
      <c r="AZ25" s="242">
        <f t="shared" si="20"/>
        <v>0</v>
      </c>
      <c r="BA25" s="242"/>
      <c r="BB25" s="242"/>
      <c r="BC25" s="242">
        <f t="shared" si="21"/>
        <v>0</v>
      </c>
      <c r="BD25" s="242"/>
      <c r="BE25" s="242"/>
      <c r="BF25" s="242">
        <f t="shared" si="22"/>
        <v>0</v>
      </c>
      <c r="BG25" s="242">
        <f t="shared" si="23"/>
        <v>-470000</v>
      </c>
      <c r="BH25" s="242"/>
      <c r="BI25" s="242">
        <f t="shared" si="24"/>
        <v>-470000</v>
      </c>
      <c r="BJ25" s="242">
        <f t="shared" si="25"/>
        <v>0</v>
      </c>
      <c r="BK25" s="242">
        <f t="shared" si="26"/>
        <v>-470000</v>
      </c>
      <c r="BL25" s="242">
        <f t="shared" si="30"/>
        <v>0</v>
      </c>
      <c r="BM25" s="242">
        <f t="shared" si="31"/>
        <v>0</v>
      </c>
      <c r="BN25" s="242">
        <f t="shared" si="27"/>
        <v>0</v>
      </c>
      <c r="BO25" s="241"/>
      <c r="BP25" s="241"/>
      <c r="BQ25" s="242">
        <f t="shared" si="28"/>
        <v>0</v>
      </c>
      <c r="BR25" s="241"/>
      <c r="BS25" s="241"/>
      <c r="BT25" s="241">
        <v>815000</v>
      </c>
    </row>
    <row r="26" spans="1:78" s="246" customFormat="1">
      <c r="A26" s="241">
        <f t="shared" si="11"/>
        <v>20</v>
      </c>
      <c r="B26" s="241">
        <v>1268</v>
      </c>
      <c r="C26" s="241" t="s">
        <v>65</v>
      </c>
      <c r="D26" s="14">
        <f>11200000-400000</f>
        <v>10800000</v>
      </c>
      <c r="E26" s="242">
        <v>11200000</v>
      </c>
      <c r="F26" s="242">
        <f t="shared" si="0"/>
        <v>-400000</v>
      </c>
      <c r="G26" s="242">
        <v>11200000</v>
      </c>
      <c r="H26" s="242">
        <v>10764946</v>
      </c>
      <c r="I26" s="242">
        <v>19091</v>
      </c>
      <c r="J26" s="242"/>
      <c r="K26" s="242">
        <f t="shared" si="1"/>
        <v>19091</v>
      </c>
      <c r="L26" s="242">
        <f t="shared" si="2"/>
        <v>10784037</v>
      </c>
      <c r="M26" s="14">
        <f>P26+S26-400000</f>
        <v>15963</v>
      </c>
      <c r="N26" s="14"/>
      <c r="O26" s="14">
        <f t="shared" si="3"/>
        <v>0</v>
      </c>
      <c r="P26" s="14">
        <f t="shared" si="4"/>
        <v>415963</v>
      </c>
      <c r="Q26" s="14"/>
      <c r="R26" s="14"/>
      <c r="S26" s="14">
        <f t="shared" si="5"/>
        <v>0</v>
      </c>
      <c r="T26" s="14">
        <f t="shared" si="6"/>
        <v>400000</v>
      </c>
      <c r="U26" s="14">
        <f t="shared" si="7"/>
        <v>-400000</v>
      </c>
      <c r="V26" s="242">
        <f t="shared" si="8"/>
        <v>-400000</v>
      </c>
      <c r="W26" s="242"/>
      <c r="X26" s="242"/>
      <c r="Y26" s="241"/>
      <c r="Z26" s="242">
        <v>-400000</v>
      </c>
      <c r="AA26" s="242"/>
      <c r="AB26" s="242">
        <f t="shared" si="12"/>
        <v>-400000</v>
      </c>
      <c r="AC26" s="242"/>
      <c r="AD26" s="242"/>
      <c r="AE26" s="242">
        <f t="shared" si="13"/>
        <v>0</v>
      </c>
      <c r="AF26" s="242"/>
      <c r="AG26" s="242"/>
      <c r="AH26" s="242">
        <f t="shared" si="14"/>
        <v>0</v>
      </c>
      <c r="AI26" s="242"/>
      <c r="AJ26" s="242"/>
      <c r="AK26" s="242">
        <f t="shared" si="15"/>
        <v>0</v>
      </c>
      <c r="AL26" s="242"/>
      <c r="AM26" s="242"/>
      <c r="AN26" s="242">
        <f t="shared" si="16"/>
        <v>0</v>
      </c>
      <c r="AO26" s="242"/>
      <c r="AP26" s="242"/>
      <c r="AQ26" s="242">
        <f t="shared" si="17"/>
        <v>0</v>
      </c>
      <c r="AR26" s="242"/>
      <c r="AS26" s="242"/>
      <c r="AT26" s="242">
        <f t="shared" si="18"/>
        <v>0</v>
      </c>
      <c r="AU26" s="242"/>
      <c r="AV26" s="242"/>
      <c r="AW26" s="242">
        <f t="shared" si="19"/>
        <v>0</v>
      </c>
      <c r="AX26" s="242"/>
      <c r="AY26" s="242"/>
      <c r="AZ26" s="242">
        <f t="shared" si="20"/>
        <v>0</v>
      </c>
      <c r="BA26" s="242"/>
      <c r="BB26" s="242"/>
      <c r="BC26" s="242">
        <f t="shared" si="21"/>
        <v>0</v>
      </c>
      <c r="BD26" s="242"/>
      <c r="BE26" s="242"/>
      <c r="BF26" s="242">
        <f t="shared" si="22"/>
        <v>0</v>
      </c>
      <c r="BG26" s="242">
        <f t="shared" si="23"/>
        <v>-400000</v>
      </c>
      <c r="BH26" s="242"/>
      <c r="BI26" s="242">
        <f t="shared" si="24"/>
        <v>-400000</v>
      </c>
      <c r="BJ26" s="242">
        <f t="shared" si="25"/>
        <v>0</v>
      </c>
      <c r="BK26" s="242">
        <f t="shared" si="26"/>
        <v>-400000</v>
      </c>
      <c r="BL26" s="242">
        <f t="shared" si="30"/>
        <v>0</v>
      </c>
      <c r="BM26" s="242">
        <f t="shared" si="31"/>
        <v>0</v>
      </c>
      <c r="BN26" s="242">
        <f t="shared" si="27"/>
        <v>0</v>
      </c>
      <c r="BO26" s="241"/>
      <c r="BP26" s="241"/>
      <c r="BQ26" s="242">
        <f t="shared" si="28"/>
        <v>0</v>
      </c>
      <c r="BR26" s="241"/>
      <c r="BS26" s="241"/>
      <c r="BT26" s="241">
        <v>813200</v>
      </c>
      <c r="BU26" s="244"/>
      <c r="BV26" s="244"/>
      <c r="BW26" s="244"/>
      <c r="BX26" s="244"/>
      <c r="BY26" s="244"/>
      <c r="BZ26" s="244"/>
    </row>
    <row r="27" spans="1:78" s="244" customFormat="1">
      <c r="A27" s="241">
        <f t="shared" si="11"/>
        <v>21</v>
      </c>
      <c r="B27" s="241">
        <v>1314</v>
      </c>
      <c r="C27" s="241" t="s">
        <v>66</v>
      </c>
      <c r="D27" s="14">
        <v>3200000</v>
      </c>
      <c r="E27" s="242">
        <v>3200000</v>
      </c>
      <c r="F27" s="242">
        <f t="shared" si="0"/>
        <v>0</v>
      </c>
      <c r="G27" s="242">
        <v>400000</v>
      </c>
      <c r="H27" s="242">
        <v>359314.49</v>
      </c>
      <c r="I27" s="242">
        <v>10008.06</v>
      </c>
      <c r="J27" s="242">
        <v>330</v>
      </c>
      <c r="K27" s="242">
        <f t="shared" si="1"/>
        <v>10338.06</v>
      </c>
      <c r="L27" s="242">
        <f t="shared" si="2"/>
        <v>369652.55</v>
      </c>
      <c r="M27" s="14">
        <f t="shared" si="29"/>
        <v>30347.450000000012</v>
      </c>
      <c r="N27" s="14">
        <v>150000</v>
      </c>
      <c r="O27" s="14">
        <f t="shared" si="3"/>
        <v>2650000</v>
      </c>
      <c r="P27" s="14">
        <f t="shared" si="4"/>
        <v>30347.450000000012</v>
      </c>
      <c r="Q27" s="14"/>
      <c r="R27" s="14"/>
      <c r="S27" s="14">
        <f t="shared" si="5"/>
        <v>0</v>
      </c>
      <c r="T27" s="14">
        <f t="shared" si="6"/>
        <v>0</v>
      </c>
      <c r="U27" s="14">
        <f t="shared" si="7"/>
        <v>150000</v>
      </c>
      <c r="V27" s="242">
        <f t="shared" si="8"/>
        <v>150000</v>
      </c>
      <c r="W27" s="242"/>
      <c r="X27" s="242"/>
      <c r="Y27" s="241"/>
      <c r="Z27" s="242"/>
      <c r="AA27" s="242"/>
      <c r="AB27" s="242">
        <f t="shared" si="12"/>
        <v>0</v>
      </c>
      <c r="AC27" s="242"/>
      <c r="AD27" s="242"/>
      <c r="AE27" s="242">
        <f t="shared" si="13"/>
        <v>0</v>
      </c>
      <c r="AF27" s="242"/>
      <c r="AG27" s="242"/>
      <c r="AH27" s="242">
        <f t="shared" si="14"/>
        <v>0</v>
      </c>
      <c r="AI27" s="242"/>
      <c r="AJ27" s="242"/>
      <c r="AK27" s="242">
        <f t="shared" si="15"/>
        <v>0</v>
      </c>
      <c r="AL27" s="242"/>
      <c r="AM27" s="242"/>
      <c r="AN27" s="242">
        <f t="shared" si="16"/>
        <v>0</v>
      </c>
      <c r="AO27" s="242"/>
      <c r="AP27" s="242"/>
      <c r="AQ27" s="242">
        <f t="shared" si="17"/>
        <v>0</v>
      </c>
      <c r="AR27" s="242"/>
      <c r="AS27" s="242"/>
      <c r="AT27" s="242">
        <f t="shared" si="18"/>
        <v>0</v>
      </c>
      <c r="AU27" s="242"/>
      <c r="AV27" s="242"/>
      <c r="AW27" s="242">
        <f t="shared" si="19"/>
        <v>0</v>
      </c>
      <c r="AX27" s="242"/>
      <c r="AY27" s="242"/>
      <c r="AZ27" s="242">
        <f t="shared" si="20"/>
        <v>0</v>
      </c>
      <c r="BA27" s="242"/>
      <c r="BB27" s="242"/>
      <c r="BC27" s="242">
        <f t="shared" si="21"/>
        <v>0</v>
      </c>
      <c r="BD27" s="242"/>
      <c r="BE27" s="242"/>
      <c r="BF27" s="242">
        <f t="shared" si="22"/>
        <v>0</v>
      </c>
      <c r="BG27" s="242">
        <f t="shared" si="23"/>
        <v>0</v>
      </c>
      <c r="BH27" s="242"/>
      <c r="BI27" s="242">
        <f t="shared" si="24"/>
        <v>0</v>
      </c>
      <c r="BJ27" s="242">
        <f t="shared" si="25"/>
        <v>150000</v>
      </c>
      <c r="BK27" s="242">
        <f t="shared" si="26"/>
        <v>0</v>
      </c>
      <c r="BL27" s="242">
        <f t="shared" si="30"/>
        <v>0</v>
      </c>
      <c r="BM27" s="242">
        <f t="shared" si="31"/>
        <v>0</v>
      </c>
      <c r="BN27" s="242">
        <f t="shared" si="27"/>
        <v>0</v>
      </c>
      <c r="BO27" s="241"/>
      <c r="BP27" s="241"/>
      <c r="BQ27" s="242">
        <f t="shared" si="28"/>
        <v>150000</v>
      </c>
      <c r="BR27" s="241"/>
      <c r="BS27" s="241"/>
      <c r="BT27" s="241">
        <v>742000</v>
      </c>
    </row>
    <row r="28" spans="1:78" s="244" customFormat="1">
      <c r="A28" s="241">
        <f t="shared" si="11"/>
        <v>22</v>
      </c>
      <c r="B28" s="241">
        <v>1320</v>
      </c>
      <c r="C28" s="241" t="s">
        <v>67</v>
      </c>
      <c r="D28" s="14">
        <f>23500000</f>
        <v>23500000</v>
      </c>
      <c r="E28" s="242">
        <v>23500000</v>
      </c>
      <c r="F28" s="242">
        <f t="shared" si="0"/>
        <v>0</v>
      </c>
      <c r="G28" s="242">
        <v>21700000</v>
      </c>
      <c r="H28" s="242">
        <v>20843952.5</v>
      </c>
      <c r="I28" s="242">
        <v>124911.05</v>
      </c>
      <c r="J28" s="242">
        <v>718558.2</v>
      </c>
      <c r="K28" s="242">
        <f t="shared" si="1"/>
        <v>843469.25</v>
      </c>
      <c r="L28" s="242">
        <f t="shared" si="2"/>
        <v>21687421.75</v>
      </c>
      <c r="M28" s="14">
        <f t="shared" si="29"/>
        <v>12578.25</v>
      </c>
      <c r="N28" s="14"/>
      <c r="O28" s="14">
        <f t="shared" si="3"/>
        <v>1800000</v>
      </c>
      <c r="P28" s="14">
        <f t="shared" si="4"/>
        <v>12578.25</v>
      </c>
      <c r="Q28" s="14"/>
      <c r="R28" s="14"/>
      <c r="S28" s="14">
        <f t="shared" si="5"/>
        <v>0</v>
      </c>
      <c r="T28" s="14">
        <f t="shared" si="6"/>
        <v>0</v>
      </c>
      <c r="U28" s="14">
        <f t="shared" si="7"/>
        <v>0</v>
      </c>
      <c r="V28" s="242">
        <f t="shared" si="8"/>
        <v>0</v>
      </c>
      <c r="W28" s="242"/>
      <c r="X28" s="242"/>
      <c r="Y28" s="241"/>
      <c r="Z28" s="242"/>
      <c r="AA28" s="242"/>
      <c r="AB28" s="242">
        <f t="shared" si="12"/>
        <v>0</v>
      </c>
      <c r="AC28" s="242"/>
      <c r="AD28" s="242"/>
      <c r="AE28" s="242">
        <f t="shared" si="13"/>
        <v>0</v>
      </c>
      <c r="AF28" s="242"/>
      <c r="AG28" s="242"/>
      <c r="AH28" s="242">
        <f t="shared" si="14"/>
        <v>0</v>
      </c>
      <c r="AI28" s="242"/>
      <c r="AJ28" s="242"/>
      <c r="AK28" s="242">
        <f t="shared" si="15"/>
        <v>0</v>
      </c>
      <c r="AL28" s="242"/>
      <c r="AM28" s="242"/>
      <c r="AN28" s="242">
        <f t="shared" si="16"/>
        <v>0</v>
      </c>
      <c r="AO28" s="242"/>
      <c r="AP28" s="242"/>
      <c r="AQ28" s="242">
        <f t="shared" si="17"/>
        <v>0</v>
      </c>
      <c r="AR28" s="242"/>
      <c r="AS28" s="242"/>
      <c r="AT28" s="242">
        <f t="shared" si="18"/>
        <v>0</v>
      </c>
      <c r="AU28" s="242"/>
      <c r="AV28" s="242"/>
      <c r="AW28" s="242">
        <f t="shared" si="19"/>
        <v>0</v>
      </c>
      <c r="AX28" s="242"/>
      <c r="AY28" s="242"/>
      <c r="AZ28" s="242">
        <f t="shared" si="20"/>
        <v>0</v>
      </c>
      <c r="BA28" s="242"/>
      <c r="BB28" s="242"/>
      <c r="BC28" s="242">
        <f t="shared" si="21"/>
        <v>0</v>
      </c>
      <c r="BD28" s="242"/>
      <c r="BE28" s="242"/>
      <c r="BF28" s="242">
        <f t="shared" si="22"/>
        <v>0</v>
      </c>
      <c r="BG28" s="242">
        <f t="shared" ref="BG28:BG50" si="32">BF28+AB28+AE28+AH28+AK28+AN28+AQ28+AT28+AW28+AZ28+BC28</f>
        <v>0</v>
      </c>
      <c r="BH28" s="242"/>
      <c r="BI28" s="242">
        <f t="shared" ref="BI28:BI50" si="33">BG28+BH28</f>
        <v>0</v>
      </c>
      <c r="BJ28" s="242">
        <f t="shared" si="25"/>
        <v>0</v>
      </c>
      <c r="BK28" s="242">
        <f t="shared" si="26"/>
        <v>0</v>
      </c>
      <c r="BL28" s="242">
        <f t="shared" si="30"/>
        <v>0</v>
      </c>
      <c r="BM28" s="242">
        <f t="shared" si="31"/>
        <v>0</v>
      </c>
      <c r="BN28" s="242">
        <f t="shared" si="27"/>
        <v>0</v>
      </c>
      <c r="BO28" s="241"/>
      <c r="BP28" s="241"/>
      <c r="BQ28" s="242">
        <f t="shared" si="28"/>
        <v>0</v>
      </c>
      <c r="BR28" s="241"/>
      <c r="BS28" s="241"/>
      <c r="BT28" s="241">
        <v>746000</v>
      </c>
      <c r="BV28" s="246"/>
      <c r="BW28" s="246"/>
      <c r="BX28" s="246"/>
      <c r="BY28" s="246"/>
      <c r="BZ28" s="246"/>
    </row>
    <row r="29" spans="1:78" s="244" customFormat="1">
      <c r="A29" s="241">
        <f t="shared" si="11"/>
        <v>23</v>
      </c>
      <c r="B29" s="394">
        <v>1321</v>
      </c>
      <c r="C29" s="394" t="s">
        <v>783</v>
      </c>
      <c r="D29" s="14">
        <f>5150000</f>
        <v>5150000</v>
      </c>
      <c r="E29" s="242">
        <v>5150000</v>
      </c>
      <c r="F29" s="242">
        <f t="shared" si="0"/>
        <v>0</v>
      </c>
      <c r="G29" s="242">
        <v>700000</v>
      </c>
      <c r="H29" s="242">
        <v>691661.02</v>
      </c>
      <c r="I29" s="242">
        <v>7556.01</v>
      </c>
      <c r="J29" s="242"/>
      <c r="K29" s="242">
        <f t="shared" si="1"/>
        <v>7556.01</v>
      </c>
      <c r="L29" s="242">
        <f t="shared" si="2"/>
        <v>699217.03</v>
      </c>
      <c r="M29" s="14">
        <f t="shared" si="29"/>
        <v>782.96999999997206</v>
      </c>
      <c r="N29" s="14"/>
      <c r="O29" s="14">
        <f t="shared" si="3"/>
        <v>4450000</v>
      </c>
      <c r="P29" s="14">
        <f t="shared" si="4"/>
        <v>782.96999999997206</v>
      </c>
      <c r="Q29" s="14"/>
      <c r="R29" s="14"/>
      <c r="S29" s="14">
        <f t="shared" si="5"/>
        <v>0</v>
      </c>
      <c r="T29" s="14">
        <f t="shared" si="6"/>
        <v>0</v>
      </c>
      <c r="U29" s="14">
        <f t="shared" si="7"/>
        <v>0</v>
      </c>
      <c r="V29" s="242">
        <f t="shared" si="8"/>
        <v>0</v>
      </c>
      <c r="W29" s="242"/>
      <c r="X29" s="242"/>
      <c r="Y29" s="241"/>
      <c r="Z29" s="242"/>
      <c r="AA29" s="242"/>
      <c r="AB29" s="242">
        <f t="shared" si="12"/>
        <v>0</v>
      </c>
      <c r="AC29" s="242"/>
      <c r="AD29" s="242"/>
      <c r="AE29" s="242">
        <f t="shared" si="13"/>
        <v>0</v>
      </c>
      <c r="AF29" s="242"/>
      <c r="AG29" s="242"/>
      <c r="AH29" s="242">
        <f t="shared" si="14"/>
        <v>0</v>
      </c>
      <c r="AI29" s="242"/>
      <c r="AJ29" s="242"/>
      <c r="AK29" s="242">
        <f t="shared" si="15"/>
        <v>0</v>
      </c>
      <c r="AL29" s="242"/>
      <c r="AM29" s="242"/>
      <c r="AN29" s="242">
        <f t="shared" si="16"/>
        <v>0</v>
      </c>
      <c r="AO29" s="242"/>
      <c r="AP29" s="242"/>
      <c r="AQ29" s="242">
        <f t="shared" si="17"/>
        <v>0</v>
      </c>
      <c r="AR29" s="242"/>
      <c r="AS29" s="242"/>
      <c r="AT29" s="242">
        <f t="shared" si="18"/>
        <v>0</v>
      </c>
      <c r="AU29" s="242"/>
      <c r="AV29" s="242"/>
      <c r="AW29" s="242">
        <f t="shared" si="19"/>
        <v>0</v>
      </c>
      <c r="AX29" s="242"/>
      <c r="AY29" s="242"/>
      <c r="AZ29" s="242">
        <f t="shared" si="20"/>
        <v>0</v>
      </c>
      <c r="BA29" s="242"/>
      <c r="BB29" s="242"/>
      <c r="BC29" s="242">
        <f t="shared" si="21"/>
        <v>0</v>
      </c>
      <c r="BD29" s="242"/>
      <c r="BE29" s="242"/>
      <c r="BF29" s="242">
        <f t="shared" si="22"/>
        <v>0</v>
      </c>
      <c r="BG29" s="242">
        <f t="shared" si="32"/>
        <v>0</v>
      </c>
      <c r="BH29" s="242"/>
      <c r="BI29" s="242">
        <f t="shared" si="33"/>
        <v>0</v>
      </c>
      <c r="BJ29" s="242">
        <f t="shared" si="25"/>
        <v>0</v>
      </c>
      <c r="BK29" s="242">
        <f t="shared" si="26"/>
        <v>0</v>
      </c>
      <c r="BL29" s="242">
        <f t="shared" si="30"/>
        <v>0</v>
      </c>
      <c r="BM29" s="242">
        <f t="shared" si="31"/>
        <v>0</v>
      </c>
      <c r="BN29" s="242">
        <f t="shared" si="27"/>
        <v>0</v>
      </c>
      <c r="BO29" s="241"/>
      <c r="BP29" s="241"/>
      <c r="BQ29" s="242">
        <f t="shared" si="28"/>
        <v>0</v>
      </c>
      <c r="BR29" s="241"/>
      <c r="BS29" s="241"/>
      <c r="BT29" s="241">
        <v>742000</v>
      </c>
      <c r="BV29" s="246"/>
      <c r="BW29" s="246"/>
      <c r="BX29" s="246"/>
      <c r="BY29" s="246"/>
      <c r="BZ29" s="246"/>
    </row>
    <row r="30" spans="1:78" s="246" customFormat="1">
      <c r="A30" s="241">
        <f t="shared" si="11"/>
        <v>24</v>
      </c>
      <c r="B30" s="241">
        <v>1322</v>
      </c>
      <c r="C30" s="241" t="s">
        <v>47</v>
      </c>
      <c r="D30" s="14">
        <v>18500000</v>
      </c>
      <c r="E30" s="242">
        <v>18500000</v>
      </c>
      <c r="F30" s="242">
        <f t="shared" si="0"/>
        <v>0</v>
      </c>
      <c r="G30" s="242">
        <v>11400000</v>
      </c>
      <c r="H30" s="242">
        <v>9585773.5899999999</v>
      </c>
      <c r="I30" s="242">
        <v>47815.65</v>
      </c>
      <c r="J30" s="242">
        <v>1366771.35</v>
      </c>
      <c r="K30" s="242">
        <f t="shared" si="1"/>
        <v>1414587</v>
      </c>
      <c r="L30" s="242">
        <f t="shared" si="2"/>
        <v>11000360.59</v>
      </c>
      <c r="M30" s="14">
        <f t="shared" si="29"/>
        <v>399639.41000000015</v>
      </c>
      <c r="N30" s="14">
        <f>4650000-4650000</f>
        <v>0</v>
      </c>
      <c r="O30" s="14">
        <f t="shared" si="3"/>
        <v>7100000</v>
      </c>
      <c r="P30" s="14">
        <f t="shared" si="4"/>
        <v>399639.41000000015</v>
      </c>
      <c r="Q30" s="14"/>
      <c r="R30" s="14"/>
      <c r="S30" s="14">
        <f t="shared" si="5"/>
        <v>0</v>
      </c>
      <c r="T30" s="14">
        <f t="shared" si="6"/>
        <v>0</v>
      </c>
      <c r="U30" s="14">
        <f t="shared" si="7"/>
        <v>0</v>
      </c>
      <c r="V30" s="242">
        <f t="shared" si="8"/>
        <v>0</v>
      </c>
      <c r="W30" s="242"/>
      <c r="X30" s="242"/>
      <c r="Y30" s="242"/>
      <c r="Z30" s="242"/>
      <c r="AA30" s="242"/>
      <c r="AB30" s="242">
        <f t="shared" si="12"/>
        <v>0</v>
      </c>
      <c r="AC30" s="242"/>
      <c r="AD30" s="242"/>
      <c r="AE30" s="242">
        <f t="shared" si="13"/>
        <v>0</v>
      </c>
      <c r="AF30" s="242"/>
      <c r="AG30" s="242"/>
      <c r="AH30" s="242">
        <f t="shared" si="14"/>
        <v>0</v>
      </c>
      <c r="AI30" s="242"/>
      <c r="AJ30" s="242"/>
      <c r="AK30" s="242">
        <f t="shared" si="15"/>
        <v>0</v>
      </c>
      <c r="AL30" s="242"/>
      <c r="AM30" s="242"/>
      <c r="AN30" s="242">
        <f t="shared" si="16"/>
        <v>0</v>
      </c>
      <c r="AO30" s="242"/>
      <c r="AP30" s="242"/>
      <c r="AQ30" s="242">
        <f t="shared" si="17"/>
        <v>0</v>
      </c>
      <c r="AR30" s="242"/>
      <c r="AS30" s="242"/>
      <c r="AT30" s="242">
        <f t="shared" si="18"/>
        <v>0</v>
      </c>
      <c r="AU30" s="242"/>
      <c r="AV30" s="242"/>
      <c r="AW30" s="242">
        <f t="shared" si="19"/>
        <v>0</v>
      </c>
      <c r="AX30" s="242"/>
      <c r="AY30" s="242"/>
      <c r="AZ30" s="242">
        <f t="shared" si="20"/>
        <v>0</v>
      </c>
      <c r="BA30" s="242"/>
      <c r="BB30" s="242"/>
      <c r="BC30" s="242">
        <f t="shared" si="21"/>
        <v>0</v>
      </c>
      <c r="BD30" s="242"/>
      <c r="BE30" s="242"/>
      <c r="BF30" s="242">
        <f t="shared" si="22"/>
        <v>0</v>
      </c>
      <c r="BG30" s="242">
        <f t="shared" si="32"/>
        <v>0</v>
      </c>
      <c r="BH30" s="242"/>
      <c r="BI30" s="242">
        <f t="shared" si="33"/>
        <v>0</v>
      </c>
      <c r="BJ30" s="242">
        <f t="shared" si="25"/>
        <v>0</v>
      </c>
      <c r="BK30" s="242">
        <f t="shared" si="26"/>
        <v>0</v>
      </c>
      <c r="BL30" s="242">
        <f t="shared" si="30"/>
        <v>0</v>
      </c>
      <c r="BM30" s="242">
        <f t="shared" si="31"/>
        <v>0</v>
      </c>
      <c r="BN30" s="242">
        <f t="shared" si="27"/>
        <v>0</v>
      </c>
      <c r="BO30" s="241"/>
      <c r="BP30" s="241"/>
      <c r="BQ30" s="242">
        <f t="shared" si="28"/>
        <v>0</v>
      </c>
      <c r="BR30" s="241"/>
      <c r="BS30" s="241"/>
      <c r="BT30" s="241">
        <v>742000</v>
      </c>
      <c r="BU30" s="244"/>
      <c r="BV30" s="244"/>
      <c r="BW30" s="244"/>
      <c r="BX30" s="244"/>
      <c r="BY30" s="244"/>
      <c r="BZ30" s="244"/>
    </row>
    <row r="31" spans="1:78" s="15" customFormat="1">
      <c r="A31" s="241">
        <f t="shared" si="11"/>
        <v>25</v>
      </c>
      <c r="B31" s="241">
        <v>1324</v>
      </c>
      <c r="C31" s="241" t="s">
        <v>68</v>
      </c>
      <c r="D31" s="14">
        <f>250000</f>
        <v>250000</v>
      </c>
      <c r="E31" s="242">
        <v>250000</v>
      </c>
      <c r="F31" s="242">
        <f t="shared" si="0"/>
        <v>0</v>
      </c>
      <c r="G31" s="242">
        <v>180000</v>
      </c>
      <c r="H31" s="242">
        <v>120629.48</v>
      </c>
      <c r="I31" s="242">
        <v>56544</v>
      </c>
      <c r="J31" s="242"/>
      <c r="K31" s="242">
        <f t="shared" si="1"/>
        <v>56544</v>
      </c>
      <c r="L31" s="242">
        <f t="shared" si="2"/>
        <v>177173.47999999998</v>
      </c>
      <c r="M31" s="14">
        <f t="shared" si="29"/>
        <v>2826.5200000000186</v>
      </c>
      <c r="N31" s="14"/>
      <c r="O31" s="14">
        <f t="shared" si="3"/>
        <v>70000</v>
      </c>
      <c r="P31" s="14">
        <f t="shared" si="4"/>
        <v>2826.5200000000186</v>
      </c>
      <c r="Q31" s="14"/>
      <c r="R31" s="14"/>
      <c r="S31" s="14">
        <f t="shared" si="5"/>
        <v>0</v>
      </c>
      <c r="T31" s="14">
        <f t="shared" si="6"/>
        <v>0</v>
      </c>
      <c r="U31" s="14">
        <f t="shared" si="7"/>
        <v>0</v>
      </c>
      <c r="V31" s="242">
        <f t="shared" si="8"/>
        <v>0</v>
      </c>
      <c r="W31" s="242"/>
      <c r="X31" s="242"/>
      <c r="Y31" s="241"/>
      <c r="Z31" s="242"/>
      <c r="AA31" s="242"/>
      <c r="AB31" s="242">
        <f t="shared" si="12"/>
        <v>0</v>
      </c>
      <c r="AC31" s="242"/>
      <c r="AD31" s="242"/>
      <c r="AE31" s="242">
        <f t="shared" si="13"/>
        <v>0</v>
      </c>
      <c r="AF31" s="242"/>
      <c r="AG31" s="242"/>
      <c r="AH31" s="242">
        <f t="shared" si="14"/>
        <v>0</v>
      </c>
      <c r="AI31" s="242"/>
      <c r="AJ31" s="242"/>
      <c r="AK31" s="242">
        <f t="shared" si="15"/>
        <v>0</v>
      </c>
      <c r="AL31" s="242"/>
      <c r="AM31" s="242"/>
      <c r="AN31" s="242">
        <f t="shared" si="16"/>
        <v>0</v>
      </c>
      <c r="AO31" s="242"/>
      <c r="AP31" s="242"/>
      <c r="AQ31" s="242">
        <f t="shared" si="17"/>
        <v>0</v>
      </c>
      <c r="AR31" s="242"/>
      <c r="AS31" s="242"/>
      <c r="AT31" s="242">
        <f t="shared" si="18"/>
        <v>0</v>
      </c>
      <c r="AU31" s="242"/>
      <c r="AV31" s="242"/>
      <c r="AW31" s="242">
        <f t="shared" si="19"/>
        <v>0</v>
      </c>
      <c r="AX31" s="242"/>
      <c r="AY31" s="242"/>
      <c r="AZ31" s="242">
        <f t="shared" si="20"/>
        <v>0</v>
      </c>
      <c r="BA31" s="242"/>
      <c r="BB31" s="242"/>
      <c r="BC31" s="242">
        <f t="shared" si="21"/>
        <v>0</v>
      </c>
      <c r="BD31" s="242"/>
      <c r="BE31" s="242"/>
      <c r="BF31" s="242">
        <f t="shared" si="22"/>
        <v>0</v>
      </c>
      <c r="BG31" s="242">
        <f t="shared" si="32"/>
        <v>0</v>
      </c>
      <c r="BH31" s="242"/>
      <c r="BI31" s="242">
        <f t="shared" si="33"/>
        <v>0</v>
      </c>
      <c r="BJ31" s="242">
        <f t="shared" si="25"/>
        <v>0</v>
      </c>
      <c r="BK31" s="242">
        <f t="shared" si="26"/>
        <v>0</v>
      </c>
      <c r="BL31" s="242">
        <f t="shared" si="30"/>
        <v>0</v>
      </c>
      <c r="BM31" s="242">
        <f t="shared" si="31"/>
        <v>0</v>
      </c>
      <c r="BN31" s="242">
        <f t="shared" si="27"/>
        <v>0</v>
      </c>
      <c r="BO31" s="241"/>
      <c r="BP31" s="241"/>
      <c r="BQ31" s="242">
        <f t="shared" si="28"/>
        <v>0</v>
      </c>
      <c r="BR31" s="241"/>
      <c r="BS31" s="241"/>
      <c r="BT31" s="241">
        <v>742000</v>
      </c>
      <c r="BU31" s="244"/>
      <c r="BV31" s="246"/>
      <c r="BW31" s="246"/>
      <c r="BX31" s="246"/>
      <c r="BY31" s="246"/>
      <c r="BZ31" s="246"/>
    </row>
    <row r="32" spans="1:78" s="16" customFormat="1" ht="30">
      <c r="A32" s="241">
        <f t="shared" si="11"/>
        <v>26</v>
      </c>
      <c r="B32" s="394">
        <v>1351</v>
      </c>
      <c r="C32" s="394" t="s">
        <v>784</v>
      </c>
      <c r="D32" s="14">
        <f>4900000+200000+300000</f>
        <v>5400000</v>
      </c>
      <c r="E32" s="242">
        <v>4900000</v>
      </c>
      <c r="F32" s="242">
        <f t="shared" si="0"/>
        <v>500000</v>
      </c>
      <c r="G32" s="242">
        <f>4600000+300000</f>
        <v>4900000</v>
      </c>
      <c r="H32" s="242">
        <v>4561345.82</v>
      </c>
      <c r="I32" s="242">
        <v>38220.61</v>
      </c>
      <c r="J32" s="242"/>
      <c r="K32" s="242">
        <f t="shared" si="1"/>
        <v>38220.61</v>
      </c>
      <c r="L32" s="242">
        <f t="shared" si="2"/>
        <v>4599566.4300000006</v>
      </c>
      <c r="M32" s="14">
        <f t="shared" si="29"/>
        <v>300433.56999999937</v>
      </c>
      <c r="N32" s="14">
        <v>500000</v>
      </c>
      <c r="O32" s="14">
        <f t="shared" si="3"/>
        <v>0</v>
      </c>
      <c r="P32" s="14">
        <f t="shared" si="4"/>
        <v>300433.56999999937</v>
      </c>
      <c r="Q32" s="14"/>
      <c r="R32" s="14"/>
      <c r="S32" s="14">
        <f t="shared" si="5"/>
        <v>0</v>
      </c>
      <c r="T32" s="14">
        <f t="shared" si="6"/>
        <v>0</v>
      </c>
      <c r="U32" s="14">
        <f t="shared" si="7"/>
        <v>500000</v>
      </c>
      <c r="V32" s="242">
        <f t="shared" si="8"/>
        <v>500000</v>
      </c>
      <c r="W32" s="242"/>
      <c r="X32" s="242"/>
      <c r="Y32" s="242"/>
      <c r="Z32" s="242"/>
      <c r="AA32" s="242"/>
      <c r="AB32" s="242">
        <f t="shared" si="12"/>
        <v>0</v>
      </c>
      <c r="AC32" s="242"/>
      <c r="AD32" s="242"/>
      <c r="AE32" s="242">
        <f t="shared" si="13"/>
        <v>0</v>
      </c>
      <c r="AF32" s="242"/>
      <c r="AG32" s="242"/>
      <c r="AH32" s="242">
        <f t="shared" si="14"/>
        <v>0</v>
      </c>
      <c r="AI32" s="242"/>
      <c r="AJ32" s="242"/>
      <c r="AK32" s="242">
        <f t="shared" si="15"/>
        <v>0</v>
      </c>
      <c r="AL32" s="242"/>
      <c r="AM32" s="242"/>
      <c r="AN32" s="242">
        <f t="shared" si="16"/>
        <v>0</v>
      </c>
      <c r="AO32" s="242"/>
      <c r="AP32" s="242"/>
      <c r="AQ32" s="242">
        <f t="shared" si="17"/>
        <v>0</v>
      </c>
      <c r="AR32" s="242"/>
      <c r="AS32" s="242"/>
      <c r="AT32" s="242">
        <f t="shared" si="18"/>
        <v>0</v>
      </c>
      <c r="AU32" s="242"/>
      <c r="AV32" s="242"/>
      <c r="AW32" s="242">
        <f t="shared" si="19"/>
        <v>0</v>
      </c>
      <c r="AX32" s="242"/>
      <c r="AY32" s="242"/>
      <c r="AZ32" s="242">
        <f t="shared" si="20"/>
        <v>0</v>
      </c>
      <c r="BA32" s="242">
        <v>500000</v>
      </c>
      <c r="BB32" s="242"/>
      <c r="BC32" s="242">
        <f t="shared" si="21"/>
        <v>500000</v>
      </c>
      <c r="BD32" s="242"/>
      <c r="BE32" s="242"/>
      <c r="BF32" s="242">
        <f t="shared" si="22"/>
        <v>0</v>
      </c>
      <c r="BG32" s="242">
        <f t="shared" si="32"/>
        <v>500000</v>
      </c>
      <c r="BH32" s="242"/>
      <c r="BI32" s="242">
        <f t="shared" si="33"/>
        <v>500000</v>
      </c>
      <c r="BJ32" s="242">
        <f t="shared" si="25"/>
        <v>0</v>
      </c>
      <c r="BK32" s="242">
        <f t="shared" si="26"/>
        <v>500000</v>
      </c>
      <c r="BL32" s="242">
        <f t="shared" si="30"/>
        <v>0</v>
      </c>
      <c r="BM32" s="242">
        <f t="shared" si="31"/>
        <v>0</v>
      </c>
      <c r="BN32" s="242">
        <f t="shared" si="27"/>
        <v>0</v>
      </c>
      <c r="BO32" s="241"/>
      <c r="BP32" s="241"/>
      <c r="BQ32" s="242">
        <f t="shared" si="28"/>
        <v>0</v>
      </c>
      <c r="BR32" s="241"/>
      <c r="BS32" s="241"/>
      <c r="BT32" s="241">
        <v>760000</v>
      </c>
      <c r="BU32" s="244"/>
      <c r="BV32" s="244"/>
      <c r="BW32" s="244"/>
      <c r="BX32" s="244"/>
      <c r="BY32" s="244"/>
      <c r="BZ32" s="244"/>
    </row>
    <row r="33" spans="1:78" s="15" customFormat="1">
      <c r="A33" s="241">
        <f t="shared" si="11"/>
        <v>27</v>
      </c>
      <c r="B33" s="241">
        <v>1357</v>
      </c>
      <c r="C33" s="241" t="s">
        <v>69</v>
      </c>
      <c r="D33" s="14">
        <v>25000000</v>
      </c>
      <c r="E33" s="242">
        <v>25000000</v>
      </c>
      <c r="F33" s="242">
        <f t="shared" si="0"/>
        <v>0</v>
      </c>
      <c r="G33" s="242">
        <v>12720000</v>
      </c>
      <c r="H33" s="242">
        <v>12414133.140000001</v>
      </c>
      <c r="I33" s="242">
        <v>66302.81</v>
      </c>
      <c r="J33" s="242">
        <v>130814.97</v>
      </c>
      <c r="K33" s="242">
        <f t="shared" si="1"/>
        <v>197117.78</v>
      </c>
      <c r="L33" s="242">
        <f t="shared" si="2"/>
        <v>12611250.92</v>
      </c>
      <c r="M33" s="14">
        <f>P33+S33-108000</f>
        <v>749.08000000007451</v>
      </c>
      <c r="N33" s="14"/>
      <c r="O33" s="14">
        <f t="shared" si="3"/>
        <v>12388000</v>
      </c>
      <c r="P33" s="14">
        <f t="shared" si="4"/>
        <v>108749.08000000007</v>
      </c>
      <c r="Q33" s="14"/>
      <c r="R33" s="14"/>
      <c r="S33" s="14">
        <f t="shared" si="5"/>
        <v>0</v>
      </c>
      <c r="T33" s="14">
        <f t="shared" si="6"/>
        <v>108000</v>
      </c>
      <c r="U33" s="14">
        <f t="shared" si="7"/>
        <v>-108000</v>
      </c>
      <c r="V33" s="242">
        <f t="shared" si="8"/>
        <v>-108000</v>
      </c>
      <c r="W33" s="242"/>
      <c r="X33" s="242"/>
      <c r="Y33" s="241"/>
      <c r="Z33" s="242"/>
      <c r="AA33" s="242">
        <v>-108000</v>
      </c>
      <c r="AB33" s="242">
        <f t="shared" si="12"/>
        <v>-108000</v>
      </c>
      <c r="AC33" s="242"/>
      <c r="AD33" s="242"/>
      <c r="AE33" s="242">
        <f t="shared" si="13"/>
        <v>0</v>
      </c>
      <c r="AF33" s="242"/>
      <c r="AG33" s="242"/>
      <c r="AH33" s="242">
        <f t="shared" si="14"/>
        <v>0</v>
      </c>
      <c r="AI33" s="242"/>
      <c r="AJ33" s="242"/>
      <c r="AK33" s="242">
        <f t="shared" si="15"/>
        <v>0</v>
      </c>
      <c r="AL33" s="242"/>
      <c r="AM33" s="242"/>
      <c r="AN33" s="242">
        <f t="shared" si="16"/>
        <v>0</v>
      </c>
      <c r="AO33" s="242"/>
      <c r="AP33" s="242"/>
      <c r="AQ33" s="242">
        <f t="shared" si="17"/>
        <v>0</v>
      </c>
      <c r="AR33" s="242"/>
      <c r="AS33" s="242"/>
      <c r="AT33" s="242">
        <f t="shared" si="18"/>
        <v>0</v>
      </c>
      <c r="AU33" s="242"/>
      <c r="AV33" s="242"/>
      <c r="AW33" s="242">
        <f t="shared" si="19"/>
        <v>0</v>
      </c>
      <c r="AX33" s="242"/>
      <c r="AY33" s="242"/>
      <c r="AZ33" s="242">
        <f t="shared" si="20"/>
        <v>0</v>
      </c>
      <c r="BA33" s="242"/>
      <c r="BB33" s="242"/>
      <c r="BC33" s="242">
        <f t="shared" si="21"/>
        <v>0</v>
      </c>
      <c r="BD33" s="242"/>
      <c r="BE33" s="242"/>
      <c r="BF33" s="242">
        <f t="shared" si="22"/>
        <v>0</v>
      </c>
      <c r="BG33" s="242">
        <f t="shared" si="32"/>
        <v>-108000</v>
      </c>
      <c r="BH33" s="242"/>
      <c r="BI33" s="242">
        <f t="shared" si="33"/>
        <v>-108000</v>
      </c>
      <c r="BJ33" s="242">
        <f t="shared" si="25"/>
        <v>0</v>
      </c>
      <c r="BK33" s="242">
        <f t="shared" si="26"/>
        <v>-108000</v>
      </c>
      <c r="BL33" s="242">
        <f t="shared" si="30"/>
        <v>0</v>
      </c>
      <c r="BM33" s="242">
        <f t="shared" si="31"/>
        <v>0</v>
      </c>
      <c r="BN33" s="242">
        <f t="shared" si="27"/>
        <v>0</v>
      </c>
      <c r="BO33" s="241"/>
      <c r="BP33" s="241"/>
      <c r="BQ33" s="242">
        <f t="shared" si="28"/>
        <v>0</v>
      </c>
      <c r="BR33" s="241"/>
      <c r="BS33" s="241"/>
      <c r="BT33" s="241">
        <v>829000</v>
      </c>
      <c r="BU33" s="244"/>
      <c r="BV33" s="246"/>
      <c r="BW33" s="246"/>
      <c r="BX33" s="246"/>
      <c r="BY33" s="246"/>
      <c r="BZ33" s="246"/>
    </row>
    <row r="34" spans="1:78" s="15" customFormat="1">
      <c r="A34" s="241">
        <f t="shared" si="11"/>
        <v>28</v>
      </c>
      <c r="B34" s="13">
        <v>1363</v>
      </c>
      <c r="C34" s="13" t="s">
        <v>48</v>
      </c>
      <c r="D34" s="14">
        <v>14000000</v>
      </c>
      <c r="E34" s="14">
        <v>14000000</v>
      </c>
      <c r="F34" s="14">
        <f t="shared" si="0"/>
        <v>0</v>
      </c>
      <c r="G34" s="14">
        <f>1050000+5000000</f>
        <v>6050000</v>
      </c>
      <c r="H34" s="14">
        <v>432923.14</v>
      </c>
      <c r="I34" s="14">
        <v>755174</v>
      </c>
      <c r="J34" s="14"/>
      <c r="K34" s="14">
        <f t="shared" si="1"/>
        <v>755174</v>
      </c>
      <c r="L34" s="14">
        <f t="shared" si="2"/>
        <v>1188097.1400000001</v>
      </c>
      <c r="M34" s="14">
        <f>P34+S34</f>
        <v>4861902.8599999994</v>
      </c>
      <c r="N34" s="14">
        <f>3000000-500000+500000</f>
        <v>3000000</v>
      </c>
      <c r="O34" s="14">
        <f t="shared" si="3"/>
        <v>4950000</v>
      </c>
      <c r="P34" s="14">
        <f t="shared" si="4"/>
        <v>4861902.8599999994</v>
      </c>
      <c r="Q34" s="14"/>
      <c r="R34" s="14"/>
      <c r="S34" s="14">
        <f t="shared" si="5"/>
        <v>0</v>
      </c>
      <c r="T34" s="14">
        <f t="shared" si="6"/>
        <v>0</v>
      </c>
      <c r="U34" s="14">
        <f t="shared" si="7"/>
        <v>3000000</v>
      </c>
      <c r="V34" s="14">
        <f t="shared" si="8"/>
        <v>3000000</v>
      </c>
      <c r="W34" s="14"/>
      <c r="X34" s="14"/>
      <c r="Y34" s="14"/>
      <c r="Z34" s="242"/>
      <c r="AA34" s="242"/>
      <c r="AB34" s="242">
        <f t="shared" si="12"/>
        <v>0</v>
      </c>
      <c r="AC34" s="242"/>
      <c r="AD34" s="242"/>
      <c r="AE34" s="242">
        <f t="shared" si="13"/>
        <v>0</v>
      </c>
      <c r="AF34" s="242"/>
      <c r="AG34" s="242"/>
      <c r="AH34" s="242">
        <f t="shared" si="14"/>
        <v>0</v>
      </c>
      <c r="AI34" s="242"/>
      <c r="AJ34" s="242"/>
      <c r="AK34" s="242">
        <f t="shared" si="15"/>
        <v>0</v>
      </c>
      <c r="AL34" s="242"/>
      <c r="AM34" s="242"/>
      <c r="AN34" s="242">
        <f t="shared" si="16"/>
        <v>0</v>
      </c>
      <c r="AO34" s="242"/>
      <c r="AP34" s="242"/>
      <c r="AQ34" s="242">
        <f t="shared" si="17"/>
        <v>0</v>
      </c>
      <c r="AR34" s="242"/>
      <c r="AS34" s="242"/>
      <c r="AT34" s="242">
        <f t="shared" si="18"/>
        <v>0</v>
      </c>
      <c r="AU34" s="242"/>
      <c r="AV34" s="242"/>
      <c r="AW34" s="242">
        <f t="shared" si="19"/>
        <v>0</v>
      </c>
      <c r="AX34" s="242"/>
      <c r="AY34" s="242"/>
      <c r="AZ34" s="242">
        <f t="shared" si="20"/>
        <v>0</v>
      </c>
      <c r="BA34" s="242"/>
      <c r="BB34" s="242"/>
      <c r="BC34" s="242">
        <f t="shared" si="21"/>
        <v>0</v>
      </c>
      <c r="BD34" s="242"/>
      <c r="BE34" s="242"/>
      <c r="BF34" s="242">
        <f t="shared" si="22"/>
        <v>0</v>
      </c>
      <c r="BG34" s="242">
        <f t="shared" si="32"/>
        <v>0</v>
      </c>
      <c r="BH34" s="242"/>
      <c r="BI34" s="242">
        <f t="shared" si="33"/>
        <v>0</v>
      </c>
      <c r="BJ34" s="242">
        <f t="shared" si="25"/>
        <v>3000000</v>
      </c>
      <c r="BK34" s="242">
        <f t="shared" si="26"/>
        <v>0</v>
      </c>
      <c r="BL34" s="242">
        <f t="shared" si="30"/>
        <v>0</v>
      </c>
      <c r="BM34" s="242">
        <f t="shared" si="31"/>
        <v>0</v>
      </c>
      <c r="BN34" s="242">
        <f t="shared" si="27"/>
        <v>0</v>
      </c>
      <c r="BO34" s="241"/>
      <c r="BP34" s="241"/>
      <c r="BQ34" s="242">
        <f t="shared" si="28"/>
        <v>3000000</v>
      </c>
      <c r="BR34" s="241"/>
      <c r="BS34" s="241"/>
      <c r="BT34" s="13">
        <v>742000</v>
      </c>
      <c r="BV34" s="16"/>
      <c r="BW34" s="16"/>
      <c r="BX34" s="16"/>
      <c r="BY34" s="16"/>
      <c r="BZ34" s="16"/>
    </row>
    <row r="35" spans="1:78" s="15" customFormat="1">
      <c r="A35" s="241">
        <f t="shared" si="11"/>
        <v>29</v>
      </c>
      <c r="B35" s="394">
        <v>1365</v>
      </c>
      <c r="C35" s="394" t="s">
        <v>672</v>
      </c>
      <c r="D35" s="14">
        <f>550000-30000</f>
        <v>520000</v>
      </c>
      <c r="E35" s="242">
        <v>550000</v>
      </c>
      <c r="F35" s="242">
        <f t="shared" si="0"/>
        <v>-30000</v>
      </c>
      <c r="G35" s="242">
        <v>520000</v>
      </c>
      <c r="H35" s="242">
        <v>474012.55</v>
      </c>
      <c r="I35" s="242"/>
      <c r="J35" s="242">
        <v>40864.269999999997</v>
      </c>
      <c r="K35" s="242">
        <f t="shared" si="1"/>
        <v>40864.269999999997</v>
      </c>
      <c r="L35" s="242">
        <f t="shared" si="2"/>
        <v>514876.82</v>
      </c>
      <c r="M35" s="14">
        <f>P35+S35</f>
        <v>5123.179999999993</v>
      </c>
      <c r="N35" s="14"/>
      <c r="O35" s="14">
        <f t="shared" si="3"/>
        <v>0</v>
      </c>
      <c r="P35" s="14">
        <f t="shared" si="4"/>
        <v>5123.179999999993</v>
      </c>
      <c r="Q35" s="14"/>
      <c r="R35" s="14"/>
      <c r="S35" s="14">
        <f t="shared" si="5"/>
        <v>0</v>
      </c>
      <c r="T35" s="14">
        <f t="shared" si="6"/>
        <v>0</v>
      </c>
      <c r="U35" s="14">
        <f t="shared" si="7"/>
        <v>0</v>
      </c>
      <c r="V35" s="242">
        <f t="shared" si="8"/>
        <v>0</v>
      </c>
      <c r="W35" s="242"/>
      <c r="X35" s="242"/>
      <c r="Y35" s="241"/>
      <c r="Z35" s="242"/>
      <c r="AA35" s="242"/>
      <c r="AB35" s="242">
        <f t="shared" si="12"/>
        <v>0</v>
      </c>
      <c r="AC35" s="242"/>
      <c r="AD35" s="242"/>
      <c r="AE35" s="242">
        <f t="shared" si="13"/>
        <v>0</v>
      </c>
      <c r="AF35" s="242"/>
      <c r="AG35" s="242"/>
      <c r="AH35" s="242">
        <f t="shared" si="14"/>
        <v>0</v>
      </c>
      <c r="AI35" s="242"/>
      <c r="AJ35" s="242"/>
      <c r="AK35" s="242">
        <f t="shared" si="15"/>
        <v>0</v>
      </c>
      <c r="AL35" s="242"/>
      <c r="AM35" s="242"/>
      <c r="AN35" s="242">
        <f t="shared" si="16"/>
        <v>0</v>
      </c>
      <c r="AO35" s="242"/>
      <c r="AP35" s="242"/>
      <c r="AQ35" s="242">
        <f t="shared" si="17"/>
        <v>0</v>
      </c>
      <c r="AR35" s="242"/>
      <c r="AS35" s="242"/>
      <c r="AT35" s="242">
        <f t="shared" si="18"/>
        <v>0</v>
      </c>
      <c r="AU35" s="242"/>
      <c r="AV35" s="242"/>
      <c r="AW35" s="242">
        <f t="shared" si="19"/>
        <v>0</v>
      </c>
      <c r="AX35" s="242"/>
      <c r="AY35" s="242"/>
      <c r="AZ35" s="242">
        <f t="shared" si="20"/>
        <v>0</v>
      </c>
      <c r="BA35" s="242"/>
      <c r="BB35" s="242"/>
      <c r="BC35" s="242">
        <f t="shared" si="21"/>
        <v>0</v>
      </c>
      <c r="BD35" s="242"/>
      <c r="BE35" s="242"/>
      <c r="BF35" s="242">
        <f t="shared" si="22"/>
        <v>0</v>
      </c>
      <c r="BG35" s="242">
        <f t="shared" si="32"/>
        <v>0</v>
      </c>
      <c r="BH35" s="242"/>
      <c r="BI35" s="242">
        <f t="shared" si="33"/>
        <v>0</v>
      </c>
      <c r="BJ35" s="242">
        <f t="shared" si="25"/>
        <v>0</v>
      </c>
      <c r="BK35" s="242">
        <f t="shared" si="26"/>
        <v>0</v>
      </c>
      <c r="BL35" s="242">
        <f t="shared" si="30"/>
        <v>0</v>
      </c>
      <c r="BM35" s="242">
        <f t="shared" si="31"/>
        <v>0</v>
      </c>
      <c r="BN35" s="242">
        <f t="shared" si="27"/>
        <v>0</v>
      </c>
      <c r="BO35" s="241"/>
      <c r="BP35" s="241"/>
      <c r="BQ35" s="242">
        <f t="shared" si="28"/>
        <v>0</v>
      </c>
      <c r="BR35" s="241"/>
      <c r="BS35" s="241"/>
      <c r="BT35" s="241">
        <v>742000</v>
      </c>
      <c r="BU35" s="244"/>
      <c r="BV35" s="244"/>
      <c r="BW35" s="244"/>
      <c r="BX35" s="244"/>
      <c r="BY35" s="244"/>
      <c r="BZ35" s="244"/>
    </row>
    <row r="36" spans="1:78" s="244" customFormat="1">
      <c r="A36" s="241">
        <f t="shared" si="11"/>
        <v>30</v>
      </c>
      <c r="B36" s="241">
        <v>1366</v>
      </c>
      <c r="C36" s="241" t="s">
        <v>49</v>
      </c>
      <c r="D36" s="14">
        <v>1500000</v>
      </c>
      <c r="E36" s="242">
        <v>1500000</v>
      </c>
      <c r="F36" s="242">
        <f t="shared" si="0"/>
        <v>0</v>
      </c>
      <c r="G36" s="242">
        <v>1150000</v>
      </c>
      <c r="H36" s="242">
        <v>681999.52</v>
      </c>
      <c r="I36" s="242">
        <v>135655</v>
      </c>
      <c r="J36" s="242"/>
      <c r="K36" s="242">
        <f t="shared" si="1"/>
        <v>135655</v>
      </c>
      <c r="L36" s="242">
        <f t="shared" si="2"/>
        <v>817654.52</v>
      </c>
      <c r="M36" s="14">
        <f>P36+S36-200000</f>
        <v>132345.47999999998</v>
      </c>
      <c r="N36" s="14"/>
      <c r="O36" s="14">
        <f t="shared" si="3"/>
        <v>550000</v>
      </c>
      <c r="P36" s="14">
        <f t="shared" si="4"/>
        <v>332345.48</v>
      </c>
      <c r="Q36" s="14"/>
      <c r="R36" s="14"/>
      <c r="S36" s="14">
        <f t="shared" si="5"/>
        <v>0</v>
      </c>
      <c r="T36" s="14">
        <f t="shared" si="6"/>
        <v>200000</v>
      </c>
      <c r="U36" s="14">
        <f t="shared" si="7"/>
        <v>-200000</v>
      </c>
      <c r="V36" s="242">
        <f t="shared" si="8"/>
        <v>-200000</v>
      </c>
      <c r="W36" s="242"/>
      <c r="X36" s="242"/>
      <c r="Y36" s="242"/>
      <c r="Z36" s="242"/>
      <c r="AA36" s="242">
        <v>-200000</v>
      </c>
      <c r="AB36" s="242">
        <f t="shared" si="12"/>
        <v>-200000</v>
      </c>
      <c r="AC36" s="242"/>
      <c r="AD36" s="242"/>
      <c r="AE36" s="242">
        <f t="shared" si="13"/>
        <v>0</v>
      </c>
      <c r="AF36" s="242"/>
      <c r="AG36" s="242"/>
      <c r="AH36" s="242">
        <f t="shared" si="14"/>
        <v>0</v>
      </c>
      <c r="AI36" s="242"/>
      <c r="AJ36" s="242"/>
      <c r="AK36" s="242">
        <f t="shared" si="15"/>
        <v>0</v>
      </c>
      <c r="AL36" s="242"/>
      <c r="AM36" s="242"/>
      <c r="AN36" s="242">
        <f t="shared" si="16"/>
        <v>0</v>
      </c>
      <c r="AO36" s="242"/>
      <c r="AP36" s="242"/>
      <c r="AQ36" s="242">
        <f t="shared" si="17"/>
        <v>0</v>
      </c>
      <c r="AR36" s="242"/>
      <c r="AS36" s="242"/>
      <c r="AT36" s="242">
        <f t="shared" si="18"/>
        <v>0</v>
      </c>
      <c r="AU36" s="242"/>
      <c r="AV36" s="242"/>
      <c r="AW36" s="242">
        <f t="shared" si="19"/>
        <v>0</v>
      </c>
      <c r="AX36" s="242"/>
      <c r="AY36" s="242"/>
      <c r="AZ36" s="242">
        <f t="shared" si="20"/>
        <v>0</v>
      </c>
      <c r="BA36" s="242"/>
      <c r="BB36" s="242"/>
      <c r="BC36" s="242">
        <f t="shared" si="21"/>
        <v>0</v>
      </c>
      <c r="BD36" s="242"/>
      <c r="BE36" s="242"/>
      <c r="BF36" s="242">
        <f t="shared" si="22"/>
        <v>0</v>
      </c>
      <c r="BG36" s="242">
        <f t="shared" si="32"/>
        <v>-200000</v>
      </c>
      <c r="BH36" s="242"/>
      <c r="BI36" s="242">
        <f t="shared" si="33"/>
        <v>-200000</v>
      </c>
      <c r="BJ36" s="242">
        <f t="shared" si="25"/>
        <v>0</v>
      </c>
      <c r="BK36" s="242">
        <f t="shared" si="26"/>
        <v>-200000</v>
      </c>
      <c r="BL36" s="242">
        <f t="shared" si="30"/>
        <v>0</v>
      </c>
      <c r="BM36" s="242">
        <f t="shared" si="31"/>
        <v>0</v>
      </c>
      <c r="BN36" s="242">
        <f t="shared" si="27"/>
        <v>0</v>
      </c>
      <c r="BO36" s="241"/>
      <c r="BP36" s="241"/>
      <c r="BQ36" s="242">
        <f t="shared" si="28"/>
        <v>0</v>
      </c>
      <c r="BR36" s="241"/>
      <c r="BS36" s="241"/>
      <c r="BT36" s="241">
        <v>742000</v>
      </c>
    </row>
    <row r="37" spans="1:78" s="244" customFormat="1">
      <c r="A37" s="241">
        <f t="shared" si="11"/>
        <v>31</v>
      </c>
      <c r="B37" s="241">
        <v>1395</v>
      </c>
      <c r="C37" s="241" t="s">
        <v>70</v>
      </c>
      <c r="D37" s="14">
        <f>4000000-2239000</f>
        <v>1761000</v>
      </c>
      <c r="E37" s="242">
        <v>4000000</v>
      </c>
      <c r="F37" s="242">
        <f t="shared" si="0"/>
        <v>-2239000</v>
      </c>
      <c r="G37" s="242">
        <v>2170000</v>
      </c>
      <c r="H37" s="242">
        <v>1631124.76</v>
      </c>
      <c r="I37" s="242">
        <v>29805.3</v>
      </c>
      <c r="J37" s="242"/>
      <c r="K37" s="242">
        <f t="shared" si="1"/>
        <v>29805.3</v>
      </c>
      <c r="L37" s="242">
        <f t="shared" si="2"/>
        <v>1660930.06</v>
      </c>
      <c r="M37" s="14">
        <f>P37+S37-409000</f>
        <v>100069.93999999994</v>
      </c>
      <c r="N37" s="14"/>
      <c r="O37" s="14">
        <f t="shared" si="3"/>
        <v>0</v>
      </c>
      <c r="P37" s="14">
        <f t="shared" si="4"/>
        <v>509069.93999999994</v>
      </c>
      <c r="Q37" s="14"/>
      <c r="R37" s="14"/>
      <c r="S37" s="14">
        <f t="shared" si="5"/>
        <v>0</v>
      </c>
      <c r="T37" s="14">
        <f t="shared" si="6"/>
        <v>409000</v>
      </c>
      <c r="U37" s="14">
        <f t="shared" si="7"/>
        <v>-409000</v>
      </c>
      <c r="V37" s="242">
        <f t="shared" si="8"/>
        <v>-409000</v>
      </c>
      <c r="W37" s="242"/>
      <c r="X37" s="242"/>
      <c r="Y37" s="241"/>
      <c r="Z37" s="242">
        <v>-409000</v>
      </c>
      <c r="AA37" s="242"/>
      <c r="AB37" s="242">
        <f t="shared" si="12"/>
        <v>-409000</v>
      </c>
      <c r="AC37" s="242"/>
      <c r="AD37" s="242"/>
      <c r="AE37" s="242">
        <f t="shared" si="13"/>
        <v>0</v>
      </c>
      <c r="AF37" s="242"/>
      <c r="AG37" s="242"/>
      <c r="AH37" s="242">
        <f t="shared" si="14"/>
        <v>0</v>
      </c>
      <c r="AI37" s="242"/>
      <c r="AJ37" s="242"/>
      <c r="AK37" s="242">
        <f t="shared" si="15"/>
        <v>0</v>
      </c>
      <c r="AL37" s="242"/>
      <c r="AM37" s="242"/>
      <c r="AN37" s="242">
        <f t="shared" si="16"/>
        <v>0</v>
      </c>
      <c r="AO37" s="242"/>
      <c r="AP37" s="242"/>
      <c r="AQ37" s="242">
        <f t="shared" si="17"/>
        <v>0</v>
      </c>
      <c r="AR37" s="242"/>
      <c r="AS37" s="242"/>
      <c r="AT37" s="242">
        <f t="shared" si="18"/>
        <v>0</v>
      </c>
      <c r="AU37" s="242"/>
      <c r="AV37" s="242"/>
      <c r="AW37" s="242">
        <f t="shared" si="19"/>
        <v>0</v>
      </c>
      <c r="AX37" s="242"/>
      <c r="AY37" s="242"/>
      <c r="AZ37" s="242">
        <f t="shared" si="20"/>
        <v>0</v>
      </c>
      <c r="BA37" s="242"/>
      <c r="BB37" s="242"/>
      <c r="BC37" s="242">
        <f t="shared" si="21"/>
        <v>0</v>
      </c>
      <c r="BD37" s="242"/>
      <c r="BE37" s="242"/>
      <c r="BF37" s="242">
        <f t="shared" si="22"/>
        <v>0</v>
      </c>
      <c r="BG37" s="242">
        <f t="shared" si="32"/>
        <v>-409000</v>
      </c>
      <c r="BH37" s="242"/>
      <c r="BI37" s="242">
        <f t="shared" si="33"/>
        <v>-409000</v>
      </c>
      <c r="BJ37" s="242">
        <f t="shared" si="25"/>
        <v>0</v>
      </c>
      <c r="BK37" s="242">
        <f t="shared" si="26"/>
        <v>-409000</v>
      </c>
      <c r="BL37" s="242">
        <f t="shared" si="30"/>
        <v>0</v>
      </c>
      <c r="BM37" s="242">
        <f t="shared" si="31"/>
        <v>0</v>
      </c>
      <c r="BN37" s="242">
        <f t="shared" si="27"/>
        <v>0</v>
      </c>
      <c r="BO37" s="241"/>
      <c r="BP37" s="241"/>
      <c r="BQ37" s="242">
        <f t="shared" si="28"/>
        <v>0</v>
      </c>
      <c r="BR37" s="241"/>
      <c r="BS37" s="241"/>
      <c r="BT37" s="241">
        <v>731000</v>
      </c>
    </row>
    <row r="38" spans="1:78" s="244" customFormat="1">
      <c r="A38" s="241">
        <f t="shared" si="11"/>
        <v>32</v>
      </c>
      <c r="B38" s="394">
        <v>1451</v>
      </c>
      <c r="C38" s="394" t="s">
        <v>673</v>
      </c>
      <c r="D38" s="14">
        <f>100000</f>
        <v>100000</v>
      </c>
      <c r="E38" s="242">
        <v>100000</v>
      </c>
      <c r="F38" s="242">
        <f t="shared" si="0"/>
        <v>0</v>
      </c>
      <c r="G38" s="242">
        <v>100000</v>
      </c>
      <c r="H38" s="242">
        <v>14589.04</v>
      </c>
      <c r="I38" s="242"/>
      <c r="J38" s="242">
        <v>59999.839999999997</v>
      </c>
      <c r="K38" s="242">
        <f t="shared" si="1"/>
        <v>59999.839999999997</v>
      </c>
      <c r="L38" s="242">
        <f t="shared" si="2"/>
        <v>74588.88</v>
      </c>
      <c r="M38" s="14">
        <f>P38+S38-25000</f>
        <v>411.11999999999534</v>
      </c>
      <c r="N38" s="14"/>
      <c r="O38" s="14">
        <f t="shared" si="3"/>
        <v>25000</v>
      </c>
      <c r="P38" s="14">
        <f t="shared" si="4"/>
        <v>25411.119999999995</v>
      </c>
      <c r="Q38" s="14"/>
      <c r="R38" s="14"/>
      <c r="S38" s="14">
        <f t="shared" si="5"/>
        <v>0</v>
      </c>
      <c r="T38" s="14">
        <f t="shared" si="6"/>
        <v>25000</v>
      </c>
      <c r="U38" s="14">
        <f t="shared" si="7"/>
        <v>-25000</v>
      </c>
      <c r="V38" s="242">
        <f t="shared" si="8"/>
        <v>-25000</v>
      </c>
      <c r="W38" s="242"/>
      <c r="X38" s="242"/>
      <c r="Y38" s="241"/>
      <c r="Z38" s="242"/>
      <c r="AA38" s="242"/>
      <c r="AB38" s="242">
        <f t="shared" si="12"/>
        <v>0</v>
      </c>
      <c r="AC38" s="242"/>
      <c r="AD38" s="242"/>
      <c r="AE38" s="242">
        <f t="shared" si="13"/>
        <v>0</v>
      </c>
      <c r="AF38" s="242"/>
      <c r="AG38" s="242"/>
      <c r="AH38" s="242">
        <f t="shared" si="14"/>
        <v>0</v>
      </c>
      <c r="AI38" s="242"/>
      <c r="AJ38" s="242"/>
      <c r="AK38" s="242">
        <f t="shared" si="15"/>
        <v>0</v>
      </c>
      <c r="AL38" s="242"/>
      <c r="AM38" s="242"/>
      <c r="AN38" s="242">
        <f t="shared" si="16"/>
        <v>0</v>
      </c>
      <c r="AO38" s="242"/>
      <c r="AP38" s="242"/>
      <c r="AQ38" s="242">
        <f t="shared" si="17"/>
        <v>0</v>
      </c>
      <c r="AR38" s="242"/>
      <c r="AS38" s="242"/>
      <c r="AT38" s="242">
        <f t="shared" si="18"/>
        <v>0</v>
      </c>
      <c r="AU38" s="242"/>
      <c r="AV38" s="242"/>
      <c r="AW38" s="242">
        <f t="shared" si="19"/>
        <v>0</v>
      </c>
      <c r="AX38" s="242"/>
      <c r="AY38" s="242"/>
      <c r="AZ38" s="242">
        <f t="shared" si="20"/>
        <v>0</v>
      </c>
      <c r="BA38" s="242"/>
      <c r="BB38" s="242"/>
      <c r="BC38" s="242">
        <f t="shared" si="21"/>
        <v>0</v>
      </c>
      <c r="BD38" s="242"/>
      <c r="BE38" s="242"/>
      <c r="BF38" s="242">
        <f t="shared" si="22"/>
        <v>0</v>
      </c>
      <c r="BG38" s="242">
        <f t="shared" si="32"/>
        <v>0</v>
      </c>
      <c r="BH38" s="242"/>
      <c r="BI38" s="242">
        <f t="shared" si="33"/>
        <v>0</v>
      </c>
      <c r="BJ38" s="242">
        <f t="shared" si="25"/>
        <v>-25000</v>
      </c>
      <c r="BK38" s="242">
        <f t="shared" si="26"/>
        <v>0</v>
      </c>
      <c r="BL38" s="242">
        <f t="shared" si="30"/>
        <v>0</v>
      </c>
      <c r="BM38" s="242">
        <f t="shared" si="31"/>
        <v>0</v>
      </c>
      <c r="BN38" s="242">
        <f t="shared" si="27"/>
        <v>0</v>
      </c>
      <c r="BO38" s="241"/>
      <c r="BP38" s="241"/>
      <c r="BQ38" s="242">
        <f t="shared" si="28"/>
        <v>-25000</v>
      </c>
      <c r="BR38" s="241"/>
      <c r="BS38" s="241"/>
      <c r="BT38" s="241">
        <v>823000</v>
      </c>
    </row>
    <row r="39" spans="1:78" s="246" customFormat="1">
      <c r="A39" s="241">
        <f t="shared" si="11"/>
        <v>33</v>
      </c>
      <c r="B39" s="241">
        <v>1457</v>
      </c>
      <c r="C39" s="241" t="s">
        <v>674</v>
      </c>
      <c r="D39" s="14">
        <v>1100000</v>
      </c>
      <c r="E39" s="242">
        <v>1100000</v>
      </c>
      <c r="F39" s="242">
        <f t="shared" si="0"/>
        <v>0</v>
      </c>
      <c r="G39" s="242">
        <v>430000</v>
      </c>
      <c r="H39" s="242">
        <v>137719.09</v>
      </c>
      <c r="I39" s="242">
        <v>34718.01</v>
      </c>
      <c r="J39" s="242"/>
      <c r="K39" s="242">
        <f t="shared" ref="K39:K67" si="34">SUM(I39:J39)</f>
        <v>34718.01</v>
      </c>
      <c r="L39" s="242">
        <f t="shared" si="2"/>
        <v>172437.1</v>
      </c>
      <c r="M39" s="14">
        <f>P39+S39-200000</f>
        <v>57562.899999999994</v>
      </c>
      <c r="N39" s="14">
        <v>500000</v>
      </c>
      <c r="O39" s="14">
        <f t="shared" si="3"/>
        <v>370000</v>
      </c>
      <c r="P39" s="14">
        <f t="shared" si="4"/>
        <v>257562.9</v>
      </c>
      <c r="Q39" s="14"/>
      <c r="R39" s="14"/>
      <c r="S39" s="14">
        <f t="shared" si="5"/>
        <v>0</v>
      </c>
      <c r="T39" s="14">
        <f t="shared" si="6"/>
        <v>200000</v>
      </c>
      <c r="U39" s="14">
        <f t="shared" si="7"/>
        <v>300000</v>
      </c>
      <c r="V39" s="242">
        <f t="shared" si="8"/>
        <v>-200000</v>
      </c>
      <c r="W39" s="242"/>
      <c r="X39" s="242"/>
      <c r="Y39" s="242">
        <v>500000</v>
      </c>
      <c r="Z39" s="242"/>
      <c r="AA39" s="242"/>
      <c r="AB39" s="242">
        <f t="shared" si="12"/>
        <v>0</v>
      </c>
      <c r="AC39" s="242"/>
      <c r="AD39" s="242"/>
      <c r="AE39" s="242">
        <f t="shared" si="13"/>
        <v>0</v>
      </c>
      <c r="AF39" s="242"/>
      <c r="AG39" s="242"/>
      <c r="AH39" s="242">
        <f t="shared" si="14"/>
        <v>0</v>
      </c>
      <c r="AI39" s="242"/>
      <c r="AJ39" s="242"/>
      <c r="AK39" s="242">
        <f t="shared" si="15"/>
        <v>0</v>
      </c>
      <c r="AL39" s="242"/>
      <c r="AM39" s="242"/>
      <c r="AN39" s="242">
        <f t="shared" si="16"/>
        <v>0</v>
      </c>
      <c r="AO39" s="242"/>
      <c r="AP39" s="242"/>
      <c r="AQ39" s="242">
        <f t="shared" si="17"/>
        <v>0</v>
      </c>
      <c r="AR39" s="242"/>
      <c r="AS39" s="242"/>
      <c r="AT39" s="242">
        <f t="shared" si="18"/>
        <v>0</v>
      </c>
      <c r="AU39" s="242"/>
      <c r="AV39" s="242"/>
      <c r="AW39" s="242">
        <f t="shared" si="19"/>
        <v>0</v>
      </c>
      <c r="AX39" s="242"/>
      <c r="AY39" s="242"/>
      <c r="AZ39" s="242">
        <f t="shared" si="20"/>
        <v>0</v>
      </c>
      <c r="BA39" s="242"/>
      <c r="BB39" s="242"/>
      <c r="BC39" s="242">
        <f t="shared" si="21"/>
        <v>0</v>
      </c>
      <c r="BD39" s="242"/>
      <c r="BE39" s="242"/>
      <c r="BF39" s="242">
        <f t="shared" si="22"/>
        <v>0</v>
      </c>
      <c r="BG39" s="242">
        <f t="shared" si="32"/>
        <v>0</v>
      </c>
      <c r="BH39" s="242"/>
      <c r="BI39" s="242">
        <f t="shared" si="33"/>
        <v>0</v>
      </c>
      <c r="BJ39" s="242">
        <f t="shared" si="25"/>
        <v>300000</v>
      </c>
      <c r="BK39" s="242">
        <f t="shared" si="26"/>
        <v>0</v>
      </c>
      <c r="BL39" s="242">
        <f t="shared" si="30"/>
        <v>0</v>
      </c>
      <c r="BM39" s="242">
        <f t="shared" si="31"/>
        <v>0</v>
      </c>
      <c r="BN39" s="242">
        <f t="shared" si="27"/>
        <v>0</v>
      </c>
      <c r="BO39" s="241"/>
      <c r="BP39" s="241"/>
      <c r="BQ39" s="242">
        <f t="shared" si="28"/>
        <v>-200000</v>
      </c>
      <c r="BR39" s="241"/>
      <c r="BS39" s="242">
        <v>500000</v>
      </c>
      <c r="BT39" s="241">
        <v>742000</v>
      </c>
      <c r="BU39" s="244"/>
      <c r="BV39" s="244"/>
      <c r="BW39" s="244"/>
      <c r="BX39" s="244"/>
      <c r="BY39" s="244"/>
      <c r="BZ39" s="244"/>
    </row>
    <row r="40" spans="1:78" s="244" customFormat="1">
      <c r="A40" s="241">
        <f t="shared" si="11"/>
        <v>34</v>
      </c>
      <c r="B40" s="394">
        <v>1503</v>
      </c>
      <c r="C40" s="394" t="s">
        <v>1169</v>
      </c>
      <c r="D40" s="14">
        <v>2000000</v>
      </c>
      <c r="E40" s="242">
        <v>2000000</v>
      </c>
      <c r="F40" s="242">
        <f t="shared" si="0"/>
        <v>0</v>
      </c>
      <c r="G40" s="242">
        <v>180000</v>
      </c>
      <c r="H40" s="242">
        <v>94507.23</v>
      </c>
      <c r="I40" s="242">
        <v>15734.55</v>
      </c>
      <c r="J40" s="242"/>
      <c r="K40" s="242">
        <f t="shared" si="34"/>
        <v>15734.55</v>
      </c>
      <c r="L40" s="242">
        <f t="shared" si="2"/>
        <v>110241.78</v>
      </c>
      <c r="M40" s="14">
        <f t="shared" ref="M40:M59" si="35">P40+S40</f>
        <v>69758.22</v>
      </c>
      <c r="N40" s="14"/>
      <c r="O40" s="14">
        <f t="shared" si="3"/>
        <v>1820000</v>
      </c>
      <c r="P40" s="14">
        <f t="shared" si="4"/>
        <v>69758.22</v>
      </c>
      <c r="Q40" s="14"/>
      <c r="R40" s="14"/>
      <c r="S40" s="14">
        <f t="shared" si="5"/>
        <v>0</v>
      </c>
      <c r="T40" s="14">
        <f t="shared" si="6"/>
        <v>0</v>
      </c>
      <c r="U40" s="14">
        <f t="shared" si="7"/>
        <v>0</v>
      </c>
      <c r="V40" s="242">
        <f t="shared" si="8"/>
        <v>0</v>
      </c>
      <c r="W40" s="242"/>
      <c r="X40" s="242"/>
      <c r="Y40" s="241"/>
      <c r="Z40" s="242"/>
      <c r="AA40" s="242"/>
      <c r="AB40" s="242">
        <f t="shared" si="12"/>
        <v>0</v>
      </c>
      <c r="AC40" s="242"/>
      <c r="AD40" s="242"/>
      <c r="AE40" s="242">
        <f t="shared" si="13"/>
        <v>0</v>
      </c>
      <c r="AF40" s="242"/>
      <c r="AG40" s="242"/>
      <c r="AH40" s="242">
        <f t="shared" si="14"/>
        <v>0</v>
      </c>
      <c r="AI40" s="242"/>
      <c r="AJ40" s="242"/>
      <c r="AK40" s="242">
        <f t="shared" si="15"/>
        <v>0</v>
      </c>
      <c r="AL40" s="242"/>
      <c r="AM40" s="242"/>
      <c r="AN40" s="242">
        <f t="shared" si="16"/>
        <v>0</v>
      </c>
      <c r="AO40" s="242"/>
      <c r="AP40" s="242"/>
      <c r="AQ40" s="242">
        <f t="shared" si="17"/>
        <v>0</v>
      </c>
      <c r="AR40" s="242"/>
      <c r="AS40" s="242"/>
      <c r="AT40" s="242">
        <f t="shared" si="18"/>
        <v>0</v>
      </c>
      <c r="AU40" s="242"/>
      <c r="AV40" s="242"/>
      <c r="AW40" s="242">
        <f t="shared" si="19"/>
        <v>0</v>
      </c>
      <c r="AX40" s="242"/>
      <c r="AY40" s="242"/>
      <c r="AZ40" s="242">
        <f t="shared" si="20"/>
        <v>0</v>
      </c>
      <c r="BA40" s="242"/>
      <c r="BB40" s="242"/>
      <c r="BC40" s="242">
        <f t="shared" si="21"/>
        <v>0</v>
      </c>
      <c r="BD40" s="242"/>
      <c r="BE40" s="242"/>
      <c r="BF40" s="242">
        <f t="shared" si="22"/>
        <v>0</v>
      </c>
      <c r="BG40" s="242">
        <f t="shared" si="32"/>
        <v>0</v>
      </c>
      <c r="BH40" s="242"/>
      <c r="BI40" s="242">
        <f t="shared" si="33"/>
        <v>0</v>
      </c>
      <c r="BJ40" s="242">
        <f t="shared" si="25"/>
        <v>0</v>
      </c>
      <c r="BK40" s="242">
        <f t="shared" si="26"/>
        <v>0</v>
      </c>
      <c r="BL40" s="242">
        <f t="shared" si="30"/>
        <v>0</v>
      </c>
      <c r="BM40" s="242">
        <f t="shared" si="31"/>
        <v>0</v>
      </c>
      <c r="BN40" s="242">
        <f t="shared" si="27"/>
        <v>0</v>
      </c>
      <c r="BO40" s="241"/>
      <c r="BP40" s="241"/>
      <c r="BQ40" s="242">
        <f t="shared" si="28"/>
        <v>0</v>
      </c>
      <c r="BR40" s="241"/>
      <c r="BS40" s="241"/>
      <c r="BT40" s="241">
        <v>742000</v>
      </c>
    </row>
    <row r="41" spans="1:78" s="246" customFormat="1" ht="15.75">
      <c r="A41" s="241">
        <f t="shared" si="11"/>
        <v>35</v>
      </c>
      <c r="B41" s="241">
        <v>1511</v>
      </c>
      <c r="C41" s="381" t="s">
        <v>51</v>
      </c>
      <c r="D41" s="14">
        <v>960000</v>
      </c>
      <c r="E41" s="242">
        <v>960000</v>
      </c>
      <c r="F41" s="242">
        <f t="shared" si="0"/>
        <v>0</v>
      </c>
      <c r="G41" s="242">
        <v>100000</v>
      </c>
      <c r="H41" s="242">
        <v>17284</v>
      </c>
      <c r="I41" s="242">
        <v>4321</v>
      </c>
      <c r="J41" s="242"/>
      <c r="K41" s="242">
        <f t="shared" si="34"/>
        <v>4321</v>
      </c>
      <c r="L41" s="242">
        <f t="shared" si="2"/>
        <v>21605</v>
      </c>
      <c r="M41" s="14">
        <f t="shared" si="35"/>
        <v>78395</v>
      </c>
      <c r="N41" s="14"/>
      <c r="O41" s="14">
        <f t="shared" si="3"/>
        <v>860000</v>
      </c>
      <c r="P41" s="14">
        <f t="shared" si="4"/>
        <v>78395</v>
      </c>
      <c r="Q41" s="14"/>
      <c r="R41" s="14"/>
      <c r="S41" s="14">
        <f t="shared" si="5"/>
        <v>0</v>
      </c>
      <c r="T41" s="14">
        <f t="shared" si="6"/>
        <v>0</v>
      </c>
      <c r="U41" s="14">
        <f t="shared" si="7"/>
        <v>0</v>
      </c>
      <c r="V41" s="242">
        <f t="shared" si="8"/>
        <v>0</v>
      </c>
      <c r="W41" s="242"/>
      <c r="X41" s="242"/>
      <c r="Y41" s="242"/>
      <c r="Z41" s="242"/>
      <c r="AA41" s="242"/>
      <c r="AB41" s="242">
        <f t="shared" si="12"/>
        <v>0</v>
      </c>
      <c r="AC41" s="242"/>
      <c r="AD41" s="242"/>
      <c r="AE41" s="242">
        <f t="shared" si="13"/>
        <v>0</v>
      </c>
      <c r="AF41" s="242"/>
      <c r="AG41" s="242"/>
      <c r="AH41" s="242">
        <f t="shared" si="14"/>
        <v>0</v>
      </c>
      <c r="AI41" s="242"/>
      <c r="AJ41" s="242"/>
      <c r="AK41" s="242">
        <f t="shared" si="15"/>
        <v>0</v>
      </c>
      <c r="AL41" s="242"/>
      <c r="AM41" s="242"/>
      <c r="AN41" s="242">
        <f t="shared" si="16"/>
        <v>0</v>
      </c>
      <c r="AO41" s="242"/>
      <c r="AP41" s="242"/>
      <c r="AQ41" s="242">
        <f t="shared" si="17"/>
        <v>0</v>
      </c>
      <c r="AR41" s="242"/>
      <c r="AS41" s="242"/>
      <c r="AT41" s="242">
        <f t="shared" si="18"/>
        <v>0</v>
      </c>
      <c r="AU41" s="242"/>
      <c r="AV41" s="242"/>
      <c r="AW41" s="242">
        <f t="shared" si="19"/>
        <v>0</v>
      </c>
      <c r="AX41" s="242"/>
      <c r="AY41" s="242"/>
      <c r="AZ41" s="242">
        <f t="shared" si="20"/>
        <v>0</v>
      </c>
      <c r="BA41" s="242"/>
      <c r="BB41" s="242"/>
      <c r="BC41" s="242">
        <f t="shared" si="21"/>
        <v>0</v>
      </c>
      <c r="BD41" s="242"/>
      <c r="BE41" s="242"/>
      <c r="BF41" s="242">
        <f t="shared" si="22"/>
        <v>0</v>
      </c>
      <c r="BG41" s="242">
        <f t="shared" si="32"/>
        <v>0</v>
      </c>
      <c r="BH41" s="242"/>
      <c r="BI41" s="242">
        <f t="shared" si="33"/>
        <v>0</v>
      </c>
      <c r="BJ41" s="242">
        <f t="shared" si="25"/>
        <v>0</v>
      </c>
      <c r="BK41" s="242">
        <f t="shared" si="26"/>
        <v>0</v>
      </c>
      <c r="BL41" s="242">
        <f t="shared" si="30"/>
        <v>0</v>
      </c>
      <c r="BM41" s="242">
        <f t="shared" si="31"/>
        <v>0</v>
      </c>
      <c r="BN41" s="242">
        <f t="shared" si="27"/>
        <v>0</v>
      </c>
      <c r="BO41" s="241"/>
      <c r="BP41" s="241"/>
      <c r="BQ41" s="242">
        <f t="shared" si="28"/>
        <v>0</v>
      </c>
      <c r="BR41" s="241"/>
      <c r="BS41" s="241"/>
      <c r="BT41" s="241">
        <v>742000</v>
      </c>
      <c r="BU41" s="244"/>
      <c r="BV41" s="244"/>
      <c r="BW41" s="244"/>
      <c r="BX41" s="244"/>
      <c r="BY41" s="244"/>
      <c r="BZ41" s="244"/>
    </row>
    <row r="42" spans="1:78" s="246" customFormat="1">
      <c r="A42" s="241">
        <f t="shared" si="11"/>
        <v>36</v>
      </c>
      <c r="B42" s="241">
        <v>1529</v>
      </c>
      <c r="C42" s="241" t="s">
        <v>71</v>
      </c>
      <c r="D42" s="14">
        <f>200000+150000</f>
        <v>350000</v>
      </c>
      <c r="E42" s="242">
        <v>200000</v>
      </c>
      <c r="F42" s="242">
        <f t="shared" si="0"/>
        <v>150000</v>
      </c>
      <c r="G42" s="242">
        <v>200000</v>
      </c>
      <c r="H42" s="242">
        <v>110179.55</v>
      </c>
      <c r="I42" s="242"/>
      <c r="J42" s="242"/>
      <c r="K42" s="242">
        <f t="shared" si="34"/>
        <v>0</v>
      </c>
      <c r="L42" s="242">
        <f t="shared" si="2"/>
        <v>110179.55</v>
      </c>
      <c r="M42" s="14">
        <f t="shared" si="35"/>
        <v>89820.45</v>
      </c>
      <c r="N42" s="14">
        <v>150000</v>
      </c>
      <c r="O42" s="14">
        <f t="shared" si="3"/>
        <v>0</v>
      </c>
      <c r="P42" s="14">
        <f t="shared" si="4"/>
        <v>89820.45</v>
      </c>
      <c r="Q42" s="14"/>
      <c r="R42" s="14"/>
      <c r="S42" s="14">
        <f t="shared" si="5"/>
        <v>0</v>
      </c>
      <c r="T42" s="14">
        <f t="shared" si="6"/>
        <v>0</v>
      </c>
      <c r="U42" s="14">
        <f t="shared" si="7"/>
        <v>150000</v>
      </c>
      <c r="V42" s="242">
        <f t="shared" si="8"/>
        <v>150000</v>
      </c>
      <c r="W42" s="242"/>
      <c r="X42" s="242"/>
      <c r="Y42" s="242"/>
      <c r="Z42" s="242"/>
      <c r="AA42" s="242"/>
      <c r="AB42" s="242">
        <f t="shared" si="12"/>
        <v>0</v>
      </c>
      <c r="AC42" s="242"/>
      <c r="AD42" s="242"/>
      <c r="AE42" s="242">
        <f t="shared" si="13"/>
        <v>0</v>
      </c>
      <c r="AF42" s="242"/>
      <c r="AG42" s="242"/>
      <c r="AH42" s="242">
        <f t="shared" si="14"/>
        <v>0</v>
      </c>
      <c r="AI42" s="242"/>
      <c r="AJ42" s="242"/>
      <c r="AK42" s="242">
        <f t="shared" si="15"/>
        <v>0</v>
      </c>
      <c r="AL42" s="242"/>
      <c r="AM42" s="242"/>
      <c r="AN42" s="242">
        <f t="shared" si="16"/>
        <v>0</v>
      </c>
      <c r="AO42" s="242"/>
      <c r="AP42" s="242"/>
      <c r="AQ42" s="242">
        <f t="shared" si="17"/>
        <v>0</v>
      </c>
      <c r="AR42" s="242"/>
      <c r="AS42" s="242"/>
      <c r="AT42" s="242">
        <f t="shared" si="18"/>
        <v>0</v>
      </c>
      <c r="AU42" s="242"/>
      <c r="AV42" s="242"/>
      <c r="AW42" s="242">
        <f t="shared" si="19"/>
        <v>0</v>
      </c>
      <c r="AX42" s="242"/>
      <c r="AY42" s="242"/>
      <c r="AZ42" s="242">
        <f t="shared" si="20"/>
        <v>0</v>
      </c>
      <c r="BA42" s="242"/>
      <c r="BB42" s="242"/>
      <c r="BC42" s="242">
        <f t="shared" si="21"/>
        <v>0</v>
      </c>
      <c r="BD42" s="242"/>
      <c r="BE42" s="242"/>
      <c r="BF42" s="242">
        <f t="shared" si="22"/>
        <v>0</v>
      </c>
      <c r="BG42" s="242">
        <f t="shared" si="32"/>
        <v>0</v>
      </c>
      <c r="BH42" s="242"/>
      <c r="BI42" s="242">
        <f t="shared" si="33"/>
        <v>0</v>
      </c>
      <c r="BJ42" s="242">
        <f t="shared" si="25"/>
        <v>150000</v>
      </c>
      <c r="BK42" s="242">
        <f t="shared" si="26"/>
        <v>0</v>
      </c>
      <c r="BL42" s="242">
        <f t="shared" si="30"/>
        <v>0</v>
      </c>
      <c r="BM42" s="242">
        <f t="shared" si="31"/>
        <v>0</v>
      </c>
      <c r="BN42" s="242">
        <f t="shared" si="27"/>
        <v>0</v>
      </c>
      <c r="BO42" s="241"/>
      <c r="BP42" s="241"/>
      <c r="BQ42" s="242">
        <f t="shared" si="28"/>
        <v>150000</v>
      </c>
      <c r="BR42" s="241"/>
      <c r="BS42" s="241"/>
      <c r="BT42" s="241">
        <v>760000</v>
      </c>
      <c r="BU42" s="244"/>
      <c r="BV42" s="244"/>
      <c r="BW42" s="244"/>
      <c r="BX42" s="244"/>
      <c r="BY42" s="244"/>
      <c r="BZ42" s="244"/>
    </row>
    <row r="43" spans="1:78" s="16" customFormat="1">
      <c r="A43" s="241">
        <f t="shared" si="11"/>
        <v>37</v>
      </c>
      <c r="B43" s="241">
        <v>1568</v>
      </c>
      <c r="C43" s="241" t="s">
        <v>72</v>
      </c>
      <c r="D43" s="14">
        <f>42000000+4375301</f>
        <v>46375301</v>
      </c>
      <c r="E43" s="242">
        <v>42000000</v>
      </c>
      <c r="F43" s="242">
        <f t="shared" si="0"/>
        <v>4375301</v>
      </c>
      <c r="G43" s="242">
        <v>37875301</v>
      </c>
      <c r="H43" s="242">
        <v>27704340.309999999</v>
      </c>
      <c r="I43" s="242">
        <v>123401.89</v>
      </c>
      <c r="J43" s="242">
        <v>843454.24</v>
      </c>
      <c r="K43" s="242">
        <f t="shared" si="34"/>
        <v>966856.13</v>
      </c>
      <c r="L43" s="242">
        <f t="shared" si="2"/>
        <v>28671196.439999998</v>
      </c>
      <c r="M43" s="14">
        <f>P43+S43-9000000</f>
        <v>204104.56000000238</v>
      </c>
      <c r="N43" s="14">
        <f>5000000-5000000</f>
        <v>0</v>
      </c>
      <c r="O43" s="14">
        <f t="shared" si="3"/>
        <v>17500000</v>
      </c>
      <c r="P43" s="14">
        <f t="shared" si="4"/>
        <v>9204104.5600000024</v>
      </c>
      <c r="Q43" s="14"/>
      <c r="R43" s="14"/>
      <c r="S43" s="14">
        <f t="shared" si="5"/>
        <v>0</v>
      </c>
      <c r="T43" s="14">
        <f t="shared" si="6"/>
        <v>9000000</v>
      </c>
      <c r="U43" s="14">
        <f t="shared" si="7"/>
        <v>-9000000</v>
      </c>
      <c r="V43" s="242">
        <f t="shared" si="8"/>
        <v>-9000000</v>
      </c>
      <c r="W43" s="242"/>
      <c r="X43" s="242"/>
      <c r="Y43" s="242"/>
      <c r="Z43" s="242">
        <v>-9000000</v>
      </c>
      <c r="AA43" s="242"/>
      <c r="AB43" s="242">
        <f t="shared" si="12"/>
        <v>-9000000</v>
      </c>
      <c r="AC43" s="242"/>
      <c r="AD43" s="242"/>
      <c r="AE43" s="242">
        <f t="shared" si="13"/>
        <v>0</v>
      </c>
      <c r="AF43" s="242"/>
      <c r="AG43" s="242"/>
      <c r="AH43" s="242">
        <f t="shared" si="14"/>
        <v>0</v>
      </c>
      <c r="AI43" s="242"/>
      <c r="AJ43" s="242"/>
      <c r="AK43" s="242">
        <f t="shared" si="15"/>
        <v>0</v>
      </c>
      <c r="AL43" s="242"/>
      <c r="AM43" s="242"/>
      <c r="AN43" s="242">
        <f t="shared" si="16"/>
        <v>0</v>
      </c>
      <c r="AO43" s="242"/>
      <c r="AP43" s="242"/>
      <c r="AQ43" s="242">
        <f t="shared" si="17"/>
        <v>0</v>
      </c>
      <c r="AR43" s="242"/>
      <c r="AS43" s="242"/>
      <c r="AT43" s="242">
        <f t="shared" si="18"/>
        <v>0</v>
      </c>
      <c r="AU43" s="242"/>
      <c r="AV43" s="242"/>
      <c r="AW43" s="242">
        <f t="shared" si="19"/>
        <v>0</v>
      </c>
      <c r="AX43" s="242"/>
      <c r="AY43" s="242"/>
      <c r="AZ43" s="242">
        <f t="shared" si="20"/>
        <v>0</v>
      </c>
      <c r="BA43" s="242"/>
      <c r="BB43" s="242"/>
      <c r="BC43" s="242">
        <f t="shared" si="21"/>
        <v>0</v>
      </c>
      <c r="BD43" s="242"/>
      <c r="BE43" s="242"/>
      <c r="BF43" s="242">
        <f t="shared" si="22"/>
        <v>0</v>
      </c>
      <c r="BG43" s="242">
        <f t="shared" si="32"/>
        <v>-9000000</v>
      </c>
      <c r="BH43" s="242"/>
      <c r="BI43" s="242">
        <f t="shared" si="33"/>
        <v>-9000000</v>
      </c>
      <c r="BJ43" s="242">
        <f t="shared" si="25"/>
        <v>0</v>
      </c>
      <c r="BK43" s="242">
        <f t="shared" si="26"/>
        <v>-9000000</v>
      </c>
      <c r="BL43" s="242">
        <f t="shared" si="30"/>
        <v>0</v>
      </c>
      <c r="BM43" s="242">
        <f t="shared" si="31"/>
        <v>0</v>
      </c>
      <c r="BN43" s="242">
        <f t="shared" si="27"/>
        <v>0</v>
      </c>
      <c r="BO43" s="241"/>
      <c r="BP43" s="241"/>
      <c r="BQ43" s="242">
        <f t="shared" si="28"/>
        <v>0</v>
      </c>
      <c r="BR43" s="241"/>
      <c r="BS43" s="241"/>
      <c r="BT43" s="241">
        <v>746000</v>
      </c>
      <c r="BU43" s="244"/>
      <c r="BV43" s="244"/>
      <c r="BW43" s="244"/>
      <c r="BX43" s="244"/>
      <c r="BY43" s="244"/>
      <c r="BZ43" s="244"/>
    </row>
    <row r="44" spans="1:78" s="244" customFormat="1">
      <c r="A44" s="241">
        <f t="shared" si="11"/>
        <v>38</v>
      </c>
      <c r="B44" s="241">
        <v>1576</v>
      </c>
      <c r="C44" s="241" t="s">
        <v>73</v>
      </c>
      <c r="D44" s="14">
        <f>1000000</f>
        <v>1000000</v>
      </c>
      <c r="E44" s="242">
        <v>1000000</v>
      </c>
      <c r="F44" s="242">
        <f t="shared" si="0"/>
        <v>0</v>
      </c>
      <c r="G44" s="242">
        <v>600000</v>
      </c>
      <c r="H44" s="242">
        <v>350511.17</v>
      </c>
      <c r="I44" s="242"/>
      <c r="J44" s="242">
        <v>62499.24</v>
      </c>
      <c r="K44" s="242">
        <f t="shared" si="34"/>
        <v>62499.24</v>
      </c>
      <c r="L44" s="242">
        <f t="shared" si="2"/>
        <v>413010.41</v>
      </c>
      <c r="M44" s="14">
        <f>P44+S44-100000</f>
        <v>86989.590000000026</v>
      </c>
      <c r="N44" s="14"/>
      <c r="O44" s="14">
        <f t="shared" si="3"/>
        <v>500000.00000000006</v>
      </c>
      <c r="P44" s="14">
        <f t="shared" si="4"/>
        <v>186989.59000000003</v>
      </c>
      <c r="Q44" s="14"/>
      <c r="R44" s="14"/>
      <c r="S44" s="14">
        <f t="shared" si="5"/>
        <v>0</v>
      </c>
      <c r="T44" s="14">
        <f t="shared" si="6"/>
        <v>100000</v>
      </c>
      <c r="U44" s="14">
        <f t="shared" si="7"/>
        <v>-100000</v>
      </c>
      <c r="V44" s="242">
        <f t="shared" si="8"/>
        <v>-100000</v>
      </c>
      <c r="W44" s="242"/>
      <c r="X44" s="242"/>
      <c r="Y44" s="241"/>
      <c r="Z44" s="242"/>
      <c r="AA44" s="242">
        <v>-100000</v>
      </c>
      <c r="AB44" s="242">
        <f t="shared" si="12"/>
        <v>-100000</v>
      </c>
      <c r="AC44" s="242"/>
      <c r="AD44" s="242"/>
      <c r="AE44" s="242">
        <f t="shared" si="13"/>
        <v>0</v>
      </c>
      <c r="AF44" s="242"/>
      <c r="AG44" s="242"/>
      <c r="AH44" s="242">
        <f t="shared" si="14"/>
        <v>0</v>
      </c>
      <c r="AI44" s="242"/>
      <c r="AJ44" s="242"/>
      <c r="AK44" s="242">
        <f t="shared" si="15"/>
        <v>0</v>
      </c>
      <c r="AL44" s="242"/>
      <c r="AM44" s="242"/>
      <c r="AN44" s="242">
        <f t="shared" si="16"/>
        <v>0</v>
      </c>
      <c r="AO44" s="242"/>
      <c r="AP44" s="242"/>
      <c r="AQ44" s="242">
        <f t="shared" si="17"/>
        <v>0</v>
      </c>
      <c r="AR44" s="242"/>
      <c r="AS44" s="242"/>
      <c r="AT44" s="242">
        <f t="shared" si="18"/>
        <v>0</v>
      </c>
      <c r="AU44" s="242"/>
      <c r="AV44" s="242"/>
      <c r="AW44" s="242">
        <f t="shared" si="19"/>
        <v>0</v>
      </c>
      <c r="AX44" s="242"/>
      <c r="AY44" s="242"/>
      <c r="AZ44" s="242">
        <f t="shared" si="20"/>
        <v>0</v>
      </c>
      <c r="BA44" s="242"/>
      <c r="BB44" s="242"/>
      <c r="BC44" s="242">
        <f t="shared" si="21"/>
        <v>0</v>
      </c>
      <c r="BD44" s="242"/>
      <c r="BE44" s="242"/>
      <c r="BF44" s="242">
        <f t="shared" si="22"/>
        <v>0</v>
      </c>
      <c r="BG44" s="242">
        <f t="shared" si="32"/>
        <v>-100000</v>
      </c>
      <c r="BH44" s="242"/>
      <c r="BI44" s="242">
        <f t="shared" si="33"/>
        <v>-100000</v>
      </c>
      <c r="BJ44" s="242">
        <f t="shared" si="25"/>
        <v>0</v>
      </c>
      <c r="BK44" s="242">
        <f t="shared" si="26"/>
        <v>-100000</v>
      </c>
      <c r="BL44" s="242">
        <f t="shared" si="30"/>
        <v>0</v>
      </c>
      <c r="BM44" s="242">
        <f t="shared" si="31"/>
        <v>0</v>
      </c>
      <c r="BN44" s="242">
        <f t="shared" si="27"/>
        <v>0</v>
      </c>
      <c r="BO44" s="241"/>
      <c r="BP44" s="241"/>
      <c r="BQ44" s="242">
        <f t="shared" si="28"/>
        <v>0</v>
      </c>
      <c r="BR44" s="241"/>
      <c r="BS44" s="241"/>
      <c r="BT44" s="241">
        <v>732000</v>
      </c>
    </row>
    <row r="45" spans="1:78" s="244" customFormat="1">
      <c r="A45" s="241">
        <f t="shared" si="11"/>
        <v>39</v>
      </c>
      <c r="B45" s="13">
        <v>1587</v>
      </c>
      <c r="C45" s="13" t="s">
        <v>217</v>
      </c>
      <c r="D45" s="14">
        <v>34200000</v>
      </c>
      <c r="E45" s="14">
        <v>15000000</v>
      </c>
      <c r="F45" s="14">
        <f t="shared" si="0"/>
        <v>19200000</v>
      </c>
      <c r="G45" s="14">
        <v>11000000</v>
      </c>
      <c r="H45" s="14">
        <v>7851483</v>
      </c>
      <c r="I45" s="14">
        <v>153331</v>
      </c>
      <c r="J45" s="14">
        <v>54855</v>
      </c>
      <c r="K45" s="14">
        <f t="shared" si="34"/>
        <v>208186</v>
      </c>
      <c r="L45" s="14">
        <f t="shared" si="2"/>
        <v>8059669</v>
      </c>
      <c r="M45" s="14">
        <f>P45+S45-200000</f>
        <v>2740331</v>
      </c>
      <c r="N45" s="14">
        <f>11600000-3600000-3000000-2000000-3000000</f>
        <v>0</v>
      </c>
      <c r="O45" s="14">
        <f t="shared" si="3"/>
        <v>23400000</v>
      </c>
      <c r="P45" s="14">
        <f t="shared" si="4"/>
        <v>2940331</v>
      </c>
      <c r="Q45" s="14"/>
      <c r="R45" s="14"/>
      <c r="S45" s="14">
        <f t="shared" si="5"/>
        <v>0</v>
      </c>
      <c r="T45" s="14">
        <f t="shared" si="6"/>
        <v>200000</v>
      </c>
      <c r="U45" s="14">
        <f t="shared" si="7"/>
        <v>-200000</v>
      </c>
      <c r="V45" s="14">
        <f t="shared" si="8"/>
        <v>-200000</v>
      </c>
      <c r="W45" s="14"/>
      <c r="X45" s="14"/>
      <c r="Y45" s="13"/>
      <c r="Z45" s="242">
        <v>-200000</v>
      </c>
      <c r="AA45" s="242"/>
      <c r="AB45" s="242">
        <f t="shared" si="12"/>
        <v>-200000</v>
      </c>
      <c r="AC45" s="242"/>
      <c r="AD45" s="242"/>
      <c r="AE45" s="242">
        <f t="shared" si="13"/>
        <v>0</v>
      </c>
      <c r="AF45" s="242"/>
      <c r="AG45" s="242"/>
      <c r="AH45" s="242">
        <f t="shared" si="14"/>
        <v>0</v>
      </c>
      <c r="AI45" s="242"/>
      <c r="AJ45" s="242"/>
      <c r="AK45" s="242">
        <f t="shared" si="15"/>
        <v>0</v>
      </c>
      <c r="AL45" s="242"/>
      <c r="AM45" s="242"/>
      <c r="AN45" s="242">
        <f t="shared" si="16"/>
        <v>0</v>
      </c>
      <c r="AO45" s="242"/>
      <c r="AP45" s="242"/>
      <c r="AQ45" s="242">
        <f t="shared" si="17"/>
        <v>0</v>
      </c>
      <c r="AR45" s="242"/>
      <c r="AS45" s="242"/>
      <c r="AT45" s="242">
        <f t="shared" si="18"/>
        <v>0</v>
      </c>
      <c r="AU45" s="242"/>
      <c r="AV45" s="242"/>
      <c r="AW45" s="242">
        <f t="shared" si="19"/>
        <v>0</v>
      </c>
      <c r="AX45" s="242"/>
      <c r="AY45" s="242"/>
      <c r="AZ45" s="242">
        <f t="shared" si="20"/>
        <v>0</v>
      </c>
      <c r="BA45" s="242"/>
      <c r="BB45" s="242"/>
      <c r="BC45" s="242">
        <f t="shared" si="21"/>
        <v>0</v>
      </c>
      <c r="BD45" s="242"/>
      <c r="BE45" s="242"/>
      <c r="BF45" s="242">
        <f t="shared" si="22"/>
        <v>0</v>
      </c>
      <c r="BG45" s="242">
        <f t="shared" si="32"/>
        <v>-200000</v>
      </c>
      <c r="BH45" s="242"/>
      <c r="BI45" s="242">
        <f t="shared" si="33"/>
        <v>-200000</v>
      </c>
      <c r="BJ45" s="242">
        <f t="shared" si="25"/>
        <v>0</v>
      </c>
      <c r="BK45" s="242">
        <f t="shared" si="26"/>
        <v>-200000</v>
      </c>
      <c r="BL45" s="242">
        <f t="shared" si="30"/>
        <v>0</v>
      </c>
      <c r="BM45" s="242">
        <f t="shared" si="31"/>
        <v>0</v>
      </c>
      <c r="BN45" s="242">
        <f t="shared" si="27"/>
        <v>0</v>
      </c>
      <c r="BO45" s="241"/>
      <c r="BP45" s="241"/>
      <c r="BQ45" s="242">
        <f t="shared" si="28"/>
        <v>0</v>
      </c>
      <c r="BR45" s="241"/>
      <c r="BS45" s="241"/>
      <c r="BT45" s="13">
        <v>742000</v>
      </c>
      <c r="BU45" s="15"/>
      <c r="BV45" s="15"/>
      <c r="BW45" s="15"/>
      <c r="BX45" s="15"/>
      <c r="BY45" s="15"/>
      <c r="BZ45" s="15"/>
    </row>
    <row r="46" spans="1:78" s="244" customFormat="1">
      <c r="A46" s="241">
        <f t="shared" si="11"/>
        <v>40</v>
      </c>
      <c r="B46" s="241">
        <v>1601</v>
      </c>
      <c r="C46" s="241" t="s">
        <v>53</v>
      </c>
      <c r="D46" s="14">
        <v>700000</v>
      </c>
      <c r="E46" s="242">
        <v>500000</v>
      </c>
      <c r="F46" s="242">
        <f t="shared" si="0"/>
        <v>200000</v>
      </c>
      <c r="G46" s="242">
        <v>500000</v>
      </c>
      <c r="H46" s="242">
        <v>352852</v>
      </c>
      <c r="I46" s="242">
        <v>79587</v>
      </c>
      <c r="J46" s="242"/>
      <c r="K46" s="242">
        <f t="shared" si="34"/>
        <v>79587</v>
      </c>
      <c r="L46" s="242">
        <f t="shared" si="2"/>
        <v>432439</v>
      </c>
      <c r="M46" s="14">
        <f t="shared" si="35"/>
        <v>67561</v>
      </c>
      <c r="N46" s="14">
        <v>150000</v>
      </c>
      <c r="O46" s="14">
        <f t="shared" si="3"/>
        <v>50000</v>
      </c>
      <c r="P46" s="14">
        <f t="shared" si="4"/>
        <v>67561</v>
      </c>
      <c r="Q46" s="14"/>
      <c r="R46" s="14"/>
      <c r="S46" s="14">
        <f t="shared" si="5"/>
        <v>0</v>
      </c>
      <c r="T46" s="14">
        <f t="shared" si="6"/>
        <v>0</v>
      </c>
      <c r="U46" s="14">
        <f t="shared" si="7"/>
        <v>150000</v>
      </c>
      <c r="V46" s="242">
        <f t="shared" si="8"/>
        <v>150000</v>
      </c>
      <c r="W46" s="242"/>
      <c r="X46" s="242"/>
      <c r="Y46" s="242"/>
      <c r="Z46" s="242"/>
      <c r="AA46" s="242"/>
      <c r="AB46" s="242">
        <f t="shared" si="12"/>
        <v>0</v>
      </c>
      <c r="AC46" s="242"/>
      <c r="AD46" s="242"/>
      <c r="AE46" s="242">
        <f t="shared" si="13"/>
        <v>0</v>
      </c>
      <c r="AF46" s="242"/>
      <c r="AG46" s="242"/>
      <c r="AH46" s="242">
        <f t="shared" si="14"/>
        <v>0</v>
      </c>
      <c r="AI46" s="242"/>
      <c r="AJ46" s="242"/>
      <c r="AK46" s="242">
        <f t="shared" si="15"/>
        <v>0</v>
      </c>
      <c r="AL46" s="242"/>
      <c r="AM46" s="242"/>
      <c r="AN46" s="242">
        <f t="shared" si="16"/>
        <v>0</v>
      </c>
      <c r="AO46" s="242"/>
      <c r="AP46" s="242"/>
      <c r="AQ46" s="242">
        <f t="shared" si="17"/>
        <v>0</v>
      </c>
      <c r="AR46" s="242"/>
      <c r="AS46" s="242"/>
      <c r="AT46" s="242">
        <f t="shared" si="18"/>
        <v>0</v>
      </c>
      <c r="AU46" s="242"/>
      <c r="AV46" s="242"/>
      <c r="AW46" s="242">
        <f t="shared" si="19"/>
        <v>0</v>
      </c>
      <c r="AX46" s="242"/>
      <c r="AY46" s="242"/>
      <c r="AZ46" s="242">
        <f t="shared" si="20"/>
        <v>0</v>
      </c>
      <c r="BA46" s="242"/>
      <c r="BB46" s="242"/>
      <c r="BC46" s="242">
        <f t="shared" si="21"/>
        <v>0</v>
      </c>
      <c r="BD46" s="242"/>
      <c r="BE46" s="242"/>
      <c r="BF46" s="242">
        <f t="shared" si="22"/>
        <v>0</v>
      </c>
      <c r="BG46" s="242">
        <f t="shared" si="32"/>
        <v>0</v>
      </c>
      <c r="BH46" s="242"/>
      <c r="BI46" s="242">
        <f t="shared" si="33"/>
        <v>0</v>
      </c>
      <c r="BJ46" s="242">
        <f t="shared" si="25"/>
        <v>150000</v>
      </c>
      <c r="BK46" s="242">
        <f t="shared" si="26"/>
        <v>0</v>
      </c>
      <c r="BL46" s="242">
        <f t="shared" si="30"/>
        <v>0</v>
      </c>
      <c r="BM46" s="242">
        <f t="shared" si="31"/>
        <v>0</v>
      </c>
      <c r="BN46" s="242">
        <f t="shared" si="27"/>
        <v>0</v>
      </c>
      <c r="BO46" s="241"/>
      <c r="BP46" s="241"/>
      <c r="BQ46" s="242">
        <f t="shared" si="28"/>
        <v>150000</v>
      </c>
      <c r="BR46" s="241"/>
      <c r="BS46" s="241"/>
      <c r="BT46" s="241">
        <v>742000</v>
      </c>
    </row>
    <row r="47" spans="1:78" s="244" customFormat="1">
      <c r="A47" s="241">
        <f t="shared" si="11"/>
        <v>41</v>
      </c>
      <c r="B47" s="241">
        <v>1602</v>
      </c>
      <c r="C47" s="241" t="s">
        <v>37</v>
      </c>
      <c r="D47" s="14">
        <v>34500000</v>
      </c>
      <c r="E47" s="242">
        <v>30700000</v>
      </c>
      <c r="F47" s="242">
        <f t="shared" si="0"/>
        <v>3800000</v>
      </c>
      <c r="G47" s="242">
        <f>6500000+1582069</f>
        <v>8082069</v>
      </c>
      <c r="H47" s="242">
        <v>214820.57</v>
      </c>
      <c r="I47" s="242">
        <v>327308</v>
      </c>
      <c r="J47" s="242">
        <v>822040</v>
      </c>
      <c r="K47" s="242">
        <f t="shared" si="34"/>
        <v>1149348</v>
      </c>
      <c r="L47" s="242">
        <f t="shared" si="2"/>
        <v>1364168.57</v>
      </c>
      <c r="M47" s="14">
        <f t="shared" si="35"/>
        <v>12857900.43</v>
      </c>
      <c r="N47" s="14">
        <f>3800000+16477931-1000000+1000000</f>
        <v>20277931</v>
      </c>
      <c r="O47" s="14">
        <f t="shared" si="3"/>
        <v>0</v>
      </c>
      <c r="P47" s="14">
        <f t="shared" si="4"/>
        <v>6717900.4299999997</v>
      </c>
      <c r="Q47" s="14">
        <v>6140000</v>
      </c>
      <c r="R47" s="14"/>
      <c r="S47" s="14">
        <f t="shared" si="5"/>
        <v>6140000</v>
      </c>
      <c r="T47" s="14">
        <f t="shared" si="6"/>
        <v>0</v>
      </c>
      <c r="U47" s="14">
        <f t="shared" si="7"/>
        <v>20277931</v>
      </c>
      <c r="V47" s="242">
        <f t="shared" si="8"/>
        <v>-10240000</v>
      </c>
      <c r="W47" s="242"/>
      <c r="X47" s="242"/>
      <c r="Y47" s="242">
        <f>32100000-1582069</f>
        <v>30517931</v>
      </c>
      <c r="Z47" s="242"/>
      <c r="AA47" s="242"/>
      <c r="AB47" s="242">
        <f t="shared" si="12"/>
        <v>0</v>
      </c>
      <c r="AC47" s="242"/>
      <c r="AD47" s="242"/>
      <c r="AE47" s="242">
        <f t="shared" si="13"/>
        <v>0</v>
      </c>
      <c r="AF47" s="242"/>
      <c r="AG47" s="242"/>
      <c r="AH47" s="242">
        <f t="shared" si="14"/>
        <v>0</v>
      </c>
      <c r="AI47" s="242"/>
      <c r="AJ47" s="242"/>
      <c r="AK47" s="242">
        <f t="shared" si="15"/>
        <v>0</v>
      </c>
      <c r="AL47" s="242"/>
      <c r="AM47" s="242"/>
      <c r="AN47" s="242">
        <f t="shared" si="16"/>
        <v>0</v>
      </c>
      <c r="AO47" s="242"/>
      <c r="AP47" s="242"/>
      <c r="AQ47" s="242">
        <f t="shared" si="17"/>
        <v>0</v>
      </c>
      <c r="AR47" s="242">
        <v>20277931</v>
      </c>
      <c r="AS47" s="242"/>
      <c r="AT47" s="242">
        <f t="shared" si="18"/>
        <v>20277931</v>
      </c>
      <c r="AU47" s="242"/>
      <c r="AV47" s="242"/>
      <c r="AW47" s="242">
        <f t="shared" si="19"/>
        <v>0</v>
      </c>
      <c r="AX47" s="393"/>
      <c r="AY47" s="393"/>
      <c r="AZ47" s="242">
        <f t="shared" si="20"/>
        <v>0</v>
      </c>
      <c r="BA47" s="242"/>
      <c r="BB47" s="242"/>
      <c r="BC47" s="242">
        <f t="shared" si="21"/>
        <v>0</v>
      </c>
      <c r="BD47" s="242"/>
      <c r="BE47" s="242"/>
      <c r="BF47" s="242">
        <f t="shared" si="22"/>
        <v>0</v>
      </c>
      <c r="BG47" s="242">
        <f t="shared" si="32"/>
        <v>20277931</v>
      </c>
      <c r="BH47" s="242"/>
      <c r="BI47" s="242">
        <f t="shared" si="33"/>
        <v>20277931</v>
      </c>
      <c r="BJ47" s="242">
        <f t="shared" si="25"/>
        <v>0</v>
      </c>
      <c r="BK47" s="242">
        <f t="shared" si="26"/>
        <v>-10240000</v>
      </c>
      <c r="BL47" s="242">
        <f>BC47-BQ47</f>
        <v>5740127</v>
      </c>
      <c r="BM47" s="242">
        <v>24777804</v>
      </c>
      <c r="BN47" s="242">
        <f t="shared" si="27"/>
        <v>0</v>
      </c>
      <c r="BO47" s="241"/>
      <c r="BP47" s="241"/>
      <c r="BQ47" s="242">
        <f t="shared" si="28"/>
        <v>-5740127</v>
      </c>
      <c r="BR47" s="241"/>
      <c r="BS47" s="242">
        <f>30517931-BM47</f>
        <v>5740127</v>
      </c>
      <c r="BT47" s="241">
        <v>742000</v>
      </c>
    </row>
    <row r="48" spans="1:78" s="244" customFormat="1">
      <c r="A48" s="241">
        <f t="shared" si="11"/>
        <v>42</v>
      </c>
      <c r="B48" s="394">
        <v>1606</v>
      </c>
      <c r="C48" s="394" t="s">
        <v>785</v>
      </c>
      <c r="D48" s="14">
        <f>1299574-70000</f>
        <v>1229574</v>
      </c>
      <c r="E48" s="242">
        <v>1299574</v>
      </c>
      <c r="F48" s="242">
        <f t="shared" si="0"/>
        <v>-70000</v>
      </c>
      <c r="G48" s="242">
        <v>1299574</v>
      </c>
      <c r="H48" s="242">
        <v>1228338</v>
      </c>
      <c r="I48" s="242"/>
      <c r="J48" s="242">
        <v>719.21</v>
      </c>
      <c r="K48" s="242">
        <f t="shared" si="34"/>
        <v>719.21</v>
      </c>
      <c r="L48" s="242">
        <f t="shared" si="2"/>
        <v>1229057.21</v>
      </c>
      <c r="M48" s="14">
        <f>P48+S48-70000</f>
        <v>516.79000000003725</v>
      </c>
      <c r="N48" s="14"/>
      <c r="O48" s="14">
        <f t="shared" si="3"/>
        <v>0</v>
      </c>
      <c r="P48" s="14">
        <f t="shared" si="4"/>
        <v>70516.790000000037</v>
      </c>
      <c r="Q48" s="14"/>
      <c r="R48" s="14"/>
      <c r="S48" s="14">
        <f t="shared" si="5"/>
        <v>0</v>
      </c>
      <c r="T48" s="14">
        <f t="shared" si="6"/>
        <v>70000</v>
      </c>
      <c r="U48" s="14">
        <f t="shared" si="7"/>
        <v>-70000</v>
      </c>
      <c r="V48" s="242">
        <f t="shared" si="8"/>
        <v>-70000</v>
      </c>
      <c r="W48" s="242"/>
      <c r="X48" s="242"/>
      <c r="Y48" s="242"/>
      <c r="Z48" s="242">
        <v>-70000</v>
      </c>
      <c r="AA48" s="242"/>
      <c r="AB48" s="242">
        <f t="shared" si="12"/>
        <v>-70000</v>
      </c>
      <c r="AC48" s="242"/>
      <c r="AD48" s="242"/>
      <c r="AE48" s="242">
        <f t="shared" si="13"/>
        <v>0</v>
      </c>
      <c r="AF48" s="242"/>
      <c r="AG48" s="242"/>
      <c r="AH48" s="242">
        <f t="shared" si="14"/>
        <v>0</v>
      </c>
      <c r="AI48" s="242"/>
      <c r="AJ48" s="242"/>
      <c r="AK48" s="242">
        <f t="shared" si="15"/>
        <v>0</v>
      </c>
      <c r="AL48" s="242"/>
      <c r="AM48" s="242"/>
      <c r="AN48" s="242">
        <f t="shared" si="16"/>
        <v>0</v>
      </c>
      <c r="AO48" s="242"/>
      <c r="AP48" s="242"/>
      <c r="AQ48" s="242">
        <f t="shared" si="17"/>
        <v>0</v>
      </c>
      <c r="AR48" s="242"/>
      <c r="AS48" s="242"/>
      <c r="AT48" s="242">
        <f t="shared" si="18"/>
        <v>0</v>
      </c>
      <c r="AU48" s="242"/>
      <c r="AV48" s="242"/>
      <c r="AW48" s="242">
        <f t="shared" si="19"/>
        <v>0</v>
      </c>
      <c r="AX48" s="242"/>
      <c r="AY48" s="242"/>
      <c r="AZ48" s="242">
        <f t="shared" si="20"/>
        <v>0</v>
      </c>
      <c r="BA48" s="242"/>
      <c r="BB48" s="242"/>
      <c r="BC48" s="242">
        <f t="shared" si="21"/>
        <v>0</v>
      </c>
      <c r="BD48" s="242"/>
      <c r="BE48" s="242"/>
      <c r="BF48" s="242">
        <f t="shared" si="22"/>
        <v>0</v>
      </c>
      <c r="BG48" s="242">
        <f t="shared" si="32"/>
        <v>-70000</v>
      </c>
      <c r="BH48" s="242"/>
      <c r="BI48" s="242">
        <f t="shared" si="33"/>
        <v>-70000</v>
      </c>
      <c r="BJ48" s="242">
        <f t="shared" si="25"/>
        <v>0</v>
      </c>
      <c r="BK48" s="242">
        <f t="shared" si="26"/>
        <v>-70000</v>
      </c>
      <c r="BL48" s="242">
        <f t="shared" ref="BL48:BL72" si="36">BE48</f>
        <v>0</v>
      </c>
      <c r="BM48" s="242">
        <f t="shared" ref="BM48:BM72" si="37">BF48</f>
        <v>0</v>
      </c>
      <c r="BN48" s="242">
        <f t="shared" si="27"/>
        <v>0</v>
      </c>
      <c r="BO48" s="241"/>
      <c r="BP48" s="241"/>
      <c r="BQ48" s="242">
        <f t="shared" si="28"/>
        <v>0</v>
      </c>
      <c r="BR48" s="241"/>
      <c r="BS48" s="241"/>
      <c r="BT48" s="241">
        <v>829000</v>
      </c>
    </row>
    <row r="49" spans="1:78" s="244" customFormat="1">
      <c r="A49" s="241">
        <f t="shared" si="11"/>
        <v>43</v>
      </c>
      <c r="B49" s="241">
        <v>1670</v>
      </c>
      <c r="C49" s="241" t="s">
        <v>218</v>
      </c>
      <c r="D49" s="14">
        <v>12500000</v>
      </c>
      <c r="E49" s="242">
        <v>12500000</v>
      </c>
      <c r="F49" s="242">
        <f t="shared" si="0"/>
        <v>0</v>
      </c>
      <c r="G49" s="242">
        <v>3800000</v>
      </c>
      <c r="H49" s="242">
        <v>74768</v>
      </c>
      <c r="I49" s="242">
        <v>46859.72</v>
      </c>
      <c r="J49" s="242">
        <v>263887.65000000002</v>
      </c>
      <c r="K49" s="242">
        <f t="shared" si="34"/>
        <v>310747.37</v>
      </c>
      <c r="L49" s="242">
        <f t="shared" si="2"/>
        <v>385515.37</v>
      </c>
      <c r="M49" s="14">
        <f t="shared" si="35"/>
        <v>3414484.63</v>
      </c>
      <c r="N49" s="14"/>
      <c r="O49" s="14">
        <f t="shared" si="3"/>
        <v>8700000</v>
      </c>
      <c r="P49" s="14">
        <f t="shared" si="4"/>
        <v>3414484.63</v>
      </c>
      <c r="Q49" s="14"/>
      <c r="R49" s="14"/>
      <c r="S49" s="14">
        <f t="shared" si="5"/>
        <v>0</v>
      </c>
      <c r="T49" s="14">
        <f t="shared" si="6"/>
        <v>0</v>
      </c>
      <c r="U49" s="14">
        <f t="shared" si="7"/>
        <v>0</v>
      </c>
      <c r="V49" s="242">
        <f t="shared" si="8"/>
        <v>0</v>
      </c>
      <c r="W49" s="242"/>
      <c r="X49" s="242"/>
      <c r="Y49" s="242"/>
      <c r="Z49" s="242"/>
      <c r="AA49" s="242"/>
      <c r="AB49" s="242">
        <f t="shared" si="12"/>
        <v>0</v>
      </c>
      <c r="AC49" s="242"/>
      <c r="AD49" s="242"/>
      <c r="AE49" s="242">
        <f t="shared" si="13"/>
        <v>0</v>
      </c>
      <c r="AF49" s="242"/>
      <c r="AG49" s="242"/>
      <c r="AH49" s="242">
        <f t="shared" si="14"/>
        <v>0</v>
      </c>
      <c r="AI49" s="242"/>
      <c r="AJ49" s="242"/>
      <c r="AK49" s="242">
        <f t="shared" si="15"/>
        <v>0</v>
      </c>
      <c r="AL49" s="242"/>
      <c r="AM49" s="242"/>
      <c r="AN49" s="242">
        <f t="shared" si="16"/>
        <v>0</v>
      </c>
      <c r="AO49" s="242"/>
      <c r="AP49" s="242"/>
      <c r="AQ49" s="242">
        <f t="shared" si="17"/>
        <v>0</v>
      </c>
      <c r="AR49" s="242"/>
      <c r="AS49" s="242"/>
      <c r="AT49" s="242">
        <f t="shared" si="18"/>
        <v>0</v>
      </c>
      <c r="AU49" s="242"/>
      <c r="AV49" s="242"/>
      <c r="AW49" s="242">
        <f t="shared" si="19"/>
        <v>0</v>
      </c>
      <c r="AX49" s="242"/>
      <c r="AY49" s="242"/>
      <c r="AZ49" s="242">
        <f t="shared" si="20"/>
        <v>0</v>
      </c>
      <c r="BA49" s="242"/>
      <c r="BB49" s="242"/>
      <c r="BC49" s="242">
        <f t="shared" si="21"/>
        <v>0</v>
      </c>
      <c r="BD49" s="242"/>
      <c r="BE49" s="242"/>
      <c r="BF49" s="242">
        <f t="shared" si="22"/>
        <v>0</v>
      </c>
      <c r="BG49" s="242">
        <f t="shared" si="32"/>
        <v>0</v>
      </c>
      <c r="BH49" s="242"/>
      <c r="BI49" s="242">
        <f t="shared" si="33"/>
        <v>0</v>
      </c>
      <c r="BJ49" s="242">
        <f t="shared" si="25"/>
        <v>0</v>
      </c>
      <c r="BK49" s="242">
        <f t="shared" si="26"/>
        <v>0</v>
      </c>
      <c r="BL49" s="242">
        <f t="shared" si="36"/>
        <v>0</v>
      </c>
      <c r="BM49" s="242">
        <f t="shared" si="37"/>
        <v>0</v>
      </c>
      <c r="BN49" s="242">
        <f t="shared" si="27"/>
        <v>0</v>
      </c>
      <c r="BO49" s="241"/>
      <c r="BP49" s="241"/>
      <c r="BQ49" s="242">
        <f t="shared" si="28"/>
        <v>0</v>
      </c>
      <c r="BR49" s="241"/>
      <c r="BS49" s="241"/>
      <c r="BT49" s="241">
        <v>742000</v>
      </c>
    </row>
    <row r="50" spans="1:78" s="244" customFormat="1">
      <c r="A50" s="241">
        <f t="shared" si="11"/>
        <v>44</v>
      </c>
      <c r="B50" s="394">
        <v>1672</v>
      </c>
      <c r="C50" s="394" t="s">
        <v>675</v>
      </c>
      <c r="D50" s="14">
        <v>500000</v>
      </c>
      <c r="E50" s="242">
        <v>500000</v>
      </c>
      <c r="F50" s="242">
        <f t="shared" si="0"/>
        <v>0</v>
      </c>
      <c r="G50" s="242">
        <v>500000</v>
      </c>
      <c r="H50" s="242">
        <v>67688.149999999994</v>
      </c>
      <c r="I50" s="242">
        <v>57997.59</v>
      </c>
      <c r="J50" s="242"/>
      <c r="K50" s="242">
        <f t="shared" si="34"/>
        <v>57997.59</v>
      </c>
      <c r="L50" s="242">
        <f t="shared" si="2"/>
        <v>125685.73999999999</v>
      </c>
      <c r="M50" s="14">
        <f t="shared" si="35"/>
        <v>374314.26</v>
      </c>
      <c r="N50" s="14"/>
      <c r="O50" s="14">
        <f t="shared" si="3"/>
        <v>0</v>
      </c>
      <c r="P50" s="14">
        <f t="shared" si="4"/>
        <v>374314.26</v>
      </c>
      <c r="Q50" s="14"/>
      <c r="R50" s="14"/>
      <c r="S50" s="14">
        <f t="shared" si="5"/>
        <v>0</v>
      </c>
      <c r="T50" s="14">
        <f t="shared" si="6"/>
        <v>0</v>
      </c>
      <c r="U50" s="14">
        <f t="shared" si="7"/>
        <v>0</v>
      </c>
      <c r="V50" s="242">
        <f t="shared" si="8"/>
        <v>0</v>
      </c>
      <c r="W50" s="242"/>
      <c r="X50" s="242"/>
      <c r="Y50" s="242"/>
      <c r="Z50" s="242"/>
      <c r="AA50" s="242"/>
      <c r="AB50" s="242">
        <f t="shared" si="12"/>
        <v>0</v>
      </c>
      <c r="AC50" s="242"/>
      <c r="AD50" s="242"/>
      <c r="AE50" s="242">
        <f t="shared" si="13"/>
        <v>0</v>
      </c>
      <c r="AF50" s="242"/>
      <c r="AG50" s="242"/>
      <c r="AH50" s="242">
        <f t="shared" si="14"/>
        <v>0</v>
      </c>
      <c r="AI50" s="242"/>
      <c r="AJ50" s="242"/>
      <c r="AK50" s="242">
        <f t="shared" si="15"/>
        <v>0</v>
      </c>
      <c r="AL50" s="242"/>
      <c r="AM50" s="242"/>
      <c r="AN50" s="242">
        <f t="shared" si="16"/>
        <v>0</v>
      </c>
      <c r="AO50" s="242"/>
      <c r="AP50" s="242"/>
      <c r="AQ50" s="242">
        <f t="shared" si="17"/>
        <v>0</v>
      </c>
      <c r="AR50" s="242"/>
      <c r="AS50" s="242"/>
      <c r="AT50" s="242">
        <f t="shared" si="18"/>
        <v>0</v>
      </c>
      <c r="AU50" s="242"/>
      <c r="AV50" s="242"/>
      <c r="AW50" s="242">
        <f t="shared" si="19"/>
        <v>0</v>
      </c>
      <c r="AX50" s="242"/>
      <c r="AY50" s="242"/>
      <c r="AZ50" s="242">
        <f t="shared" si="20"/>
        <v>0</v>
      </c>
      <c r="BA50" s="242"/>
      <c r="BB50" s="242"/>
      <c r="BC50" s="242">
        <f t="shared" si="21"/>
        <v>0</v>
      </c>
      <c r="BD50" s="242"/>
      <c r="BE50" s="242"/>
      <c r="BF50" s="242">
        <f t="shared" si="22"/>
        <v>0</v>
      </c>
      <c r="BG50" s="242">
        <f t="shared" si="32"/>
        <v>0</v>
      </c>
      <c r="BH50" s="242"/>
      <c r="BI50" s="242">
        <f t="shared" si="33"/>
        <v>0</v>
      </c>
      <c r="BJ50" s="242">
        <f t="shared" si="25"/>
        <v>0</v>
      </c>
      <c r="BK50" s="242">
        <f t="shared" si="26"/>
        <v>0</v>
      </c>
      <c r="BL50" s="242">
        <f t="shared" si="36"/>
        <v>0</v>
      </c>
      <c r="BM50" s="242">
        <f t="shared" si="37"/>
        <v>0</v>
      </c>
      <c r="BN50" s="242">
        <f t="shared" si="27"/>
        <v>0</v>
      </c>
      <c r="BO50" s="241"/>
      <c r="BP50" s="241"/>
      <c r="BQ50" s="242">
        <f t="shared" si="28"/>
        <v>0</v>
      </c>
      <c r="BR50" s="241"/>
      <c r="BS50" s="241"/>
      <c r="BT50" s="241">
        <v>732000</v>
      </c>
    </row>
    <row r="51" spans="1:78" s="244" customFormat="1">
      <c r="A51" s="241">
        <f t="shared" si="11"/>
        <v>45</v>
      </c>
      <c r="B51" s="394">
        <v>1673</v>
      </c>
      <c r="C51" s="394" t="s">
        <v>789</v>
      </c>
      <c r="D51" s="14">
        <v>200000</v>
      </c>
      <c r="E51" s="242">
        <v>200000</v>
      </c>
      <c r="F51" s="242">
        <f t="shared" si="0"/>
        <v>0</v>
      </c>
      <c r="G51" s="242">
        <v>200000</v>
      </c>
      <c r="H51" s="242">
        <v>66023.8</v>
      </c>
      <c r="I51" s="242">
        <v>23397.78</v>
      </c>
      <c r="J51" s="242"/>
      <c r="K51" s="242">
        <f t="shared" si="34"/>
        <v>23397.78</v>
      </c>
      <c r="L51" s="242">
        <f t="shared" si="2"/>
        <v>89421.58</v>
      </c>
      <c r="M51" s="14">
        <f t="shared" si="35"/>
        <v>110578.42</v>
      </c>
      <c r="N51" s="14"/>
      <c r="O51" s="14">
        <f t="shared" si="3"/>
        <v>0</v>
      </c>
      <c r="P51" s="14">
        <f t="shared" si="4"/>
        <v>110578.42</v>
      </c>
      <c r="Q51" s="14"/>
      <c r="R51" s="14"/>
      <c r="S51" s="14">
        <f t="shared" si="5"/>
        <v>0</v>
      </c>
      <c r="T51" s="14">
        <f t="shared" si="6"/>
        <v>0</v>
      </c>
      <c r="U51" s="14">
        <f t="shared" si="7"/>
        <v>0</v>
      </c>
      <c r="V51" s="242">
        <f t="shared" si="8"/>
        <v>0</v>
      </c>
      <c r="W51" s="242"/>
      <c r="X51" s="242"/>
      <c r="Y51" s="242"/>
      <c r="Z51" s="242"/>
      <c r="AA51" s="242"/>
      <c r="AB51" s="242">
        <f t="shared" si="12"/>
        <v>0</v>
      </c>
      <c r="AC51" s="242"/>
      <c r="AD51" s="242"/>
      <c r="AE51" s="242">
        <f t="shared" si="13"/>
        <v>0</v>
      </c>
      <c r="AF51" s="242"/>
      <c r="AG51" s="242"/>
      <c r="AH51" s="242">
        <f t="shared" si="14"/>
        <v>0</v>
      </c>
      <c r="AI51" s="242"/>
      <c r="AJ51" s="242"/>
      <c r="AK51" s="242">
        <f t="shared" si="15"/>
        <v>0</v>
      </c>
      <c r="AL51" s="242"/>
      <c r="AM51" s="242"/>
      <c r="AN51" s="242">
        <f t="shared" si="16"/>
        <v>0</v>
      </c>
      <c r="AO51" s="242"/>
      <c r="AP51" s="242"/>
      <c r="AQ51" s="242">
        <f t="shared" si="17"/>
        <v>0</v>
      </c>
      <c r="AR51" s="242"/>
      <c r="AS51" s="242"/>
      <c r="AT51" s="242">
        <f t="shared" si="18"/>
        <v>0</v>
      </c>
      <c r="AU51" s="242"/>
      <c r="AV51" s="242"/>
      <c r="AW51" s="242">
        <f t="shared" si="19"/>
        <v>0</v>
      </c>
      <c r="AX51" s="242"/>
      <c r="AY51" s="242"/>
      <c r="AZ51" s="242">
        <f t="shared" si="20"/>
        <v>0</v>
      </c>
      <c r="BA51" s="242"/>
      <c r="BB51" s="242"/>
      <c r="BC51" s="242">
        <f t="shared" si="21"/>
        <v>0</v>
      </c>
      <c r="BD51" s="242"/>
      <c r="BE51" s="242"/>
      <c r="BF51" s="242">
        <f t="shared" si="22"/>
        <v>0</v>
      </c>
      <c r="BG51" s="242">
        <f>BF51+AB51+AE51+AH51+AK51+AN51+AQ51+AT51+AW51+AZ51+BC51</f>
        <v>0</v>
      </c>
      <c r="BH51" s="242"/>
      <c r="BI51" s="242">
        <f>BG51+BH51</f>
        <v>0</v>
      </c>
      <c r="BJ51" s="242">
        <f t="shared" si="25"/>
        <v>0</v>
      </c>
      <c r="BK51" s="242">
        <f t="shared" si="26"/>
        <v>0</v>
      </c>
      <c r="BL51" s="242">
        <f t="shared" si="36"/>
        <v>0</v>
      </c>
      <c r="BM51" s="242">
        <f t="shared" si="37"/>
        <v>0</v>
      </c>
      <c r="BN51" s="242">
        <f t="shared" si="27"/>
        <v>0</v>
      </c>
      <c r="BO51" s="241"/>
      <c r="BP51" s="241"/>
      <c r="BQ51" s="242">
        <f t="shared" si="28"/>
        <v>0</v>
      </c>
      <c r="BR51" s="241"/>
      <c r="BS51" s="241"/>
      <c r="BT51" s="241">
        <v>732000</v>
      </c>
      <c r="BV51" s="246"/>
      <c r="BW51" s="246"/>
      <c r="BX51" s="246"/>
      <c r="BY51" s="246"/>
      <c r="BZ51" s="246"/>
    </row>
    <row r="52" spans="1:78" s="15" customFormat="1">
      <c r="A52" s="241">
        <f t="shared" si="11"/>
        <v>46</v>
      </c>
      <c r="B52" s="241">
        <v>1719</v>
      </c>
      <c r="C52" s="241" t="s">
        <v>75</v>
      </c>
      <c r="D52" s="14">
        <v>1000000</v>
      </c>
      <c r="E52" s="242">
        <v>1000000</v>
      </c>
      <c r="F52" s="242">
        <f t="shared" si="0"/>
        <v>0</v>
      </c>
      <c r="G52" s="242">
        <v>1000000</v>
      </c>
      <c r="H52" s="242">
        <v>74636.990000000005</v>
      </c>
      <c r="I52" s="242">
        <v>453189.49</v>
      </c>
      <c r="J52" s="242"/>
      <c r="K52" s="242">
        <f t="shared" si="34"/>
        <v>453189.49</v>
      </c>
      <c r="L52" s="242">
        <f t="shared" si="2"/>
        <v>527826.48</v>
      </c>
      <c r="M52" s="14">
        <f t="shared" si="35"/>
        <v>472173.52</v>
      </c>
      <c r="N52" s="14"/>
      <c r="O52" s="14">
        <f t="shared" si="3"/>
        <v>0</v>
      </c>
      <c r="P52" s="14">
        <f t="shared" si="4"/>
        <v>472173.52</v>
      </c>
      <c r="Q52" s="14"/>
      <c r="R52" s="14"/>
      <c r="S52" s="14">
        <f t="shared" si="5"/>
        <v>0</v>
      </c>
      <c r="T52" s="14">
        <f t="shared" si="6"/>
        <v>0</v>
      </c>
      <c r="U52" s="14">
        <f t="shared" si="7"/>
        <v>0</v>
      </c>
      <c r="V52" s="242">
        <f t="shared" si="8"/>
        <v>0</v>
      </c>
      <c r="W52" s="242"/>
      <c r="X52" s="242"/>
      <c r="Y52" s="241"/>
      <c r="Z52" s="242"/>
      <c r="AA52" s="242"/>
      <c r="AB52" s="242">
        <f t="shared" si="12"/>
        <v>0</v>
      </c>
      <c r="AC52" s="242"/>
      <c r="AD52" s="242"/>
      <c r="AE52" s="242">
        <f t="shared" si="13"/>
        <v>0</v>
      </c>
      <c r="AF52" s="242"/>
      <c r="AG52" s="242"/>
      <c r="AH52" s="242">
        <f t="shared" si="14"/>
        <v>0</v>
      </c>
      <c r="AI52" s="242"/>
      <c r="AJ52" s="242"/>
      <c r="AK52" s="242">
        <f t="shared" si="15"/>
        <v>0</v>
      </c>
      <c r="AL52" s="242"/>
      <c r="AM52" s="242"/>
      <c r="AN52" s="242">
        <f t="shared" si="16"/>
        <v>0</v>
      </c>
      <c r="AO52" s="242"/>
      <c r="AP52" s="242"/>
      <c r="AQ52" s="242">
        <f t="shared" si="17"/>
        <v>0</v>
      </c>
      <c r="AR52" s="242"/>
      <c r="AS52" s="242"/>
      <c r="AT52" s="242">
        <f t="shared" si="18"/>
        <v>0</v>
      </c>
      <c r="AU52" s="242"/>
      <c r="AV52" s="242"/>
      <c r="AW52" s="242">
        <f t="shared" si="19"/>
        <v>0</v>
      </c>
      <c r="AX52" s="242"/>
      <c r="AY52" s="242"/>
      <c r="AZ52" s="242">
        <f t="shared" si="20"/>
        <v>0</v>
      </c>
      <c r="BA52" s="242"/>
      <c r="BB52" s="242"/>
      <c r="BC52" s="242">
        <f t="shared" si="21"/>
        <v>0</v>
      </c>
      <c r="BD52" s="242"/>
      <c r="BE52" s="242"/>
      <c r="BF52" s="242">
        <f t="shared" si="22"/>
        <v>0</v>
      </c>
      <c r="BG52" s="242">
        <f t="shared" ref="BG52:BG72" si="38">BF52+AB52+AE52+AH52+AK52+AN52+AQ52+AT52+AW52+AZ52+BC52</f>
        <v>0</v>
      </c>
      <c r="BH52" s="242"/>
      <c r="BI52" s="242">
        <f t="shared" ref="BI52:BI72" si="39">BG52+BH52</f>
        <v>0</v>
      </c>
      <c r="BJ52" s="242">
        <f t="shared" si="25"/>
        <v>0</v>
      </c>
      <c r="BK52" s="242">
        <f t="shared" si="26"/>
        <v>0</v>
      </c>
      <c r="BL52" s="242">
        <f t="shared" si="36"/>
        <v>0</v>
      </c>
      <c r="BM52" s="242">
        <f t="shared" si="37"/>
        <v>0</v>
      </c>
      <c r="BN52" s="242">
        <f t="shared" si="27"/>
        <v>0</v>
      </c>
      <c r="BO52" s="241"/>
      <c r="BP52" s="241"/>
      <c r="BQ52" s="242">
        <f t="shared" si="28"/>
        <v>0</v>
      </c>
      <c r="BR52" s="241"/>
      <c r="BS52" s="241"/>
      <c r="BT52" s="241">
        <v>742000</v>
      </c>
      <c r="BU52" s="244"/>
      <c r="BV52" s="244"/>
      <c r="BW52" s="244"/>
      <c r="BX52" s="244"/>
      <c r="BY52" s="244"/>
      <c r="BZ52" s="244"/>
    </row>
    <row r="53" spans="1:78" s="244" customFormat="1">
      <c r="A53" s="241">
        <f t="shared" si="11"/>
        <v>47</v>
      </c>
      <c r="B53" s="241">
        <v>1722</v>
      </c>
      <c r="C53" s="241" t="s">
        <v>55</v>
      </c>
      <c r="D53" s="14">
        <v>2400000</v>
      </c>
      <c r="E53" s="242">
        <v>2400000</v>
      </c>
      <c r="F53" s="242">
        <f t="shared" si="0"/>
        <v>0</v>
      </c>
      <c r="G53" s="242">
        <v>1400000</v>
      </c>
      <c r="H53" s="242">
        <v>70298.399999999994</v>
      </c>
      <c r="I53" s="242">
        <v>72987.72</v>
      </c>
      <c r="J53" s="242">
        <v>67052.7</v>
      </c>
      <c r="K53" s="242">
        <f t="shared" si="34"/>
        <v>140040.41999999998</v>
      </c>
      <c r="L53" s="242">
        <f t="shared" si="2"/>
        <v>210338.81999999998</v>
      </c>
      <c r="M53" s="14">
        <f>P53+S53-1000000</f>
        <v>189661.17999999993</v>
      </c>
      <c r="N53" s="14"/>
      <c r="O53" s="14">
        <f t="shared" si="3"/>
        <v>2000000.0000000002</v>
      </c>
      <c r="P53" s="14">
        <f t="shared" si="4"/>
        <v>1189661.18</v>
      </c>
      <c r="Q53" s="14"/>
      <c r="R53" s="14"/>
      <c r="S53" s="14">
        <f t="shared" si="5"/>
        <v>0</v>
      </c>
      <c r="T53" s="14">
        <f t="shared" si="6"/>
        <v>1000000</v>
      </c>
      <c r="U53" s="14">
        <f t="shared" si="7"/>
        <v>-1000000</v>
      </c>
      <c r="V53" s="242">
        <f t="shared" si="8"/>
        <v>-1000000</v>
      </c>
      <c r="W53" s="242"/>
      <c r="X53" s="242"/>
      <c r="Y53" s="241"/>
      <c r="Z53" s="242"/>
      <c r="AA53" s="242">
        <v>-1000000</v>
      </c>
      <c r="AB53" s="242">
        <f t="shared" si="12"/>
        <v>-1000000</v>
      </c>
      <c r="AC53" s="242"/>
      <c r="AD53" s="242"/>
      <c r="AE53" s="242">
        <f t="shared" si="13"/>
        <v>0</v>
      </c>
      <c r="AF53" s="242"/>
      <c r="AG53" s="242"/>
      <c r="AH53" s="242">
        <f t="shared" si="14"/>
        <v>0</v>
      </c>
      <c r="AI53" s="242"/>
      <c r="AJ53" s="242"/>
      <c r="AK53" s="242">
        <f t="shared" si="15"/>
        <v>0</v>
      </c>
      <c r="AL53" s="242"/>
      <c r="AM53" s="242"/>
      <c r="AN53" s="242">
        <f t="shared" si="16"/>
        <v>0</v>
      </c>
      <c r="AO53" s="242"/>
      <c r="AP53" s="242"/>
      <c r="AQ53" s="242">
        <f t="shared" si="17"/>
        <v>0</v>
      </c>
      <c r="AR53" s="242"/>
      <c r="AS53" s="242"/>
      <c r="AT53" s="242">
        <f t="shared" si="18"/>
        <v>0</v>
      </c>
      <c r="AU53" s="242"/>
      <c r="AV53" s="242"/>
      <c r="AW53" s="242">
        <f t="shared" si="19"/>
        <v>0</v>
      </c>
      <c r="AX53" s="242"/>
      <c r="AY53" s="242"/>
      <c r="AZ53" s="242">
        <f t="shared" si="20"/>
        <v>0</v>
      </c>
      <c r="BA53" s="242"/>
      <c r="BB53" s="242"/>
      <c r="BC53" s="242">
        <f t="shared" si="21"/>
        <v>0</v>
      </c>
      <c r="BD53" s="242"/>
      <c r="BE53" s="242"/>
      <c r="BF53" s="242">
        <f t="shared" si="22"/>
        <v>0</v>
      </c>
      <c r="BG53" s="242">
        <f t="shared" si="38"/>
        <v>-1000000</v>
      </c>
      <c r="BH53" s="242"/>
      <c r="BI53" s="242">
        <f t="shared" si="39"/>
        <v>-1000000</v>
      </c>
      <c r="BJ53" s="242">
        <f t="shared" si="25"/>
        <v>0</v>
      </c>
      <c r="BK53" s="242">
        <f t="shared" si="26"/>
        <v>-1000000</v>
      </c>
      <c r="BL53" s="242">
        <f t="shared" si="36"/>
        <v>0</v>
      </c>
      <c r="BM53" s="242">
        <f t="shared" si="37"/>
        <v>0</v>
      </c>
      <c r="BN53" s="242">
        <f t="shared" si="27"/>
        <v>0</v>
      </c>
      <c r="BO53" s="241"/>
      <c r="BP53" s="241"/>
      <c r="BQ53" s="242">
        <f t="shared" si="28"/>
        <v>0</v>
      </c>
      <c r="BR53" s="241"/>
      <c r="BS53" s="241"/>
      <c r="BT53" s="241">
        <v>742000</v>
      </c>
    </row>
    <row r="54" spans="1:78" s="244" customFormat="1">
      <c r="A54" s="241">
        <f t="shared" si="11"/>
        <v>48</v>
      </c>
      <c r="B54" s="241">
        <v>1725</v>
      </c>
      <c r="C54" s="241" t="s">
        <v>56</v>
      </c>
      <c r="D54" s="14">
        <v>13700000</v>
      </c>
      <c r="E54" s="242">
        <v>13700000</v>
      </c>
      <c r="F54" s="242">
        <f t="shared" si="0"/>
        <v>0</v>
      </c>
      <c r="G54" s="242">
        <v>13700000</v>
      </c>
      <c r="H54" s="242">
        <v>11935672.32</v>
      </c>
      <c r="I54" s="242">
        <v>275276.74</v>
      </c>
      <c r="J54" s="242">
        <v>186978.79</v>
      </c>
      <c r="K54" s="242">
        <f t="shared" si="34"/>
        <v>462255.53</v>
      </c>
      <c r="L54" s="242">
        <f t="shared" si="2"/>
        <v>12397927.85</v>
      </c>
      <c r="M54" s="14">
        <f t="shared" si="35"/>
        <v>1302072.1500000004</v>
      </c>
      <c r="N54" s="14"/>
      <c r="O54" s="14">
        <f t="shared" si="3"/>
        <v>0</v>
      </c>
      <c r="P54" s="14">
        <f t="shared" si="4"/>
        <v>1302072.1500000004</v>
      </c>
      <c r="Q54" s="14"/>
      <c r="R54" s="14"/>
      <c r="S54" s="14">
        <f t="shared" si="5"/>
        <v>0</v>
      </c>
      <c r="T54" s="14">
        <f t="shared" si="6"/>
        <v>0</v>
      </c>
      <c r="U54" s="14">
        <f t="shared" si="7"/>
        <v>0</v>
      </c>
      <c r="V54" s="242">
        <f t="shared" si="8"/>
        <v>0</v>
      </c>
      <c r="W54" s="242"/>
      <c r="X54" s="242"/>
      <c r="Y54" s="241"/>
      <c r="Z54" s="242"/>
      <c r="AA54" s="242"/>
      <c r="AB54" s="242">
        <f t="shared" si="12"/>
        <v>0</v>
      </c>
      <c r="AC54" s="242"/>
      <c r="AD54" s="242"/>
      <c r="AE54" s="242">
        <f t="shared" si="13"/>
        <v>0</v>
      </c>
      <c r="AF54" s="242"/>
      <c r="AG54" s="242"/>
      <c r="AH54" s="242">
        <f t="shared" si="14"/>
        <v>0</v>
      </c>
      <c r="AI54" s="242"/>
      <c r="AJ54" s="242"/>
      <c r="AK54" s="242">
        <f t="shared" si="15"/>
        <v>0</v>
      </c>
      <c r="AL54" s="242"/>
      <c r="AM54" s="242"/>
      <c r="AN54" s="242">
        <f t="shared" si="16"/>
        <v>0</v>
      </c>
      <c r="AO54" s="242"/>
      <c r="AP54" s="242"/>
      <c r="AQ54" s="242">
        <f t="shared" si="17"/>
        <v>0</v>
      </c>
      <c r="AR54" s="242"/>
      <c r="AS54" s="242"/>
      <c r="AT54" s="242">
        <f t="shared" si="18"/>
        <v>0</v>
      </c>
      <c r="AU54" s="242"/>
      <c r="AV54" s="242"/>
      <c r="AW54" s="242">
        <f t="shared" si="19"/>
        <v>0</v>
      </c>
      <c r="AX54" s="242"/>
      <c r="AY54" s="242"/>
      <c r="AZ54" s="242">
        <f t="shared" si="20"/>
        <v>0</v>
      </c>
      <c r="BA54" s="242"/>
      <c r="BB54" s="242"/>
      <c r="BC54" s="242">
        <f t="shared" si="21"/>
        <v>0</v>
      </c>
      <c r="BD54" s="242"/>
      <c r="BE54" s="242"/>
      <c r="BF54" s="242">
        <f t="shared" si="22"/>
        <v>0</v>
      </c>
      <c r="BG54" s="242">
        <f t="shared" si="38"/>
        <v>0</v>
      </c>
      <c r="BH54" s="242"/>
      <c r="BI54" s="242">
        <f t="shared" si="39"/>
        <v>0</v>
      </c>
      <c r="BJ54" s="242">
        <f t="shared" si="25"/>
        <v>0</v>
      </c>
      <c r="BK54" s="242">
        <f t="shared" si="26"/>
        <v>0</v>
      </c>
      <c r="BL54" s="242">
        <f t="shared" si="36"/>
        <v>0</v>
      </c>
      <c r="BM54" s="242">
        <f t="shared" si="37"/>
        <v>0</v>
      </c>
      <c r="BN54" s="242">
        <f t="shared" si="27"/>
        <v>0</v>
      </c>
      <c r="BO54" s="241"/>
      <c r="BP54" s="241"/>
      <c r="BQ54" s="242">
        <f t="shared" si="28"/>
        <v>0</v>
      </c>
      <c r="BR54" s="241"/>
      <c r="BS54" s="241"/>
      <c r="BT54" s="241">
        <v>742000</v>
      </c>
    </row>
    <row r="55" spans="1:78" s="244" customFormat="1">
      <c r="A55" s="241">
        <f t="shared" si="11"/>
        <v>49</v>
      </c>
      <c r="B55" s="394">
        <v>1736</v>
      </c>
      <c r="C55" s="394" t="s">
        <v>676</v>
      </c>
      <c r="D55" s="14">
        <f>650000-45000</f>
        <v>605000</v>
      </c>
      <c r="E55" s="242">
        <v>650000</v>
      </c>
      <c r="F55" s="242">
        <f t="shared" si="0"/>
        <v>-45000</v>
      </c>
      <c r="G55" s="242">
        <v>650000</v>
      </c>
      <c r="H55" s="242">
        <v>463683</v>
      </c>
      <c r="I55" s="242">
        <v>7605</v>
      </c>
      <c r="J55" s="242">
        <v>130072</v>
      </c>
      <c r="K55" s="242">
        <f t="shared" si="34"/>
        <v>137677</v>
      </c>
      <c r="L55" s="242">
        <f t="shared" si="2"/>
        <v>601360</v>
      </c>
      <c r="M55" s="14">
        <f>P55+S55-45000</f>
        <v>3640</v>
      </c>
      <c r="N55" s="14"/>
      <c r="O55" s="14">
        <f t="shared" si="3"/>
        <v>0</v>
      </c>
      <c r="P55" s="14">
        <f t="shared" si="4"/>
        <v>48640</v>
      </c>
      <c r="Q55" s="14"/>
      <c r="R55" s="14"/>
      <c r="S55" s="14">
        <f t="shared" si="5"/>
        <v>0</v>
      </c>
      <c r="T55" s="14">
        <f t="shared" si="6"/>
        <v>45000</v>
      </c>
      <c r="U55" s="14">
        <f t="shared" si="7"/>
        <v>-45000</v>
      </c>
      <c r="V55" s="242">
        <f t="shared" si="8"/>
        <v>-45000</v>
      </c>
      <c r="W55" s="242"/>
      <c r="X55" s="242"/>
      <c r="Y55" s="241"/>
      <c r="Z55" s="242"/>
      <c r="AA55" s="242"/>
      <c r="AB55" s="242">
        <f t="shared" si="12"/>
        <v>0</v>
      </c>
      <c r="AC55" s="242"/>
      <c r="AD55" s="242"/>
      <c r="AE55" s="242">
        <f t="shared" si="13"/>
        <v>0</v>
      </c>
      <c r="AF55" s="242"/>
      <c r="AG55" s="242"/>
      <c r="AH55" s="242">
        <f t="shared" si="14"/>
        <v>0</v>
      </c>
      <c r="AI55" s="242"/>
      <c r="AJ55" s="242"/>
      <c r="AK55" s="242">
        <f t="shared" si="15"/>
        <v>0</v>
      </c>
      <c r="AL55" s="242"/>
      <c r="AM55" s="242"/>
      <c r="AN55" s="242">
        <f t="shared" si="16"/>
        <v>0</v>
      </c>
      <c r="AO55" s="242"/>
      <c r="AP55" s="242"/>
      <c r="AQ55" s="242">
        <f t="shared" si="17"/>
        <v>0</v>
      </c>
      <c r="AR55" s="242"/>
      <c r="AS55" s="242"/>
      <c r="AT55" s="242">
        <f t="shared" si="18"/>
        <v>0</v>
      </c>
      <c r="AU55" s="242"/>
      <c r="AV55" s="242"/>
      <c r="AW55" s="242">
        <f t="shared" si="19"/>
        <v>0</v>
      </c>
      <c r="AX55" s="242"/>
      <c r="AY55" s="242"/>
      <c r="AZ55" s="242">
        <f t="shared" si="20"/>
        <v>0</v>
      </c>
      <c r="BA55" s="242"/>
      <c r="BB55" s="242"/>
      <c r="BC55" s="242">
        <f t="shared" si="21"/>
        <v>0</v>
      </c>
      <c r="BD55" s="242"/>
      <c r="BE55" s="242"/>
      <c r="BF55" s="242">
        <f t="shared" si="22"/>
        <v>0</v>
      </c>
      <c r="BG55" s="242">
        <f t="shared" si="38"/>
        <v>0</v>
      </c>
      <c r="BH55" s="242"/>
      <c r="BI55" s="242">
        <f t="shared" si="39"/>
        <v>0</v>
      </c>
      <c r="BJ55" s="242">
        <f t="shared" si="25"/>
        <v>-45000</v>
      </c>
      <c r="BK55" s="242">
        <f t="shared" si="26"/>
        <v>0</v>
      </c>
      <c r="BL55" s="242">
        <f t="shared" si="36"/>
        <v>0</v>
      </c>
      <c r="BM55" s="242">
        <f t="shared" si="37"/>
        <v>0</v>
      </c>
      <c r="BN55" s="242">
        <f t="shared" si="27"/>
        <v>0</v>
      </c>
      <c r="BO55" s="241"/>
      <c r="BP55" s="241"/>
      <c r="BQ55" s="242">
        <f t="shared" si="28"/>
        <v>-45000</v>
      </c>
      <c r="BR55" s="241"/>
      <c r="BS55" s="241"/>
      <c r="BT55" s="241">
        <v>826000</v>
      </c>
      <c r="BV55" s="246"/>
      <c r="BW55" s="246"/>
      <c r="BX55" s="246"/>
      <c r="BY55" s="246"/>
      <c r="BZ55" s="246"/>
    </row>
    <row r="56" spans="1:78" s="244" customFormat="1">
      <c r="A56" s="241">
        <f t="shared" si="11"/>
        <v>50</v>
      </c>
      <c r="B56" s="394">
        <v>1742</v>
      </c>
      <c r="C56" s="394" t="s">
        <v>786</v>
      </c>
      <c r="D56" s="14">
        <f>400000-70000</f>
        <v>330000</v>
      </c>
      <c r="E56" s="242">
        <v>400000</v>
      </c>
      <c r="F56" s="242">
        <f t="shared" si="0"/>
        <v>-70000</v>
      </c>
      <c r="G56" s="242">
        <v>400000</v>
      </c>
      <c r="H56" s="242">
        <v>313639</v>
      </c>
      <c r="I56" s="242">
        <v>1907</v>
      </c>
      <c r="J56" s="242"/>
      <c r="K56" s="242">
        <f t="shared" si="34"/>
        <v>1907</v>
      </c>
      <c r="L56" s="242">
        <f t="shared" si="2"/>
        <v>315546</v>
      </c>
      <c r="M56" s="14">
        <f>P56+S56-70000</f>
        <v>14454</v>
      </c>
      <c r="N56" s="14"/>
      <c r="O56" s="14">
        <f t="shared" si="3"/>
        <v>0</v>
      </c>
      <c r="P56" s="14">
        <f t="shared" si="4"/>
        <v>84454</v>
      </c>
      <c r="Q56" s="14"/>
      <c r="R56" s="14"/>
      <c r="S56" s="14">
        <f t="shared" si="5"/>
        <v>0</v>
      </c>
      <c r="T56" s="14">
        <f t="shared" si="6"/>
        <v>70000</v>
      </c>
      <c r="U56" s="14">
        <f t="shared" si="7"/>
        <v>-70000</v>
      </c>
      <c r="V56" s="242">
        <f t="shared" si="8"/>
        <v>-70000</v>
      </c>
      <c r="W56" s="242"/>
      <c r="X56" s="242"/>
      <c r="Y56" s="241"/>
      <c r="Z56" s="242">
        <v>-70000</v>
      </c>
      <c r="AA56" s="242"/>
      <c r="AB56" s="242">
        <f t="shared" si="12"/>
        <v>-70000</v>
      </c>
      <c r="AC56" s="242"/>
      <c r="AD56" s="242"/>
      <c r="AE56" s="242">
        <f t="shared" si="13"/>
        <v>0</v>
      </c>
      <c r="AF56" s="242"/>
      <c r="AG56" s="242"/>
      <c r="AH56" s="242">
        <f t="shared" si="14"/>
        <v>0</v>
      </c>
      <c r="AI56" s="242"/>
      <c r="AJ56" s="242"/>
      <c r="AK56" s="242">
        <f t="shared" si="15"/>
        <v>0</v>
      </c>
      <c r="AL56" s="242"/>
      <c r="AM56" s="242"/>
      <c r="AN56" s="242">
        <f t="shared" si="16"/>
        <v>0</v>
      </c>
      <c r="AO56" s="242"/>
      <c r="AP56" s="242"/>
      <c r="AQ56" s="242">
        <f t="shared" si="17"/>
        <v>0</v>
      </c>
      <c r="AR56" s="242"/>
      <c r="AS56" s="242"/>
      <c r="AT56" s="242">
        <f t="shared" si="18"/>
        <v>0</v>
      </c>
      <c r="AU56" s="242"/>
      <c r="AV56" s="242"/>
      <c r="AW56" s="242">
        <f t="shared" si="19"/>
        <v>0</v>
      </c>
      <c r="AX56" s="242"/>
      <c r="AY56" s="242"/>
      <c r="AZ56" s="242">
        <f t="shared" si="20"/>
        <v>0</v>
      </c>
      <c r="BA56" s="242"/>
      <c r="BB56" s="242"/>
      <c r="BC56" s="242">
        <f t="shared" si="21"/>
        <v>0</v>
      </c>
      <c r="BD56" s="242"/>
      <c r="BE56" s="242"/>
      <c r="BF56" s="242">
        <f t="shared" si="22"/>
        <v>0</v>
      </c>
      <c r="BG56" s="242">
        <f t="shared" si="38"/>
        <v>-70000</v>
      </c>
      <c r="BH56" s="242"/>
      <c r="BI56" s="242">
        <f t="shared" si="39"/>
        <v>-70000</v>
      </c>
      <c r="BJ56" s="242">
        <f t="shared" si="25"/>
        <v>0</v>
      </c>
      <c r="BK56" s="242">
        <f t="shared" si="26"/>
        <v>-70000</v>
      </c>
      <c r="BL56" s="242">
        <f t="shared" si="36"/>
        <v>0</v>
      </c>
      <c r="BM56" s="242">
        <f t="shared" si="37"/>
        <v>0</v>
      </c>
      <c r="BN56" s="242">
        <f t="shared" si="27"/>
        <v>0</v>
      </c>
      <c r="BO56" s="241"/>
      <c r="BP56" s="241"/>
      <c r="BQ56" s="242">
        <f t="shared" si="28"/>
        <v>0</v>
      </c>
      <c r="BR56" s="241"/>
      <c r="BS56" s="241"/>
      <c r="BT56" s="241">
        <v>746000</v>
      </c>
      <c r="BV56" s="246"/>
      <c r="BW56" s="246"/>
      <c r="BX56" s="246"/>
      <c r="BY56" s="246"/>
      <c r="BZ56" s="246"/>
    </row>
    <row r="57" spans="1:78" s="244" customFormat="1">
      <c r="A57" s="241">
        <f t="shared" si="11"/>
        <v>51</v>
      </c>
      <c r="B57" s="394">
        <v>1743</v>
      </c>
      <c r="C57" s="394" t="s">
        <v>787</v>
      </c>
      <c r="D57" s="14">
        <v>200000</v>
      </c>
      <c r="E57" s="242">
        <v>200000</v>
      </c>
      <c r="F57" s="242">
        <f t="shared" si="0"/>
        <v>0</v>
      </c>
      <c r="G57" s="242">
        <v>200000</v>
      </c>
      <c r="H57" s="393">
        <v>173730</v>
      </c>
      <c r="I57" s="242">
        <v>16068.53</v>
      </c>
      <c r="J57" s="242"/>
      <c r="K57" s="242">
        <f t="shared" si="34"/>
        <v>16068.53</v>
      </c>
      <c r="L57" s="242">
        <f t="shared" si="2"/>
        <v>189798.53</v>
      </c>
      <c r="M57" s="14">
        <f t="shared" si="35"/>
        <v>10201.470000000001</v>
      </c>
      <c r="N57" s="14"/>
      <c r="O57" s="14">
        <f t="shared" si="3"/>
        <v>0</v>
      </c>
      <c r="P57" s="14">
        <f t="shared" si="4"/>
        <v>10201.470000000001</v>
      </c>
      <c r="Q57" s="14"/>
      <c r="R57" s="14"/>
      <c r="S57" s="14">
        <f t="shared" si="5"/>
        <v>0</v>
      </c>
      <c r="T57" s="14">
        <f t="shared" si="6"/>
        <v>0</v>
      </c>
      <c r="U57" s="14">
        <f t="shared" si="7"/>
        <v>0</v>
      </c>
      <c r="V57" s="242">
        <f t="shared" si="8"/>
        <v>0</v>
      </c>
      <c r="W57" s="242"/>
      <c r="X57" s="242"/>
      <c r="Y57" s="241"/>
      <c r="Z57" s="242"/>
      <c r="AA57" s="242"/>
      <c r="AB57" s="242">
        <f t="shared" si="12"/>
        <v>0</v>
      </c>
      <c r="AC57" s="242"/>
      <c r="AD57" s="242"/>
      <c r="AE57" s="242">
        <f t="shared" si="13"/>
        <v>0</v>
      </c>
      <c r="AF57" s="242"/>
      <c r="AG57" s="242"/>
      <c r="AH57" s="242">
        <f t="shared" si="14"/>
        <v>0</v>
      </c>
      <c r="AI57" s="242"/>
      <c r="AJ57" s="242"/>
      <c r="AK57" s="242">
        <f t="shared" si="15"/>
        <v>0</v>
      </c>
      <c r="AL57" s="242"/>
      <c r="AM57" s="242"/>
      <c r="AN57" s="242">
        <f t="shared" si="16"/>
        <v>0</v>
      </c>
      <c r="AO57" s="242"/>
      <c r="AP57" s="242"/>
      <c r="AQ57" s="242">
        <f t="shared" si="17"/>
        <v>0</v>
      </c>
      <c r="AR57" s="242"/>
      <c r="AS57" s="242"/>
      <c r="AT57" s="242">
        <f t="shared" si="18"/>
        <v>0</v>
      </c>
      <c r="AU57" s="242"/>
      <c r="AV57" s="242"/>
      <c r="AW57" s="242">
        <f t="shared" si="19"/>
        <v>0</v>
      </c>
      <c r="AX57" s="242"/>
      <c r="AY57" s="242"/>
      <c r="AZ57" s="242">
        <f t="shared" si="20"/>
        <v>0</v>
      </c>
      <c r="BA57" s="242"/>
      <c r="BB57" s="242"/>
      <c r="BC57" s="242">
        <f t="shared" si="21"/>
        <v>0</v>
      </c>
      <c r="BD57" s="242"/>
      <c r="BE57" s="242"/>
      <c r="BF57" s="242">
        <f t="shared" si="22"/>
        <v>0</v>
      </c>
      <c r="BG57" s="242">
        <f t="shared" si="38"/>
        <v>0</v>
      </c>
      <c r="BH57" s="242"/>
      <c r="BI57" s="242">
        <f t="shared" si="39"/>
        <v>0</v>
      </c>
      <c r="BJ57" s="242">
        <f t="shared" si="25"/>
        <v>0</v>
      </c>
      <c r="BK57" s="242">
        <f t="shared" si="26"/>
        <v>0</v>
      </c>
      <c r="BL57" s="242">
        <f t="shared" si="36"/>
        <v>0</v>
      </c>
      <c r="BM57" s="242">
        <f t="shared" si="37"/>
        <v>0</v>
      </c>
      <c r="BN57" s="242">
        <f t="shared" si="27"/>
        <v>0</v>
      </c>
      <c r="BO57" s="241"/>
      <c r="BP57" s="241"/>
      <c r="BQ57" s="242">
        <f t="shared" si="28"/>
        <v>0</v>
      </c>
      <c r="BR57" s="241"/>
      <c r="BS57" s="241"/>
      <c r="BT57" s="241">
        <v>742000</v>
      </c>
      <c r="BV57" s="246"/>
      <c r="BW57" s="246"/>
      <c r="BX57" s="246"/>
      <c r="BY57" s="246"/>
      <c r="BZ57" s="246"/>
    </row>
    <row r="58" spans="1:78" s="244" customFormat="1">
      <c r="A58" s="241">
        <f t="shared" si="11"/>
        <v>52</v>
      </c>
      <c r="B58" s="241">
        <v>1744</v>
      </c>
      <c r="C58" s="241" t="s">
        <v>58</v>
      </c>
      <c r="D58" s="14">
        <v>13000000</v>
      </c>
      <c r="E58" s="242">
        <v>13000000</v>
      </c>
      <c r="F58" s="242">
        <f t="shared" si="0"/>
        <v>0</v>
      </c>
      <c r="G58" s="242">
        <v>1000000</v>
      </c>
      <c r="H58" s="242">
        <v>0</v>
      </c>
      <c r="I58" s="242"/>
      <c r="J58" s="242"/>
      <c r="K58" s="242">
        <f t="shared" si="34"/>
        <v>0</v>
      </c>
      <c r="L58" s="242">
        <f t="shared" si="2"/>
        <v>0</v>
      </c>
      <c r="M58" s="14">
        <f t="shared" si="35"/>
        <v>7200000</v>
      </c>
      <c r="N58" s="14"/>
      <c r="O58" s="14">
        <f t="shared" si="3"/>
        <v>5800000</v>
      </c>
      <c r="P58" s="14">
        <f t="shared" si="4"/>
        <v>1000000</v>
      </c>
      <c r="Q58" s="14"/>
      <c r="R58" s="14">
        <v>6200000</v>
      </c>
      <c r="S58" s="14">
        <f t="shared" si="5"/>
        <v>6200000</v>
      </c>
      <c r="T58" s="14">
        <f t="shared" si="6"/>
        <v>0</v>
      </c>
      <c r="U58" s="14">
        <f t="shared" si="7"/>
        <v>0</v>
      </c>
      <c r="V58" s="242">
        <f t="shared" si="8"/>
        <v>0</v>
      </c>
      <c r="W58" s="242"/>
      <c r="X58" s="242"/>
      <c r="Y58" s="241"/>
      <c r="Z58" s="242"/>
      <c r="AA58" s="242"/>
      <c r="AB58" s="242">
        <f t="shared" si="12"/>
        <v>0</v>
      </c>
      <c r="AC58" s="242"/>
      <c r="AD58" s="242"/>
      <c r="AE58" s="242">
        <f t="shared" si="13"/>
        <v>0</v>
      </c>
      <c r="AF58" s="242"/>
      <c r="AG58" s="242"/>
      <c r="AH58" s="242">
        <f t="shared" si="14"/>
        <v>0</v>
      </c>
      <c r="AI58" s="242"/>
      <c r="AJ58" s="242"/>
      <c r="AK58" s="242">
        <f t="shared" si="15"/>
        <v>0</v>
      </c>
      <c r="AL58" s="242"/>
      <c r="AM58" s="242"/>
      <c r="AN58" s="242">
        <f t="shared" si="16"/>
        <v>0</v>
      </c>
      <c r="AO58" s="242"/>
      <c r="AP58" s="242"/>
      <c r="AQ58" s="242">
        <f t="shared" si="17"/>
        <v>0</v>
      </c>
      <c r="AR58" s="242"/>
      <c r="AS58" s="242"/>
      <c r="AT58" s="242">
        <f t="shared" si="18"/>
        <v>0</v>
      </c>
      <c r="AU58" s="242"/>
      <c r="AV58" s="242"/>
      <c r="AW58" s="242">
        <f t="shared" si="19"/>
        <v>0</v>
      </c>
      <c r="AX58" s="242"/>
      <c r="AY58" s="242"/>
      <c r="AZ58" s="242">
        <f t="shared" si="20"/>
        <v>0</v>
      </c>
      <c r="BA58" s="242"/>
      <c r="BB58" s="242"/>
      <c r="BC58" s="242">
        <f t="shared" si="21"/>
        <v>0</v>
      </c>
      <c r="BD58" s="242"/>
      <c r="BE58" s="242"/>
      <c r="BF58" s="242">
        <f t="shared" si="22"/>
        <v>0</v>
      </c>
      <c r="BG58" s="242">
        <f t="shared" si="38"/>
        <v>0</v>
      </c>
      <c r="BH58" s="242"/>
      <c r="BI58" s="242">
        <f t="shared" si="39"/>
        <v>0</v>
      </c>
      <c r="BJ58" s="242">
        <f t="shared" si="25"/>
        <v>0</v>
      </c>
      <c r="BK58" s="242">
        <f t="shared" si="26"/>
        <v>0</v>
      </c>
      <c r="BL58" s="242">
        <f t="shared" si="36"/>
        <v>0</v>
      </c>
      <c r="BM58" s="242">
        <f t="shared" si="37"/>
        <v>0</v>
      </c>
      <c r="BN58" s="242">
        <f t="shared" si="27"/>
        <v>0</v>
      </c>
      <c r="BO58" s="241"/>
      <c r="BP58" s="241"/>
      <c r="BQ58" s="242">
        <f t="shared" si="28"/>
        <v>0</v>
      </c>
      <c r="BR58" s="241"/>
      <c r="BS58" s="241"/>
      <c r="BT58" s="241">
        <v>742000</v>
      </c>
    </row>
    <row r="59" spans="1:78" s="246" customFormat="1">
      <c r="A59" s="241">
        <f t="shared" si="11"/>
        <v>53</v>
      </c>
      <c r="B59" s="13">
        <v>1746</v>
      </c>
      <c r="C59" s="13" t="s">
        <v>40</v>
      </c>
      <c r="D59" s="14">
        <v>55000000</v>
      </c>
      <c r="E59" s="14">
        <v>8000000</v>
      </c>
      <c r="F59" s="14">
        <f t="shared" si="0"/>
        <v>47000000</v>
      </c>
      <c r="G59" s="14">
        <v>0</v>
      </c>
      <c r="H59" s="14">
        <v>0</v>
      </c>
      <c r="I59" s="14"/>
      <c r="J59" s="14"/>
      <c r="K59" s="14">
        <f t="shared" si="34"/>
        <v>0</v>
      </c>
      <c r="L59" s="14">
        <f t="shared" si="2"/>
        <v>0</v>
      </c>
      <c r="M59" s="14">
        <f t="shared" si="35"/>
        <v>0</v>
      </c>
      <c r="N59" s="14"/>
      <c r="O59" s="14">
        <f t="shared" si="3"/>
        <v>55000000</v>
      </c>
      <c r="P59" s="14">
        <f t="shared" si="4"/>
        <v>0</v>
      </c>
      <c r="Q59" s="14"/>
      <c r="R59" s="14"/>
      <c r="S59" s="14">
        <f t="shared" si="5"/>
        <v>0</v>
      </c>
      <c r="T59" s="14">
        <f t="shared" si="6"/>
        <v>0</v>
      </c>
      <c r="U59" s="14">
        <f t="shared" si="7"/>
        <v>0</v>
      </c>
      <c r="V59" s="14">
        <f t="shared" si="8"/>
        <v>0</v>
      </c>
      <c r="W59" s="14"/>
      <c r="X59" s="14"/>
      <c r="Y59" s="14"/>
      <c r="Z59" s="242"/>
      <c r="AA59" s="242"/>
      <c r="AB59" s="242">
        <f t="shared" si="12"/>
        <v>0</v>
      </c>
      <c r="AC59" s="242"/>
      <c r="AD59" s="242"/>
      <c r="AE59" s="242">
        <f t="shared" si="13"/>
        <v>0</v>
      </c>
      <c r="AF59" s="242"/>
      <c r="AG59" s="242"/>
      <c r="AH59" s="242">
        <f t="shared" si="14"/>
        <v>0</v>
      </c>
      <c r="AI59" s="242"/>
      <c r="AJ59" s="242"/>
      <c r="AK59" s="242">
        <f t="shared" si="15"/>
        <v>0</v>
      </c>
      <c r="AL59" s="242"/>
      <c r="AM59" s="242"/>
      <c r="AN59" s="242">
        <f t="shared" si="16"/>
        <v>0</v>
      </c>
      <c r="AO59" s="242"/>
      <c r="AP59" s="242"/>
      <c r="AQ59" s="242">
        <f t="shared" si="17"/>
        <v>0</v>
      </c>
      <c r="AR59" s="242"/>
      <c r="AS59" s="242"/>
      <c r="AT59" s="242">
        <f t="shared" si="18"/>
        <v>0</v>
      </c>
      <c r="AU59" s="242"/>
      <c r="AV59" s="242"/>
      <c r="AW59" s="242">
        <f t="shared" si="19"/>
        <v>0</v>
      </c>
      <c r="AX59" s="242"/>
      <c r="AY59" s="242"/>
      <c r="AZ59" s="242">
        <f t="shared" si="20"/>
        <v>0</v>
      </c>
      <c r="BA59" s="242"/>
      <c r="BB59" s="242"/>
      <c r="BC59" s="242">
        <f t="shared" si="21"/>
        <v>0</v>
      </c>
      <c r="BD59" s="242"/>
      <c r="BE59" s="242"/>
      <c r="BF59" s="242">
        <f t="shared" si="22"/>
        <v>0</v>
      </c>
      <c r="BG59" s="242">
        <f t="shared" si="38"/>
        <v>0</v>
      </c>
      <c r="BH59" s="242"/>
      <c r="BI59" s="242">
        <f t="shared" si="39"/>
        <v>0</v>
      </c>
      <c r="BJ59" s="242">
        <f t="shared" si="25"/>
        <v>0</v>
      </c>
      <c r="BK59" s="242">
        <f t="shared" si="26"/>
        <v>0</v>
      </c>
      <c r="BL59" s="242">
        <f t="shared" si="36"/>
        <v>0</v>
      </c>
      <c r="BM59" s="242">
        <f t="shared" si="37"/>
        <v>0</v>
      </c>
      <c r="BN59" s="242">
        <f t="shared" si="27"/>
        <v>0</v>
      </c>
      <c r="BO59" s="241"/>
      <c r="BP59" s="241"/>
      <c r="BQ59" s="242">
        <f t="shared" si="28"/>
        <v>0</v>
      </c>
      <c r="BR59" s="241"/>
      <c r="BS59" s="241"/>
      <c r="BT59" s="13">
        <v>742000</v>
      </c>
      <c r="BU59" s="15"/>
      <c r="BV59" s="15"/>
      <c r="BW59" s="15"/>
      <c r="BX59" s="15"/>
      <c r="BY59" s="15"/>
      <c r="BZ59" s="15"/>
    </row>
    <row r="60" spans="1:78" s="246" customFormat="1">
      <c r="A60" s="241">
        <f t="shared" si="11"/>
        <v>54</v>
      </c>
      <c r="B60" s="241">
        <v>1748</v>
      </c>
      <c r="C60" s="241" t="s">
        <v>57</v>
      </c>
      <c r="D60" s="14">
        <f>1000000-880000</f>
        <v>120000</v>
      </c>
      <c r="E60" s="242">
        <v>1000000</v>
      </c>
      <c r="F60" s="14">
        <f t="shared" si="0"/>
        <v>-880000</v>
      </c>
      <c r="G60" s="242">
        <v>300000</v>
      </c>
      <c r="H60" s="242">
        <v>53100</v>
      </c>
      <c r="I60" s="242">
        <v>5900</v>
      </c>
      <c r="J60" s="242">
        <v>29281</v>
      </c>
      <c r="K60" s="242">
        <f t="shared" si="34"/>
        <v>35181</v>
      </c>
      <c r="L60" s="242">
        <f t="shared" si="2"/>
        <v>88281</v>
      </c>
      <c r="M60" s="14">
        <f>P60+S60-180000</f>
        <v>31719</v>
      </c>
      <c r="N60" s="14"/>
      <c r="O60" s="14">
        <f t="shared" si="3"/>
        <v>0</v>
      </c>
      <c r="P60" s="14">
        <f t="shared" si="4"/>
        <v>211719</v>
      </c>
      <c r="Q60" s="14"/>
      <c r="R60" s="14"/>
      <c r="S60" s="14">
        <f t="shared" si="5"/>
        <v>0</v>
      </c>
      <c r="T60" s="14">
        <f t="shared" si="6"/>
        <v>180000</v>
      </c>
      <c r="U60" s="14">
        <f t="shared" si="7"/>
        <v>-180000</v>
      </c>
      <c r="V60" s="242">
        <f t="shared" si="8"/>
        <v>-180000</v>
      </c>
      <c r="W60" s="242"/>
      <c r="X60" s="242"/>
      <c r="Y60" s="241"/>
      <c r="Z60" s="242"/>
      <c r="AA60" s="242">
        <v>-180000</v>
      </c>
      <c r="AB60" s="242">
        <f t="shared" si="12"/>
        <v>-180000</v>
      </c>
      <c r="AC60" s="242"/>
      <c r="AD60" s="242"/>
      <c r="AE60" s="242">
        <f t="shared" si="13"/>
        <v>0</v>
      </c>
      <c r="AF60" s="242"/>
      <c r="AG60" s="242"/>
      <c r="AH60" s="242">
        <f t="shared" si="14"/>
        <v>0</v>
      </c>
      <c r="AI60" s="242"/>
      <c r="AJ60" s="242"/>
      <c r="AK60" s="242">
        <f t="shared" si="15"/>
        <v>0</v>
      </c>
      <c r="AL60" s="242"/>
      <c r="AM60" s="242"/>
      <c r="AN60" s="242">
        <f t="shared" si="16"/>
        <v>0</v>
      </c>
      <c r="AO60" s="242"/>
      <c r="AP60" s="242"/>
      <c r="AQ60" s="242">
        <f t="shared" si="17"/>
        <v>0</v>
      </c>
      <c r="AR60" s="242"/>
      <c r="AS60" s="242"/>
      <c r="AT60" s="242">
        <f t="shared" si="18"/>
        <v>0</v>
      </c>
      <c r="AU60" s="242"/>
      <c r="AV60" s="242"/>
      <c r="AW60" s="242">
        <f t="shared" si="19"/>
        <v>0</v>
      </c>
      <c r="AX60" s="242"/>
      <c r="AY60" s="242"/>
      <c r="AZ60" s="242">
        <f t="shared" si="20"/>
        <v>0</v>
      </c>
      <c r="BA60" s="242"/>
      <c r="BB60" s="242"/>
      <c r="BC60" s="242">
        <f t="shared" si="21"/>
        <v>0</v>
      </c>
      <c r="BD60" s="242"/>
      <c r="BE60" s="242"/>
      <c r="BF60" s="242">
        <f t="shared" si="22"/>
        <v>0</v>
      </c>
      <c r="BG60" s="242">
        <f t="shared" si="38"/>
        <v>-180000</v>
      </c>
      <c r="BH60" s="242"/>
      <c r="BI60" s="242">
        <f t="shared" si="39"/>
        <v>-180000</v>
      </c>
      <c r="BJ60" s="242">
        <f t="shared" si="25"/>
        <v>0</v>
      </c>
      <c r="BK60" s="242">
        <f t="shared" si="26"/>
        <v>-180000</v>
      </c>
      <c r="BL60" s="242">
        <f t="shared" si="36"/>
        <v>0</v>
      </c>
      <c r="BM60" s="242">
        <f t="shared" si="37"/>
        <v>0</v>
      </c>
      <c r="BN60" s="242">
        <f t="shared" si="27"/>
        <v>0</v>
      </c>
      <c r="BO60" s="241"/>
      <c r="BP60" s="241"/>
      <c r="BQ60" s="242">
        <f t="shared" si="28"/>
        <v>0</v>
      </c>
      <c r="BR60" s="241"/>
      <c r="BS60" s="241"/>
      <c r="BT60" s="241">
        <v>732000</v>
      </c>
      <c r="BU60" s="244"/>
      <c r="BV60" s="244"/>
      <c r="BW60" s="244"/>
      <c r="BX60" s="244"/>
      <c r="BY60" s="244"/>
      <c r="BZ60" s="244"/>
    </row>
    <row r="61" spans="1:78" s="244" customFormat="1">
      <c r="A61" s="241">
        <f t="shared" si="11"/>
        <v>55</v>
      </c>
      <c r="B61" s="394">
        <v>1754</v>
      </c>
      <c r="C61" s="394" t="s">
        <v>677</v>
      </c>
      <c r="D61" s="14">
        <v>300000</v>
      </c>
      <c r="E61" s="242">
        <v>300000</v>
      </c>
      <c r="F61" s="14">
        <f t="shared" si="0"/>
        <v>0</v>
      </c>
      <c r="G61" s="242">
        <v>300000</v>
      </c>
      <c r="H61" s="242">
        <v>0</v>
      </c>
      <c r="I61" s="242"/>
      <c r="J61" s="242"/>
      <c r="K61" s="242">
        <f t="shared" si="34"/>
        <v>0</v>
      </c>
      <c r="L61" s="242">
        <f t="shared" si="2"/>
        <v>0</v>
      </c>
      <c r="M61" s="14">
        <f t="shared" ref="M61:M70" si="40">P61+S61</f>
        <v>300000</v>
      </c>
      <c r="N61" s="14"/>
      <c r="O61" s="14">
        <f t="shared" si="3"/>
        <v>0</v>
      </c>
      <c r="P61" s="14">
        <f t="shared" si="4"/>
        <v>300000</v>
      </c>
      <c r="Q61" s="14"/>
      <c r="R61" s="14"/>
      <c r="S61" s="14">
        <f t="shared" si="5"/>
        <v>0</v>
      </c>
      <c r="T61" s="14">
        <f t="shared" si="6"/>
        <v>0</v>
      </c>
      <c r="U61" s="14">
        <f t="shared" si="7"/>
        <v>0</v>
      </c>
      <c r="V61" s="242">
        <f t="shared" si="8"/>
        <v>0</v>
      </c>
      <c r="W61" s="242"/>
      <c r="X61" s="242"/>
      <c r="Y61" s="241"/>
      <c r="Z61" s="242"/>
      <c r="AA61" s="242"/>
      <c r="AB61" s="242">
        <f t="shared" si="12"/>
        <v>0</v>
      </c>
      <c r="AC61" s="242"/>
      <c r="AD61" s="242"/>
      <c r="AE61" s="242">
        <f t="shared" si="13"/>
        <v>0</v>
      </c>
      <c r="AF61" s="242"/>
      <c r="AG61" s="242"/>
      <c r="AH61" s="242">
        <f t="shared" si="14"/>
        <v>0</v>
      </c>
      <c r="AI61" s="242"/>
      <c r="AJ61" s="242"/>
      <c r="AK61" s="242">
        <f t="shared" si="15"/>
        <v>0</v>
      </c>
      <c r="AL61" s="242"/>
      <c r="AM61" s="242"/>
      <c r="AN61" s="242">
        <f t="shared" si="16"/>
        <v>0</v>
      </c>
      <c r="AO61" s="242"/>
      <c r="AP61" s="242"/>
      <c r="AQ61" s="242">
        <f t="shared" si="17"/>
        <v>0</v>
      </c>
      <c r="AR61" s="242"/>
      <c r="AS61" s="242"/>
      <c r="AT61" s="242">
        <f t="shared" si="18"/>
        <v>0</v>
      </c>
      <c r="AU61" s="242"/>
      <c r="AV61" s="242"/>
      <c r="AW61" s="242">
        <f t="shared" si="19"/>
        <v>0</v>
      </c>
      <c r="AX61" s="242"/>
      <c r="AY61" s="242"/>
      <c r="AZ61" s="242">
        <f t="shared" si="20"/>
        <v>0</v>
      </c>
      <c r="BA61" s="242"/>
      <c r="BB61" s="242"/>
      <c r="BC61" s="242">
        <f t="shared" si="21"/>
        <v>0</v>
      </c>
      <c r="BD61" s="242"/>
      <c r="BE61" s="242"/>
      <c r="BF61" s="242">
        <f t="shared" si="22"/>
        <v>0</v>
      </c>
      <c r="BG61" s="242">
        <f t="shared" si="38"/>
        <v>0</v>
      </c>
      <c r="BH61" s="242"/>
      <c r="BI61" s="242">
        <f t="shared" si="39"/>
        <v>0</v>
      </c>
      <c r="BJ61" s="242">
        <f t="shared" si="25"/>
        <v>0</v>
      </c>
      <c r="BK61" s="242">
        <f t="shared" si="26"/>
        <v>0</v>
      </c>
      <c r="BL61" s="242">
        <f t="shared" si="36"/>
        <v>0</v>
      </c>
      <c r="BM61" s="242">
        <f t="shared" si="37"/>
        <v>0</v>
      </c>
      <c r="BN61" s="242">
        <f t="shared" si="27"/>
        <v>0</v>
      </c>
      <c r="BO61" s="241"/>
      <c r="BP61" s="241"/>
      <c r="BQ61" s="242">
        <f t="shared" si="28"/>
        <v>0</v>
      </c>
      <c r="BR61" s="241"/>
      <c r="BS61" s="241"/>
      <c r="BT61" s="241">
        <v>742000</v>
      </c>
    </row>
    <row r="62" spans="1:78" s="244" customFormat="1">
      <c r="A62" s="241">
        <f t="shared" si="11"/>
        <v>56</v>
      </c>
      <c r="B62" s="241">
        <v>1804</v>
      </c>
      <c r="C62" s="241" t="s">
        <v>235</v>
      </c>
      <c r="D62" s="14">
        <v>200000</v>
      </c>
      <c r="E62" s="242">
        <v>200000</v>
      </c>
      <c r="F62" s="242">
        <f t="shared" si="0"/>
        <v>0</v>
      </c>
      <c r="G62" s="242">
        <v>200000</v>
      </c>
      <c r="H62" s="242">
        <v>0</v>
      </c>
      <c r="I62" s="242"/>
      <c r="J62" s="242"/>
      <c r="K62" s="242">
        <f t="shared" si="34"/>
        <v>0</v>
      </c>
      <c r="L62" s="242">
        <f t="shared" si="2"/>
        <v>0</v>
      </c>
      <c r="M62" s="14">
        <f t="shared" si="40"/>
        <v>200000</v>
      </c>
      <c r="N62" s="14"/>
      <c r="O62" s="14">
        <f t="shared" si="3"/>
        <v>0</v>
      </c>
      <c r="P62" s="14">
        <f t="shared" si="4"/>
        <v>200000</v>
      </c>
      <c r="Q62" s="14"/>
      <c r="R62" s="14"/>
      <c r="S62" s="14">
        <f t="shared" si="5"/>
        <v>0</v>
      </c>
      <c r="T62" s="14">
        <f t="shared" si="6"/>
        <v>0</v>
      </c>
      <c r="U62" s="14">
        <f t="shared" si="7"/>
        <v>0</v>
      </c>
      <c r="V62" s="242">
        <f t="shared" si="8"/>
        <v>0</v>
      </c>
      <c r="W62" s="242"/>
      <c r="X62" s="242"/>
      <c r="Y62" s="241"/>
      <c r="Z62" s="242"/>
      <c r="AA62" s="242"/>
      <c r="AB62" s="242">
        <f t="shared" si="12"/>
        <v>0</v>
      </c>
      <c r="AC62" s="242"/>
      <c r="AD62" s="242"/>
      <c r="AE62" s="242">
        <f t="shared" si="13"/>
        <v>0</v>
      </c>
      <c r="AF62" s="242"/>
      <c r="AG62" s="242"/>
      <c r="AH62" s="242">
        <f t="shared" si="14"/>
        <v>0</v>
      </c>
      <c r="AI62" s="242"/>
      <c r="AJ62" s="242"/>
      <c r="AK62" s="242">
        <f t="shared" si="15"/>
        <v>0</v>
      </c>
      <c r="AL62" s="242"/>
      <c r="AM62" s="242"/>
      <c r="AN62" s="242">
        <f t="shared" si="16"/>
        <v>0</v>
      </c>
      <c r="AO62" s="242"/>
      <c r="AP62" s="242"/>
      <c r="AQ62" s="242">
        <f t="shared" si="17"/>
        <v>0</v>
      </c>
      <c r="AR62" s="242"/>
      <c r="AS62" s="242"/>
      <c r="AT62" s="242">
        <f t="shared" si="18"/>
        <v>0</v>
      </c>
      <c r="AU62" s="242"/>
      <c r="AV62" s="242"/>
      <c r="AW62" s="242">
        <f t="shared" si="19"/>
        <v>0</v>
      </c>
      <c r="AX62" s="242"/>
      <c r="AY62" s="242"/>
      <c r="AZ62" s="242">
        <f t="shared" si="20"/>
        <v>0</v>
      </c>
      <c r="BA62" s="242"/>
      <c r="BB62" s="242"/>
      <c r="BC62" s="242">
        <f t="shared" si="21"/>
        <v>0</v>
      </c>
      <c r="BD62" s="242"/>
      <c r="BE62" s="242"/>
      <c r="BF62" s="242">
        <f t="shared" si="22"/>
        <v>0</v>
      </c>
      <c r="BG62" s="242">
        <f t="shared" si="38"/>
        <v>0</v>
      </c>
      <c r="BH62" s="242"/>
      <c r="BI62" s="242">
        <f t="shared" si="39"/>
        <v>0</v>
      </c>
      <c r="BJ62" s="242">
        <f t="shared" si="25"/>
        <v>0</v>
      </c>
      <c r="BK62" s="242">
        <f t="shared" si="26"/>
        <v>0</v>
      </c>
      <c r="BL62" s="242">
        <f t="shared" si="36"/>
        <v>0</v>
      </c>
      <c r="BM62" s="242">
        <f t="shared" si="37"/>
        <v>0</v>
      </c>
      <c r="BN62" s="242">
        <f t="shared" si="27"/>
        <v>0</v>
      </c>
      <c r="BO62" s="241"/>
      <c r="BP62" s="241"/>
      <c r="BQ62" s="242">
        <f t="shared" si="28"/>
        <v>0</v>
      </c>
      <c r="BR62" s="241"/>
      <c r="BS62" s="241"/>
      <c r="BT62" s="241">
        <v>742000</v>
      </c>
    </row>
    <row r="63" spans="1:78" s="246" customFormat="1">
      <c r="A63" s="241">
        <f t="shared" si="11"/>
        <v>57</v>
      </c>
      <c r="B63" s="241">
        <v>1805</v>
      </c>
      <c r="C63" s="241" t="s">
        <v>236</v>
      </c>
      <c r="D63" s="14">
        <v>1000000</v>
      </c>
      <c r="E63" s="242">
        <v>1000000</v>
      </c>
      <c r="F63" s="14">
        <f t="shared" si="0"/>
        <v>0</v>
      </c>
      <c r="G63" s="242">
        <v>1000000</v>
      </c>
      <c r="H63" s="242">
        <v>0</v>
      </c>
      <c r="I63" s="242">
        <v>2676.96</v>
      </c>
      <c r="J63" s="242"/>
      <c r="K63" s="242">
        <f t="shared" si="34"/>
        <v>2676.96</v>
      </c>
      <c r="L63" s="242">
        <f t="shared" si="2"/>
        <v>2676.96</v>
      </c>
      <c r="M63" s="14">
        <f t="shared" si="40"/>
        <v>997323.04</v>
      </c>
      <c r="N63" s="14"/>
      <c r="O63" s="14">
        <f t="shared" si="3"/>
        <v>0</v>
      </c>
      <c r="P63" s="14">
        <f t="shared" si="4"/>
        <v>997323.04</v>
      </c>
      <c r="Q63" s="14"/>
      <c r="R63" s="14"/>
      <c r="S63" s="14">
        <f t="shared" si="5"/>
        <v>0</v>
      </c>
      <c r="T63" s="14">
        <f t="shared" si="6"/>
        <v>0</v>
      </c>
      <c r="U63" s="14">
        <f t="shared" si="7"/>
        <v>0</v>
      </c>
      <c r="V63" s="242">
        <f t="shared" si="8"/>
        <v>0</v>
      </c>
      <c r="W63" s="242"/>
      <c r="X63" s="242"/>
      <c r="Y63" s="242"/>
      <c r="Z63" s="242"/>
      <c r="AA63" s="242"/>
      <c r="AB63" s="242">
        <f t="shared" si="12"/>
        <v>0</v>
      </c>
      <c r="AC63" s="242"/>
      <c r="AD63" s="242"/>
      <c r="AE63" s="242">
        <f t="shared" si="13"/>
        <v>0</v>
      </c>
      <c r="AF63" s="242"/>
      <c r="AG63" s="242"/>
      <c r="AH63" s="242">
        <f t="shared" si="14"/>
        <v>0</v>
      </c>
      <c r="AI63" s="242"/>
      <c r="AJ63" s="242"/>
      <c r="AK63" s="242">
        <f t="shared" si="15"/>
        <v>0</v>
      </c>
      <c r="AL63" s="242"/>
      <c r="AM63" s="242"/>
      <c r="AN63" s="242">
        <f t="shared" si="16"/>
        <v>0</v>
      </c>
      <c r="AO63" s="242"/>
      <c r="AP63" s="242"/>
      <c r="AQ63" s="242">
        <f t="shared" si="17"/>
        <v>0</v>
      </c>
      <c r="AR63" s="242"/>
      <c r="AS63" s="242"/>
      <c r="AT63" s="242">
        <f t="shared" si="18"/>
        <v>0</v>
      </c>
      <c r="AU63" s="242"/>
      <c r="AV63" s="242"/>
      <c r="AW63" s="242">
        <f t="shared" si="19"/>
        <v>0</v>
      </c>
      <c r="AX63" s="242"/>
      <c r="AY63" s="242"/>
      <c r="AZ63" s="242">
        <f t="shared" si="20"/>
        <v>0</v>
      </c>
      <c r="BA63" s="242"/>
      <c r="BB63" s="242"/>
      <c r="BC63" s="242">
        <f t="shared" si="21"/>
        <v>0</v>
      </c>
      <c r="BD63" s="242"/>
      <c r="BE63" s="242"/>
      <c r="BF63" s="242">
        <f t="shared" si="22"/>
        <v>0</v>
      </c>
      <c r="BG63" s="242">
        <f t="shared" si="38"/>
        <v>0</v>
      </c>
      <c r="BH63" s="242"/>
      <c r="BI63" s="242">
        <f t="shared" si="39"/>
        <v>0</v>
      </c>
      <c r="BJ63" s="242">
        <f t="shared" si="25"/>
        <v>0</v>
      </c>
      <c r="BK63" s="242">
        <f t="shared" si="26"/>
        <v>0</v>
      </c>
      <c r="BL63" s="242">
        <f t="shared" si="36"/>
        <v>0</v>
      </c>
      <c r="BM63" s="242">
        <f t="shared" si="37"/>
        <v>0</v>
      </c>
      <c r="BN63" s="242">
        <f t="shared" si="27"/>
        <v>0</v>
      </c>
      <c r="BO63" s="241"/>
      <c r="BP63" s="241"/>
      <c r="BQ63" s="242">
        <f t="shared" si="28"/>
        <v>0</v>
      </c>
      <c r="BR63" s="241"/>
      <c r="BS63" s="241"/>
      <c r="BT63" s="241">
        <v>742000</v>
      </c>
      <c r="BU63" s="244"/>
      <c r="BV63" s="244"/>
      <c r="BW63" s="244"/>
      <c r="BX63" s="244"/>
      <c r="BY63" s="244"/>
      <c r="BZ63" s="244"/>
    </row>
    <row r="64" spans="1:78" s="246" customFormat="1">
      <c r="A64" s="241">
        <f t="shared" si="11"/>
        <v>58</v>
      </c>
      <c r="B64" s="394">
        <v>1812</v>
      </c>
      <c r="C64" s="394" t="s">
        <v>788</v>
      </c>
      <c r="D64" s="14">
        <f>900000</f>
        <v>900000</v>
      </c>
      <c r="E64" s="242">
        <v>900000</v>
      </c>
      <c r="F64" s="242">
        <f t="shared" si="0"/>
        <v>0</v>
      </c>
      <c r="G64" s="242">
        <v>900000</v>
      </c>
      <c r="H64" s="242">
        <v>0</v>
      </c>
      <c r="I64" s="242">
        <v>29250</v>
      </c>
      <c r="J64" s="242"/>
      <c r="K64" s="242">
        <f t="shared" si="34"/>
        <v>29250</v>
      </c>
      <c r="L64" s="242">
        <f t="shared" si="2"/>
        <v>29250</v>
      </c>
      <c r="M64" s="14">
        <f>P64+S64-670000</f>
        <v>200750</v>
      </c>
      <c r="N64" s="14"/>
      <c r="O64" s="14">
        <f t="shared" si="3"/>
        <v>670000</v>
      </c>
      <c r="P64" s="14">
        <f t="shared" si="4"/>
        <v>870750</v>
      </c>
      <c r="Q64" s="14"/>
      <c r="R64" s="14"/>
      <c r="S64" s="14">
        <f t="shared" si="5"/>
        <v>0</v>
      </c>
      <c r="T64" s="14">
        <f t="shared" si="6"/>
        <v>670000</v>
      </c>
      <c r="U64" s="14">
        <f t="shared" si="7"/>
        <v>-670000</v>
      </c>
      <c r="V64" s="242">
        <f t="shared" si="8"/>
        <v>-670000</v>
      </c>
      <c r="W64" s="242"/>
      <c r="X64" s="242"/>
      <c r="Y64" s="242"/>
      <c r="Z64" s="242">
        <v>-670000</v>
      </c>
      <c r="AA64" s="242"/>
      <c r="AB64" s="242">
        <f t="shared" si="12"/>
        <v>-670000</v>
      </c>
      <c r="AC64" s="242"/>
      <c r="AD64" s="242"/>
      <c r="AE64" s="242">
        <f t="shared" si="13"/>
        <v>0</v>
      </c>
      <c r="AF64" s="242"/>
      <c r="AG64" s="242"/>
      <c r="AH64" s="242">
        <f t="shared" si="14"/>
        <v>0</v>
      </c>
      <c r="AI64" s="242"/>
      <c r="AJ64" s="242"/>
      <c r="AK64" s="242">
        <f t="shared" si="15"/>
        <v>0</v>
      </c>
      <c r="AL64" s="242"/>
      <c r="AM64" s="242"/>
      <c r="AN64" s="242">
        <f t="shared" si="16"/>
        <v>0</v>
      </c>
      <c r="AO64" s="242"/>
      <c r="AP64" s="242"/>
      <c r="AQ64" s="242">
        <f t="shared" si="17"/>
        <v>0</v>
      </c>
      <c r="AR64" s="242"/>
      <c r="AS64" s="242"/>
      <c r="AT64" s="242">
        <f t="shared" si="18"/>
        <v>0</v>
      </c>
      <c r="AU64" s="242"/>
      <c r="AV64" s="242"/>
      <c r="AW64" s="242">
        <f t="shared" si="19"/>
        <v>0</v>
      </c>
      <c r="AX64" s="242"/>
      <c r="AY64" s="242"/>
      <c r="AZ64" s="242">
        <f t="shared" si="20"/>
        <v>0</v>
      </c>
      <c r="BA64" s="242"/>
      <c r="BB64" s="242"/>
      <c r="BC64" s="242">
        <f t="shared" si="21"/>
        <v>0</v>
      </c>
      <c r="BD64" s="242"/>
      <c r="BE64" s="242"/>
      <c r="BF64" s="242">
        <f t="shared" si="22"/>
        <v>0</v>
      </c>
      <c r="BG64" s="242">
        <f t="shared" si="38"/>
        <v>-670000</v>
      </c>
      <c r="BH64" s="242"/>
      <c r="BI64" s="242">
        <f t="shared" si="39"/>
        <v>-670000</v>
      </c>
      <c r="BJ64" s="242">
        <f t="shared" si="25"/>
        <v>0</v>
      </c>
      <c r="BK64" s="242">
        <f t="shared" si="26"/>
        <v>-670000</v>
      </c>
      <c r="BL64" s="242">
        <f t="shared" si="36"/>
        <v>0</v>
      </c>
      <c r="BM64" s="242">
        <f t="shared" si="37"/>
        <v>0</v>
      </c>
      <c r="BN64" s="242">
        <f t="shared" si="27"/>
        <v>0</v>
      </c>
      <c r="BO64" s="241"/>
      <c r="BP64" s="241"/>
      <c r="BQ64" s="242">
        <f t="shared" si="28"/>
        <v>0</v>
      </c>
      <c r="BR64" s="241"/>
      <c r="BS64" s="241"/>
      <c r="BT64" s="241">
        <v>746000</v>
      </c>
      <c r="BU64" s="244"/>
      <c r="BV64" s="244"/>
      <c r="BW64" s="244"/>
      <c r="BX64" s="244"/>
      <c r="BY64" s="244"/>
      <c r="BZ64" s="244"/>
    </row>
    <row r="65" spans="1:78" s="15" customFormat="1">
      <c r="A65" s="241">
        <f t="shared" si="11"/>
        <v>59</v>
      </c>
      <c r="B65" s="394">
        <v>1814</v>
      </c>
      <c r="C65" s="394" t="s">
        <v>1170</v>
      </c>
      <c r="D65" s="14">
        <v>250000</v>
      </c>
      <c r="E65" s="242">
        <v>250000</v>
      </c>
      <c r="F65" s="14">
        <f t="shared" si="0"/>
        <v>0</v>
      </c>
      <c r="G65" s="242">
        <v>250000</v>
      </c>
      <c r="H65" s="242">
        <v>0</v>
      </c>
      <c r="I65" s="242"/>
      <c r="J65" s="242"/>
      <c r="K65" s="242">
        <f t="shared" si="34"/>
        <v>0</v>
      </c>
      <c r="L65" s="242">
        <f t="shared" si="2"/>
        <v>0</v>
      </c>
      <c r="M65" s="14">
        <f t="shared" si="40"/>
        <v>250000</v>
      </c>
      <c r="N65" s="14"/>
      <c r="O65" s="14">
        <f t="shared" si="3"/>
        <v>0</v>
      </c>
      <c r="P65" s="14">
        <f t="shared" si="4"/>
        <v>250000</v>
      </c>
      <c r="Q65" s="14"/>
      <c r="R65" s="14"/>
      <c r="S65" s="14">
        <f t="shared" si="5"/>
        <v>0</v>
      </c>
      <c r="T65" s="14">
        <f t="shared" si="6"/>
        <v>0</v>
      </c>
      <c r="U65" s="14">
        <f t="shared" si="7"/>
        <v>0</v>
      </c>
      <c r="V65" s="242">
        <f t="shared" si="8"/>
        <v>0</v>
      </c>
      <c r="W65" s="242"/>
      <c r="X65" s="242"/>
      <c r="Y65" s="241"/>
      <c r="Z65" s="242"/>
      <c r="AA65" s="242"/>
      <c r="AB65" s="242">
        <f t="shared" si="12"/>
        <v>0</v>
      </c>
      <c r="AC65" s="242"/>
      <c r="AD65" s="242"/>
      <c r="AE65" s="242">
        <f t="shared" si="13"/>
        <v>0</v>
      </c>
      <c r="AF65" s="242"/>
      <c r="AG65" s="242"/>
      <c r="AH65" s="242">
        <f t="shared" si="14"/>
        <v>0</v>
      </c>
      <c r="AI65" s="242"/>
      <c r="AJ65" s="242"/>
      <c r="AK65" s="242">
        <f t="shared" si="15"/>
        <v>0</v>
      </c>
      <c r="AL65" s="242"/>
      <c r="AM65" s="242"/>
      <c r="AN65" s="242">
        <f t="shared" si="16"/>
        <v>0</v>
      </c>
      <c r="AO65" s="242"/>
      <c r="AP65" s="242"/>
      <c r="AQ65" s="242">
        <f t="shared" si="17"/>
        <v>0</v>
      </c>
      <c r="AR65" s="242"/>
      <c r="AS65" s="242"/>
      <c r="AT65" s="242">
        <f t="shared" si="18"/>
        <v>0</v>
      </c>
      <c r="AU65" s="242"/>
      <c r="AV65" s="242"/>
      <c r="AW65" s="242">
        <f t="shared" si="19"/>
        <v>0</v>
      </c>
      <c r="AX65" s="242"/>
      <c r="AY65" s="242"/>
      <c r="AZ65" s="242">
        <f t="shared" si="20"/>
        <v>0</v>
      </c>
      <c r="BA65" s="242"/>
      <c r="BB65" s="242"/>
      <c r="BC65" s="242">
        <f t="shared" si="21"/>
        <v>0</v>
      </c>
      <c r="BD65" s="242"/>
      <c r="BE65" s="242"/>
      <c r="BF65" s="242">
        <f t="shared" si="22"/>
        <v>0</v>
      </c>
      <c r="BG65" s="242">
        <f t="shared" si="38"/>
        <v>0</v>
      </c>
      <c r="BH65" s="242"/>
      <c r="BI65" s="242">
        <f t="shared" si="39"/>
        <v>0</v>
      </c>
      <c r="BJ65" s="242">
        <f t="shared" si="25"/>
        <v>0</v>
      </c>
      <c r="BK65" s="242">
        <f t="shared" si="26"/>
        <v>0</v>
      </c>
      <c r="BL65" s="242">
        <f t="shared" si="36"/>
        <v>0</v>
      </c>
      <c r="BM65" s="242">
        <f t="shared" si="37"/>
        <v>0</v>
      </c>
      <c r="BN65" s="242">
        <f t="shared" si="27"/>
        <v>0</v>
      </c>
      <c r="BO65" s="241"/>
      <c r="BP65" s="241"/>
      <c r="BQ65" s="242">
        <f t="shared" si="28"/>
        <v>0</v>
      </c>
      <c r="BR65" s="241"/>
      <c r="BS65" s="241"/>
      <c r="BT65" s="241">
        <v>742000</v>
      </c>
      <c r="BU65" s="244"/>
      <c r="BV65" s="246"/>
      <c r="BW65" s="246"/>
      <c r="BX65" s="246"/>
      <c r="BY65" s="246"/>
      <c r="BZ65" s="246"/>
    </row>
    <row r="66" spans="1:78" s="246" customFormat="1">
      <c r="A66" s="241">
        <f t="shared" si="11"/>
        <v>60</v>
      </c>
      <c r="B66" s="394">
        <v>1820</v>
      </c>
      <c r="C66" s="394" t="s">
        <v>1171</v>
      </c>
      <c r="D66" s="14">
        <f>200000+1800000</f>
        <v>2000000</v>
      </c>
      <c r="E66" s="242">
        <v>200000</v>
      </c>
      <c r="F66" s="14">
        <f t="shared" si="0"/>
        <v>1800000</v>
      </c>
      <c r="G66" s="242">
        <v>200000</v>
      </c>
      <c r="H66" s="242">
        <v>0</v>
      </c>
      <c r="I66" s="242"/>
      <c r="J66" s="242"/>
      <c r="K66" s="242">
        <f t="shared" si="34"/>
        <v>0</v>
      </c>
      <c r="L66" s="242">
        <f t="shared" si="2"/>
        <v>0</v>
      </c>
      <c r="M66" s="14">
        <f t="shared" si="40"/>
        <v>200000</v>
      </c>
      <c r="N66" s="14"/>
      <c r="O66" s="14">
        <f t="shared" si="3"/>
        <v>1800000</v>
      </c>
      <c r="P66" s="14">
        <f t="shared" si="4"/>
        <v>200000</v>
      </c>
      <c r="Q66" s="14"/>
      <c r="R66" s="14"/>
      <c r="S66" s="14">
        <f t="shared" si="5"/>
        <v>0</v>
      </c>
      <c r="T66" s="14">
        <f t="shared" si="6"/>
        <v>0</v>
      </c>
      <c r="U66" s="14">
        <f t="shared" si="7"/>
        <v>0</v>
      </c>
      <c r="V66" s="242">
        <f t="shared" si="8"/>
        <v>0</v>
      </c>
      <c r="W66" s="242"/>
      <c r="X66" s="242"/>
      <c r="Y66" s="241"/>
      <c r="Z66" s="242"/>
      <c r="AA66" s="242"/>
      <c r="AB66" s="242">
        <f t="shared" si="12"/>
        <v>0</v>
      </c>
      <c r="AC66" s="242"/>
      <c r="AD66" s="242"/>
      <c r="AE66" s="242">
        <f t="shared" si="13"/>
        <v>0</v>
      </c>
      <c r="AF66" s="242"/>
      <c r="AG66" s="242"/>
      <c r="AH66" s="242">
        <f t="shared" si="14"/>
        <v>0</v>
      </c>
      <c r="AI66" s="242"/>
      <c r="AJ66" s="242"/>
      <c r="AK66" s="242">
        <f t="shared" si="15"/>
        <v>0</v>
      </c>
      <c r="AL66" s="242"/>
      <c r="AM66" s="242"/>
      <c r="AN66" s="242">
        <f t="shared" si="16"/>
        <v>0</v>
      </c>
      <c r="AO66" s="242"/>
      <c r="AP66" s="242"/>
      <c r="AQ66" s="242">
        <f t="shared" si="17"/>
        <v>0</v>
      </c>
      <c r="AR66" s="242"/>
      <c r="AS66" s="242"/>
      <c r="AT66" s="242">
        <f t="shared" si="18"/>
        <v>0</v>
      </c>
      <c r="AU66" s="242"/>
      <c r="AV66" s="242"/>
      <c r="AW66" s="242">
        <f t="shared" si="19"/>
        <v>0</v>
      </c>
      <c r="AX66" s="242"/>
      <c r="AY66" s="242"/>
      <c r="AZ66" s="242">
        <f t="shared" si="20"/>
        <v>0</v>
      </c>
      <c r="BA66" s="242"/>
      <c r="BB66" s="242"/>
      <c r="BC66" s="242">
        <f t="shared" si="21"/>
        <v>0</v>
      </c>
      <c r="BD66" s="242"/>
      <c r="BE66" s="242"/>
      <c r="BF66" s="242">
        <f t="shared" si="22"/>
        <v>0</v>
      </c>
      <c r="BG66" s="242">
        <f t="shared" si="38"/>
        <v>0</v>
      </c>
      <c r="BH66" s="242"/>
      <c r="BI66" s="242">
        <f t="shared" si="39"/>
        <v>0</v>
      </c>
      <c r="BJ66" s="242">
        <f t="shared" si="25"/>
        <v>0</v>
      </c>
      <c r="BK66" s="242">
        <f t="shared" si="26"/>
        <v>0</v>
      </c>
      <c r="BL66" s="242">
        <f t="shared" si="36"/>
        <v>0</v>
      </c>
      <c r="BM66" s="242">
        <f t="shared" si="37"/>
        <v>0</v>
      </c>
      <c r="BN66" s="242">
        <f t="shared" si="27"/>
        <v>0</v>
      </c>
      <c r="BO66" s="241"/>
      <c r="BP66" s="241"/>
      <c r="BQ66" s="242">
        <f t="shared" si="28"/>
        <v>0</v>
      </c>
      <c r="BR66" s="241"/>
      <c r="BS66" s="241"/>
      <c r="BT66" s="241">
        <v>742000</v>
      </c>
      <c r="BU66" s="244"/>
      <c r="BV66" s="244"/>
      <c r="BW66" s="244"/>
      <c r="BX66" s="244"/>
      <c r="BY66" s="244"/>
      <c r="BZ66" s="244"/>
    </row>
    <row r="67" spans="1:78" s="244" customFormat="1">
      <c r="A67" s="241">
        <f t="shared" si="11"/>
        <v>61</v>
      </c>
      <c r="B67" s="241">
        <v>1826</v>
      </c>
      <c r="C67" s="241" t="s">
        <v>247</v>
      </c>
      <c r="D67" s="14">
        <v>1500000</v>
      </c>
      <c r="E67" s="242">
        <v>1500000</v>
      </c>
      <c r="F67" s="242"/>
      <c r="G67" s="242">
        <v>200000</v>
      </c>
      <c r="H67" s="242">
        <v>0</v>
      </c>
      <c r="I67" s="242">
        <v>11756.75</v>
      </c>
      <c r="J67" s="242"/>
      <c r="K67" s="242">
        <f t="shared" si="34"/>
        <v>11756.75</v>
      </c>
      <c r="L67" s="242">
        <f t="shared" si="2"/>
        <v>11756.75</v>
      </c>
      <c r="M67" s="14">
        <f t="shared" si="40"/>
        <v>188243.25</v>
      </c>
      <c r="N67" s="14"/>
      <c r="O67" s="14">
        <f t="shared" si="3"/>
        <v>1300000</v>
      </c>
      <c r="P67" s="14">
        <f t="shared" si="4"/>
        <v>188243.25</v>
      </c>
      <c r="Q67" s="14"/>
      <c r="R67" s="14"/>
      <c r="S67" s="14">
        <f t="shared" si="5"/>
        <v>0</v>
      </c>
      <c r="T67" s="14">
        <f t="shared" si="6"/>
        <v>0</v>
      </c>
      <c r="U67" s="14">
        <f t="shared" si="7"/>
        <v>0</v>
      </c>
      <c r="V67" s="242">
        <f t="shared" si="8"/>
        <v>0</v>
      </c>
      <c r="W67" s="242"/>
      <c r="X67" s="242"/>
      <c r="Y67" s="241"/>
      <c r="Z67" s="242"/>
      <c r="AA67" s="242"/>
      <c r="AB67" s="242">
        <f t="shared" si="12"/>
        <v>0</v>
      </c>
      <c r="AC67" s="242"/>
      <c r="AD67" s="242"/>
      <c r="AE67" s="242">
        <f t="shared" si="13"/>
        <v>0</v>
      </c>
      <c r="AF67" s="242"/>
      <c r="AG67" s="242"/>
      <c r="AH67" s="242">
        <f t="shared" si="14"/>
        <v>0</v>
      </c>
      <c r="AI67" s="242"/>
      <c r="AJ67" s="242"/>
      <c r="AK67" s="242">
        <f t="shared" si="15"/>
        <v>0</v>
      </c>
      <c r="AL67" s="242"/>
      <c r="AM67" s="242"/>
      <c r="AN67" s="242">
        <f t="shared" si="16"/>
        <v>0</v>
      </c>
      <c r="AO67" s="242"/>
      <c r="AP67" s="242"/>
      <c r="AQ67" s="242">
        <f t="shared" si="17"/>
        <v>0</v>
      </c>
      <c r="AR67" s="242"/>
      <c r="AS67" s="242"/>
      <c r="AT67" s="242">
        <f t="shared" si="18"/>
        <v>0</v>
      </c>
      <c r="AU67" s="242"/>
      <c r="AV67" s="242"/>
      <c r="AW67" s="242">
        <f t="shared" si="19"/>
        <v>0</v>
      </c>
      <c r="AX67" s="242"/>
      <c r="AY67" s="242"/>
      <c r="AZ67" s="242">
        <f t="shared" si="20"/>
        <v>0</v>
      </c>
      <c r="BA67" s="242"/>
      <c r="BB67" s="242"/>
      <c r="BC67" s="242">
        <f t="shared" si="21"/>
        <v>0</v>
      </c>
      <c r="BD67" s="242"/>
      <c r="BE67" s="242"/>
      <c r="BF67" s="242">
        <f t="shared" si="22"/>
        <v>0</v>
      </c>
      <c r="BG67" s="242">
        <f t="shared" si="38"/>
        <v>0</v>
      </c>
      <c r="BH67" s="242"/>
      <c r="BI67" s="242">
        <f t="shared" si="39"/>
        <v>0</v>
      </c>
      <c r="BJ67" s="242">
        <f t="shared" si="25"/>
        <v>0</v>
      </c>
      <c r="BK67" s="242">
        <f t="shared" si="26"/>
        <v>0</v>
      </c>
      <c r="BL67" s="242">
        <f t="shared" si="36"/>
        <v>0</v>
      </c>
      <c r="BM67" s="242">
        <f t="shared" si="37"/>
        <v>0</v>
      </c>
      <c r="BN67" s="242">
        <f t="shared" si="27"/>
        <v>0</v>
      </c>
      <c r="BO67" s="241"/>
      <c r="BP67" s="241"/>
      <c r="BQ67" s="242">
        <f t="shared" si="28"/>
        <v>0</v>
      </c>
      <c r="BR67" s="241"/>
      <c r="BS67" s="241"/>
      <c r="BT67" s="241">
        <v>742000</v>
      </c>
      <c r="BV67" s="246"/>
      <c r="BW67" s="246"/>
      <c r="BX67" s="246"/>
      <c r="BY67" s="246"/>
      <c r="BZ67" s="246"/>
    </row>
    <row r="68" spans="1:78" s="244" customFormat="1">
      <c r="A68" s="241">
        <f t="shared" si="11"/>
        <v>62</v>
      </c>
      <c r="B68" s="241">
        <v>1872</v>
      </c>
      <c r="C68" s="241" t="s">
        <v>262</v>
      </c>
      <c r="D68" s="14">
        <v>1160000</v>
      </c>
      <c r="E68" s="242">
        <v>1160000</v>
      </c>
      <c r="F68" s="242"/>
      <c r="G68" s="242">
        <f>741002+418998</f>
        <v>1160000</v>
      </c>
      <c r="H68" s="242">
        <v>0</v>
      </c>
      <c r="I68" s="242">
        <v>552115</v>
      </c>
      <c r="J68" s="242"/>
      <c r="K68" s="242">
        <f>SUM(I68:J68)</f>
        <v>552115</v>
      </c>
      <c r="L68" s="242">
        <f>H68+K68</f>
        <v>552115</v>
      </c>
      <c r="M68" s="14">
        <f t="shared" si="40"/>
        <v>607885</v>
      </c>
      <c r="N68" s="14"/>
      <c r="O68" s="14">
        <f>D68-L68-M68-N68</f>
        <v>0</v>
      </c>
      <c r="P68" s="14">
        <f t="shared" si="4"/>
        <v>607885</v>
      </c>
      <c r="Q68" s="14"/>
      <c r="R68" s="14"/>
      <c r="S68" s="14">
        <f>SUM(Q68:R68)</f>
        <v>0</v>
      </c>
      <c r="T68" s="14">
        <f>P68-M68+S68</f>
        <v>0</v>
      </c>
      <c r="U68" s="14">
        <f>N68-T68</f>
        <v>0</v>
      </c>
      <c r="V68" s="242">
        <f>U68-Y68-W68-X68</f>
        <v>0</v>
      </c>
      <c r="W68" s="242"/>
      <c r="X68" s="242"/>
      <c r="Y68" s="241"/>
      <c r="Z68" s="242"/>
      <c r="AA68" s="242"/>
      <c r="AB68" s="242">
        <f t="shared" si="12"/>
        <v>0</v>
      </c>
      <c r="AC68" s="242"/>
      <c r="AD68" s="242"/>
      <c r="AE68" s="242">
        <f t="shared" si="13"/>
        <v>0</v>
      </c>
      <c r="AF68" s="242"/>
      <c r="AG68" s="242"/>
      <c r="AH68" s="242">
        <f t="shared" si="14"/>
        <v>0</v>
      </c>
      <c r="AI68" s="242"/>
      <c r="AJ68" s="242"/>
      <c r="AK68" s="242">
        <f t="shared" si="15"/>
        <v>0</v>
      </c>
      <c r="AL68" s="242"/>
      <c r="AM68" s="242"/>
      <c r="AN68" s="242">
        <f t="shared" si="16"/>
        <v>0</v>
      </c>
      <c r="AO68" s="242"/>
      <c r="AP68" s="242"/>
      <c r="AQ68" s="242">
        <f t="shared" si="17"/>
        <v>0</v>
      </c>
      <c r="AR68" s="242"/>
      <c r="AS68" s="242"/>
      <c r="AT68" s="242">
        <f t="shared" si="18"/>
        <v>0</v>
      </c>
      <c r="AU68" s="242"/>
      <c r="AV68" s="242"/>
      <c r="AW68" s="242">
        <f t="shared" si="19"/>
        <v>0</v>
      </c>
      <c r="AX68" s="242"/>
      <c r="AY68" s="242"/>
      <c r="AZ68" s="242">
        <f t="shared" si="20"/>
        <v>0</v>
      </c>
      <c r="BA68" s="242"/>
      <c r="BB68" s="242"/>
      <c r="BC68" s="242">
        <f t="shared" si="21"/>
        <v>0</v>
      </c>
      <c r="BD68" s="242"/>
      <c r="BE68" s="242"/>
      <c r="BF68" s="242">
        <f t="shared" si="22"/>
        <v>0</v>
      </c>
      <c r="BG68" s="242">
        <f t="shared" si="38"/>
        <v>0</v>
      </c>
      <c r="BH68" s="242"/>
      <c r="BI68" s="242">
        <f t="shared" si="39"/>
        <v>0</v>
      </c>
      <c r="BJ68" s="242">
        <f t="shared" si="25"/>
        <v>0</v>
      </c>
      <c r="BK68" s="242">
        <f t="shared" si="26"/>
        <v>0</v>
      </c>
      <c r="BL68" s="242">
        <f t="shared" si="36"/>
        <v>0</v>
      </c>
      <c r="BM68" s="242">
        <f t="shared" si="37"/>
        <v>0</v>
      </c>
      <c r="BN68" s="242">
        <f t="shared" si="27"/>
        <v>0</v>
      </c>
      <c r="BO68" s="241"/>
      <c r="BP68" s="241"/>
      <c r="BQ68" s="242">
        <f t="shared" si="28"/>
        <v>0</v>
      </c>
      <c r="BR68" s="241"/>
      <c r="BS68" s="241"/>
      <c r="BT68" s="241">
        <v>742000</v>
      </c>
    </row>
    <row r="69" spans="1:78" s="15" customFormat="1">
      <c r="A69" s="241">
        <f t="shared" si="11"/>
        <v>63</v>
      </c>
      <c r="B69" s="13">
        <v>1882</v>
      </c>
      <c r="C69" s="13" t="s">
        <v>256</v>
      </c>
      <c r="D69" s="14">
        <v>14300000</v>
      </c>
      <c r="E69" s="14">
        <v>14300000</v>
      </c>
      <c r="F69" s="14">
        <f>D69-E69</f>
        <v>0</v>
      </c>
      <c r="G69" s="14">
        <v>500000</v>
      </c>
      <c r="H69" s="14">
        <v>0</v>
      </c>
      <c r="I69" s="14"/>
      <c r="J69" s="14"/>
      <c r="K69" s="14">
        <f>SUM(I69:J69)</f>
        <v>0</v>
      </c>
      <c r="L69" s="14">
        <f>H69+K69</f>
        <v>0</v>
      </c>
      <c r="M69" s="14">
        <f>P69+S69-300000</f>
        <v>200000</v>
      </c>
      <c r="N69" s="14"/>
      <c r="O69" s="14">
        <f>D69-L69-M69-N69</f>
        <v>14100000</v>
      </c>
      <c r="P69" s="14">
        <f t="shared" si="4"/>
        <v>500000</v>
      </c>
      <c r="Q69" s="14"/>
      <c r="R69" s="14"/>
      <c r="S69" s="14">
        <f>SUM(Q69:R69)</f>
        <v>0</v>
      </c>
      <c r="T69" s="14">
        <f>P69-M69+S69</f>
        <v>300000</v>
      </c>
      <c r="U69" s="14">
        <f>N69-T69</f>
        <v>-300000</v>
      </c>
      <c r="V69" s="14">
        <f>U69-Y69-W69-X69</f>
        <v>-300000</v>
      </c>
      <c r="W69" s="14"/>
      <c r="X69" s="14"/>
      <c r="Y69" s="13"/>
      <c r="Z69" s="242"/>
      <c r="AA69" s="242">
        <v>-300000</v>
      </c>
      <c r="AB69" s="242">
        <f t="shared" si="12"/>
        <v>-300000</v>
      </c>
      <c r="AC69" s="242"/>
      <c r="AD69" s="242"/>
      <c r="AE69" s="242">
        <f t="shared" si="13"/>
        <v>0</v>
      </c>
      <c r="AF69" s="242"/>
      <c r="AG69" s="242"/>
      <c r="AH69" s="242">
        <f t="shared" si="14"/>
        <v>0</v>
      </c>
      <c r="AI69" s="242"/>
      <c r="AJ69" s="242"/>
      <c r="AK69" s="242">
        <f t="shared" si="15"/>
        <v>0</v>
      </c>
      <c r="AL69" s="242"/>
      <c r="AM69" s="242"/>
      <c r="AN69" s="242">
        <f t="shared" si="16"/>
        <v>0</v>
      </c>
      <c r="AO69" s="242"/>
      <c r="AP69" s="242"/>
      <c r="AQ69" s="242">
        <f t="shared" si="17"/>
        <v>0</v>
      </c>
      <c r="AR69" s="242"/>
      <c r="AS69" s="242"/>
      <c r="AT69" s="242">
        <f t="shared" si="18"/>
        <v>0</v>
      </c>
      <c r="AU69" s="242"/>
      <c r="AV69" s="242"/>
      <c r="AW69" s="242">
        <f t="shared" si="19"/>
        <v>0</v>
      </c>
      <c r="AX69" s="242"/>
      <c r="AY69" s="242"/>
      <c r="AZ69" s="242">
        <f t="shared" si="20"/>
        <v>0</v>
      </c>
      <c r="BA69" s="242"/>
      <c r="BB69" s="242"/>
      <c r="BC69" s="242">
        <f t="shared" si="21"/>
        <v>0</v>
      </c>
      <c r="BD69" s="242"/>
      <c r="BE69" s="242"/>
      <c r="BF69" s="242">
        <f t="shared" si="22"/>
        <v>0</v>
      </c>
      <c r="BG69" s="242">
        <f t="shared" si="38"/>
        <v>-300000</v>
      </c>
      <c r="BH69" s="242"/>
      <c r="BI69" s="242">
        <f t="shared" si="39"/>
        <v>-300000</v>
      </c>
      <c r="BJ69" s="242">
        <f t="shared" si="25"/>
        <v>0</v>
      </c>
      <c r="BK69" s="242">
        <f t="shared" si="26"/>
        <v>-300000</v>
      </c>
      <c r="BL69" s="242">
        <f t="shared" si="36"/>
        <v>0</v>
      </c>
      <c r="BM69" s="242">
        <f t="shared" si="37"/>
        <v>0</v>
      </c>
      <c r="BN69" s="242">
        <f t="shared" si="27"/>
        <v>0</v>
      </c>
      <c r="BO69" s="241"/>
      <c r="BP69" s="241"/>
      <c r="BQ69" s="242">
        <f t="shared" si="28"/>
        <v>0</v>
      </c>
      <c r="BR69" s="241"/>
      <c r="BS69" s="241"/>
      <c r="BT69" s="13">
        <v>742000</v>
      </c>
      <c r="BX69" s="55"/>
    </row>
    <row r="70" spans="1:78" s="15" customFormat="1">
      <c r="A70" s="241">
        <f t="shared" si="11"/>
        <v>64</v>
      </c>
      <c r="B70" s="396">
        <v>1935</v>
      </c>
      <c r="C70" s="396" t="s">
        <v>678</v>
      </c>
      <c r="D70" s="14">
        <f>1000000+200000</f>
        <v>1200000</v>
      </c>
      <c r="E70" s="14">
        <v>1000000</v>
      </c>
      <c r="F70" s="14">
        <f>D70-E70</f>
        <v>200000</v>
      </c>
      <c r="G70" s="14"/>
      <c r="H70" s="14"/>
      <c r="I70" s="14"/>
      <c r="J70" s="14"/>
      <c r="K70" s="14"/>
      <c r="L70" s="14"/>
      <c r="M70" s="14">
        <f t="shared" si="40"/>
        <v>1000000</v>
      </c>
      <c r="N70" s="14">
        <v>200000</v>
      </c>
      <c r="O70" s="14"/>
      <c r="P70" s="14"/>
      <c r="Q70" s="14"/>
      <c r="R70" s="14">
        <v>1000000</v>
      </c>
      <c r="S70" s="14">
        <f>SUM(Q70:R70)</f>
        <v>1000000</v>
      </c>
      <c r="T70" s="14"/>
      <c r="U70" s="14">
        <f>N70-T70</f>
        <v>200000</v>
      </c>
      <c r="V70" s="14">
        <f>U70-Y70-W70-X70</f>
        <v>200000</v>
      </c>
      <c r="W70" s="14"/>
      <c r="X70" s="14"/>
      <c r="Y70" s="14"/>
      <c r="Z70" s="242"/>
      <c r="AA70" s="242"/>
      <c r="AB70" s="242">
        <f t="shared" si="12"/>
        <v>0</v>
      </c>
      <c r="AC70" s="242"/>
      <c r="AD70" s="242"/>
      <c r="AE70" s="242">
        <f t="shared" si="13"/>
        <v>0</v>
      </c>
      <c r="AF70" s="242"/>
      <c r="AG70" s="242"/>
      <c r="AH70" s="242">
        <f t="shared" si="14"/>
        <v>0</v>
      </c>
      <c r="AI70" s="242"/>
      <c r="AJ70" s="242"/>
      <c r="AK70" s="242">
        <f t="shared" si="15"/>
        <v>0</v>
      </c>
      <c r="AL70" s="242"/>
      <c r="AM70" s="242"/>
      <c r="AN70" s="242">
        <f t="shared" si="16"/>
        <v>0</v>
      </c>
      <c r="AO70" s="242"/>
      <c r="AP70" s="242"/>
      <c r="AQ70" s="242">
        <f t="shared" si="17"/>
        <v>0</v>
      </c>
      <c r="AR70" s="242"/>
      <c r="AS70" s="242"/>
      <c r="AT70" s="242">
        <f t="shared" si="18"/>
        <v>0</v>
      </c>
      <c r="AU70" s="242"/>
      <c r="AV70" s="242"/>
      <c r="AW70" s="242">
        <f t="shared" si="19"/>
        <v>0</v>
      </c>
      <c r="AX70" s="242"/>
      <c r="AY70" s="242"/>
      <c r="AZ70" s="242">
        <f t="shared" si="20"/>
        <v>0</v>
      </c>
      <c r="BA70" s="242"/>
      <c r="BB70" s="242"/>
      <c r="BC70" s="242">
        <f t="shared" si="21"/>
        <v>0</v>
      </c>
      <c r="BD70" s="242"/>
      <c r="BE70" s="242"/>
      <c r="BF70" s="242">
        <f t="shared" si="22"/>
        <v>0</v>
      </c>
      <c r="BG70" s="242">
        <f t="shared" si="38"/>
        <v>0</v>
      </c>
      <c r="BH70" s="242"/>
      <c r="BI70" s="242">
        <f t="shared" si="39"/>
        <v>0</v>
      </c>
      <c r="BJ70" s="242">
        <f t="shared" si="25"/>
        <v>200000</v>
      </c>
      <c r="BK70" s="242">
        <f t="shared" si="26"/>
        <v>0</v>
      </c>
      <c r="BL70" s="242">
        <f t="shared" si="36"/>
        <v>0</v>
      </c>
      <c r="BM70" s="242">
        <f t="shared" si="37"/>
        <v>0</v>
      </c>
      <c r="BN70" s="242">
        <f t="shared" si="27"/>
        <v>0</v>
      </c>
      <c r="BO70" s="241"/>
      <c r="BP70" s="241"/>
      <c r="BQ70" s="242">
        <f t="shared" si="28"/>
        <v>200000</v>
      </c>
      <c r="BR70" s="241"/>
      <c r="BS70" s="241"/>
      <c r="BT70" s="13">
        <v>930000</v>
      </c>
      <c r="BX70" s="55"/>
    </row>
    <row r="71" spans="1:78" s="15" customFormat="1">
      <c r="A71" s="241">
        <f>A70+1</f>
        <v>65</v>
      </c>
      <c r="B71" s="13">
        <v>1943</v>
      </c>
      <c r="C71" s="13" t="s">
        <v>405</v>
      </c>
      <c r="D71" s="14">
        <f>5500000-2000000</f>
        <v>3500000</v>
      </c>
      <c r="E71" s="14">
        <v>2500000</v>
      </c>
      <c r="F71" s="14">
        <f>D71-E71</f>
        <v>1000000</v>
      </c>
      <c r="G71" s="14"/>
      <c r="H71" s="14"/>
      <c r="I71" s="14"/>
      <c r="J71" s="14"/>
      <c r="K71" s="14"/>
      <c r="L71" s="14"/>
      <c r="M71" s="14">
        <f>P71+S71</f>
        <v>2500000</v>
      </c>
      <c r="N71" s="14"/>
      <c r="O71" s="14">
        <f>D71-L71-M71-N71</f>
        <v>1000000</v>
      </c>
      <c r="P71" s="14">
        <f>G71-L71</f>
        <v>0</v>
      </c>
      <c r="Q71" s="14"/>
      <c r="R71" s="14">
        <v>2500000</v>
      </c>
      <c r="S71" s="14">
        <f>SUM(Q71:R71)</f>
        <v>2500000</v>
      </c>
      <c r="T71" s="14"/>
      <c r="U71" s="14">
        <f>N71-T71</f>
        <v>0</v>
      </c>
      <c r="V71" s="242">
        <f>U71-Y71-W71-X71</f>
        <v>0</v>
      </c>
      <c r="W71" s="14"/>
      <c r="X71" s="14"/>
      <c r="Y71" s="13"/>
      <c r="Z71" s="242"/>
      <c r="AA71" s="242"/>
      <c r="AB71" s="242">
        <f>SUM(Z71:AA71)</f>
        <v>0</v>
      </c>
      <c r="AC71" s="242"/>
      <c r="AD71" s="242"/>
      <c r="AE71" s="242">
        <f t="shared" si="13"/>
        <v>0</v>
      </c>
      <c r="AF71" s="242"/>
      <c r="AG71" s="242"/>
      <c r="AH71" s="242">
        <f t="shared" si="14"/>
        <v>0</v>
      </c>
      <c r="AI71" s="242"/>
      <c r="AJ71" s="242"/>
      <c r="AK71" s="242">
        <f t="shared" si="15"/>
        <v>0</v>
      </c>
      <c r="AL71" s="242"/>
      <c r="AM71" s="242"/>
      <c r="AN71" s="242">
        <f t="shared" si="16"/>
        <v>0</v>
      </c>
      <c r="AO71" s="242"/>
      <c r="AP71" s="242"/>
      <c r="AQ71" s="242">
        <f t="shared" si="17"/>
        <v>0</v>
      </c>
      <c r="AR71" s="242"/>
      <c r="AS71" s="242"/>
      <c r="AT71" s="242">
        <f t="shared" si="18"/>
        <v>0</v>
      </c>
      <c r="AU71" s="242"/>
      <c r="AV71" s="242"/>
      <c r="AW71" s="242">
        <f t="shared" si="19"/>
        <v>0</v>
      </c>
      <c r="AX71" s="242"/>
      <c r="AY71" s="242"/>
      <c r="AZ71" s="242">
        <f t="shared" si="20"/>
        <v>0</v>
      </c>
      <c r="BA71" s="242"/>
      <c r="BB71" s="242"/>
      <c r="BC71" s="242">
        <f t="shared" si="21"/>
        <v>0</v>
      </c>
      <c r="BD71" s="242"/>
      <c r="BE71" s="242"/>
      <c r="BF71" s="242">
        <f t="shared" si="22"/>
        <v>0</v>
      </c>
      <c r="BG71" s="242">
        <f t="shared" si="38"/>
        <v>0</v>
      </c>
      <c r="BH71" s="242"/>
      <c r="BI71" s="242">
        <f t="shared" si="39"/>
        <v>0</v>
      </c>
      <c r="BJ71" s="242">
        <f t="shared" si="25"/>
        <v>0</v>
      </c>
      <c r="BK71" s="242">
        <f t="shared" si="26"/>
        <v>0</v>
      </c>
      <c r="BL71" s="242">
        <f t="shared" si="36"/>
        <v>0</v>
      </c>
      <c r="BM71" s="242">
        <f t="shared" si="37"/>
        <v>0</v>
      </c>
      <c r="BN71" s="242">
        <f t="shared" si="27"/>
        <v>0</v>
      </c>
      <c r="BO71" s="241"/>
      <c r="BP71" s="241"/>
      <c r="BQ71" s="242">
        <f t="shared" si="28"/>
        <v>0</v>
      </c>
      <c r="BR71" s="241"/>
      <c r="BS71" s="241"/>
      <c r="BT71" s="13">
        <v>744000</v>
      </c>
      <c r="BX71" s="55"/>
    </row>
    <row r="72" spans="1:78" s="244" customFormat="1">
      <c r="A72" s="241">
        <f>A71+1</f>
        <v>66</v>
      </c>
      <c r="B72" s="396">
        <v>1949</v>
      </c>
      <c r="C72" s="396" t="s">
        <v>1172</v>
      </c>
      <c r="D72" s="14">
        <v>1000000</v>
      </c>
      <c r="E72" s="14"/>
      <c r="F72" s="14">
        <f>D72-E72</f>
        <v>1000000</v>
      </c>
      <c r="G72" s="14"/>
      <c r="H72" s="14"/>
      <c r="I72" s="14"/>
      <c r="J72" s="14"/>
      <c r="K72" s="14"/>
      <c r="L72" s="14"/>
      <c r="M72" s="14"/>
      <c r="N72" s="14">
        <v>500000</v>
      </c>
      <c r="O72" s="14">
        <f>D72-L72-M72-N72</f>
        <v>500000</v>
      </c>
      <c r="P72" s="14"/>
      <c r="Q72" s="14"/>
      <c r="R72" s="14"/>
      <c r="S72" s="14"/>
      <c r="T72" s="14"/>
      <c r="U72" s="14">
        <f>N72-T72</f>
        <v>500000</v>
      </c>
      <c r="V72" s="14">
        <f>U72-Y72-W72-X72</f>
        <v>0</v>
      </c>
      <c r="W72" s="14"/>
      <c r="X72" s="14"/>
      <c r="Y72" s="14">
        <v>500000</v>
      </c>
      <c r="Z72" s="242"/>
      <c r="AA72" s="242"/>
      <c r="AB72" s="242">
        <f>SUM(Z72:AA72)</f>
        <v>0</v>
      </c>
      <c r="AC72" s="242"/>
      <c r="AD72" s="242"/>
      <c r="AE72" s="242">
        <f>SUM(AC72:AD72)</f>
        <v>0</v>
      </c>
      <c r="AF72" s="242"/>
      <c r="AG72" s="242"/>
      <c r="AH72" s="242">
        <f>SUM(AF72:AG72)</f>
        <v>0</v>
      </c>
      <c r="AI72" s="242"/>
      <c r="AJ72" s="242"/>
      <c r="AK72" s="242">
        <f>SUM(AI72:AJ72)</f>
        <v>0</v>
      </c>
      <c r="AL72" s="242"/>
      <c r="AM72" s="242"/>
      <c r="AN72" s="242">
        <f>SUM(AL72:AM72)</f>
        <v>0</v>
      </c>
      <c r="AO72" s="242"/>
      <c r="AP72" s="242"/>
      <c r="AQ72" s="242">
        <f>SUM(AO72:AP72)</f>
        <v>0</v>
      </c>
      <c r="AR72" s="242"/>
      <c r="AS72" s="242"/>
      <c r="AT72" s="242">
        <f>SUM(AR72:AS72)</f>
        <v>0</v>
      </c>
      <c r="AU72" s="242"/>
      <c r="AV72" s="242"/>
      <c r="AW72" s="242">
        <f>SUM(AU72:AV72)</f>
        <v>0</v>
      </c>
      <c r="AX72" s="242"/>
      <c r="AY72" s="242"/>
      <c r="AZ72" s="242">
        <f>SUM(AX72:AY72)</f>
        <v>0</v>
      </c>
      <c r="BA72" s="242"/>
      <c r="BB72" s="242"/>
      <c r="BC72" s="242">
        <f>SUM(BA72:BB72)</f>
        <v>0</v>
      </c>
      <c r="BD72" s="242"/>
      <c r="BE72" s="242"/>
      <c r="BF72" s="242">
        <f>SUM(BD72:BE72)</f>
        <v>0</v>
      </c>
      <c r="BG72" s="242">
        <f t="shared" si="38"/>
        <v>0</v>
      </c>
      <c r="BH72" s="242"/>
      <c r="BI72" s="242">
        <f t="shared" si="39"/>
        <v>0</v>
      </c>
      <c r="BJ72" s="242">
        <f>U72-BI72</f>
        <v>500000</v>
      </c>
      <c r="BK72" s="242">
        <f>BI72-BL72-BM71:BM72</f>
        <v>0</v>
      </c>
      <c r="BL72" s="242">
        <f t="shared" si="36"/>
        <v>0</v>
      </c>
      <c r="BM72" s="242">
        <f t="shared" si="37"/>
        <v>0</v>
      </c>
      <c r="BN72" s="242">
        <f>BH72-BO72-BP72</f>
        <v>0</v>
      </c>
      <c r="BO72" s="241"/>
      <c r="BP72" s="241"/>
      <c r="BQ72" s="242">
        <f>BJ72-BR72-BS72</f>
        <v>0</v>
      </c>
      <c r="BR72" s="241"/>
      <c r="BS72" s="242">
        <v>500000</v>
      </c>
      <c r="BT72" s="13">
        <v>732000</v>
      </c>
      <c r="BU72" s="15"/>
      <c r="BV72" s="15"/>
      <c r="BW72" s="15"/>
      <c r="BX72" s="15"/>
      <c r="BY72" s="15"/>
      <c r="BZ72" s="15"/>
    </row>
    <row r="73" spans="1:78" s="246" customFormat="1">
      <c r="A73" s="233"/>
      <c r="B73" s="19"/>
      <c r="C73" s="19" t="s">
        <v>558</v>
      </c>
      <c r="D73" s="20">
        <f t="shared" ref="D73:Y73" si="41">SUM(D7:D72)</f>
        <v>639830769</v>
      </c>
      <c r="E73" s="20">
        <f t="shared" si="41"/>
        <v>545896468</v>
      </c>
      <c r="F73" s="20">
        <f t="shared" si="41"/>
        <v>93934301</v>
      </c>
      <c r="G73" s="20">
        <f t="shared" si="41"/>
        <v>374308859</v>
      </c>
      <c r="H73" s="20">
        <f t="shared" si="41"/>
        <v>312589649.34999996</v>
      </c>
      <c r="I73" s="20">
        <f t="shared" si="41"/>
        <v>7841228.0999999987</v>
      </c>
      <c r="J73" s="20">
        <f t="shared" si="41"/>
        <v>5635414.370000001</v>
      </c>
      <c r="K73" s="20">
        <f t="shared" si="41"/>
        <v>13476642.470000001</v>
      </c>
      <c r="L73" s="20">
        <f t="shared" si="41"/>
        <v>326066291.81999993</v>
      </c>
      <c r="M73" s="20">
        <f t="shared" si="41"/>
        <v>50625567.180000007</v>
      </c>
      <c r="N73" s="20">
        <f t="shared" si="41"/>
        <v>29977931</v>
      </c>
      <c r="O73" s="20">
        <f t="shared" si="41"/>
        <v>233160979</v>
      </c>
      <c r="P73" s="20">
        <f t="shared" si="41"/>
        <v>48242567.18</v>
      </c>
      <c r="Q73" s="20">
        <f t="shared" si="41"/>
        <v>6415000</v>
      </c>
      <c r="R73" s="20">
        <f t="shared" si="41"/>
        <v>9700000</v>
      </c>
      <c r="S73" s="20">
        <f t="shared" si="41"/>
        <v>16115000</v>
      </c>
      <c r="T73" s="20">
        <f t="shared" si="41"/>
        <v>13732000</v>
      </c>
      <c r="U73" s="20">
        <f t="shared" si="41"/>
        <v>16245931</v>
      </c>
      <c r="V73" s="20">
        <f t="shared" si="41"/>
        <v>-15272000</v>
      </c>
      <c r="W73" s="20">
        <f t="shared" si="41"/>
        <v>0</v>
      </c>
      <c r="X73" s="20">
        <f t="shared" si="41"/>
        <v>0</v>
      </c>
      <c r="Y73" s="20">
        <f t="shared" si="41"/>
        <v>31517931</v>
      </c>
      <c r="Z73" s="20">
        <f t="shared" ref="Z73:BS73" si="42">SUM(Z7:Z72)</f>
        <v>-11409000</v>
      </c>
      <c r="AA73" s="20">
        <f t="shared" si="42"/>
        <v>-2050000</v>
      </c>
      <c r="AB73" s="20">
        <f t="shared" si="42"/>
        <v>-13459000</v>
      </c>
      <c r="AC73" s="20">
        <f t="shared" si="42"/>
        <v>0</v>
      </c>
      <c r="AD73" s="20">
        <f t="shared" si="42"/>
        <v>0</v>
      </c>
      <c r="AE73" s="20">
        <f t="shared" si="42"/>
        <v>0</v>
      </c>
      <c r="AF73" s="20">
        <f t="shared" si="42"/>
        <v>0</v>
      </c>
      <c r="AG73" s="20">
        <f t="shared" si="42"/>
        <v>0</v>
      </c>
      <c r="AH73" s="20">
        <f t="shared" si="42"/>
        <v>0</v>
      </c>
      <c r="AI73" s="20">
        <f t="shared" si="42"/>
        <v>-1970</v>
      </c>
      <c r="AJ73" s="20">
        <f t="shared" si="42"/>
        <v>-1030</v>
      </c>
      <c r="AK73" s="20">
        <f t="shared" si="42"/>
        <v>-3000</v>
      </c>
      <c r="AL73" s="20">
        <f t="shared" si="42"/>
        <v>0</v>
      </c>
      <c r="AM73" s="20">
        <f t="shared" si="42"/>
        <v>0</v>
      </c>
      <c r="AN73" s="20">
        <f t="shared" si="42"/>
        <v>0</v>
      </c>
      <c r="AO73" s="20">
        <f t="shared" si="42"/>
        <v>700000</v>
      </c>
      <c r="AP73" s="20">
        <f t="shared" si="42"/>
        <v>0</v>
      </c>
      <c r="AQ73" s="20">
        <f t="shared" si="42"/>
        <v>700000</v>
      </c>
      <c r="AR73" s="20">
        <f t="shared" si="42"/>
        <v>20387931</v>
      </c>
      <c r="AS73" s="20">
        <f t="shared" si="42"/>
        <v>0</v>
      </c>
      <c r="AT73" s="20">
        <f t="shared" si="42"/>
        <v>20387931</v>
      </c>
      <c r="AU73" s="20">
        <f t="shared" si="42"/>
        <v>0</v>
      </c>
      <c r="AV73" s="20">
        <f t="shared" si="42"/>
        <v>0</v>
      </c>
      <c r="AW73" s="20">
        <f t="shared" si="42"/>
        <v>0</v>
      </c>
      <c r="AX73" s="20">
        <f t="shared" si="42"/>
        <v>500000</v>
      </c>
      <c r="AY73" s="20">
        <f t="shared" si="42"/>
        <v>0</v>
      </c>
      <c r="AZ73" s="20">
        <f t="shared" si="42"/>
        <v>500000</v>
      </c>
      <c r="BA73" s="20">
        <f t="shared" si="42"/>
        <v>500000</v>
      </c>
      <c r="BB73" s="20">
        <f t="shared" si="42"/>
        <v>0</v>
      </c>
      <c r="BC73" s="20">
        <f t="shared" si="42"/>
        <v>500000</v>
      </c>
      <c r="BD73" s="20">
        <f t="shared" si="42"/>
        <v>690000</v>
      </c>
      <c r="BE73" s="20">
        <f t="shared" si="42"/>
        <v>0</v>
      </c>
      <c r="BF73" s="20">
        <f t="shared" si="42"/>
        <v>690000</v>
      </c>
      <c r="BG73" s="20">
        <f t="shared" si="42"/>
        <v>9315931</v>
      </c>
      <c r="BH73" s="20">
        <f>SUM(BH7:BH72)</f>
        <v>0</v>
      </c>
      <c r="BI73" s="20">
        <f>SUM(BI7:BI72)</f>
        <v>9315931</v>
      </c>
      <c r="BJ73" s="20">
        <f t="shared" si="42"/>
        <v>6930000</v>
      </c>
      <c r="BK73" s="20">
        <f>SUM(BK7:BK72)</f>
        <v>-21202000</v>
      </c>
      <c r="BL73" s="20">
        <f>SUM(BL7:BL72)</f>
        <v>5740127</v>
      </c>
      <c r="BM73" s="20">
        <f t="shared" si="42"/>
        <v>24777804</v>
      </c>
      <c r="BN73" s="20">
        <f>SUM(BN7:BN72)</f>
        <v>0</v>
      </c>
      <c r="BO73" s="20">
        <f>SUM(BO7:BO72)</f>
        <v>0</v>
      </c>
      <c r="BP73" s="20">
        <f>SUM(BP7:BP72)</f>
        <v>0</v>
      </c>
      <c r="BQ73" s="20">
        <f t="shared" si="42"/>
        <v>189873</v>
      </c>
      <c r="BR73" s="20">
        <f>SUM(BR7:BR72)</f>
        <v>0</v>
      </c>
      <c r="BS73" s="20">
        <f t="shared" si="42"/>
        <v>6740127</v>
      </c>
      <c r="BT73" s="19"/>
      <c r="BU73" s="16"/>
      <c r="BV73" s="16"/>
      <c r="BW73" s="16"/>
      <c r="BX73" s="16"/>
      <c r="BY73" s="16"/>
      <c r="BZ73" s="16"/>
    </row>
    <row r="74" spans="1:78" s="244" customFormat="1">
      <c r="A74" s="241"/>
      <c r="B74" s="241"/>
      <c r="C74" s="241"/>
      <c r="D74" s="14"/>
      <c r="E74" s="242"/>
      <c r="F74" s="242"/>
      <c r="G74" s="242"/>
      <c r="H74" s="242"/>
      <c r="I74" s="242"/>
      <c r="J74" s="242"/>
      <c r="K74" s="242"/>
      <c r="L74" s="242"/>
      <c r="M74" s="14"/>
      <c r="N74" s="14"/>
      <c r="O74" s="14"/>
      <c r="P74" s="14"/>
      <c r="Q74" s="14"/>
      <c r="R74" s="14"/>
      <c r="S74" s="14"/>
      <c r="T74" s="14"/>
      <c r="U74" s="14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242"/>
      <c r="BR74" s="242"/>
      <c r="BS74" s="242"/>
      <c r="BT74" s="241"/>
    </row>
    <row r="75" spans="1:78" s="244" customFormat="1">
      <c r="A75" s="241"/>
      <c r="B75" s="241"/>
      <c r="C75" s="233" t="s">
        <v>341</v>
      </c>
      <c r="D75" s="14"/>
      <c r="E75" s="242"/>
      <c r="F75" s="242"/>
      <c r="G75" s="242"/>
      <c r="H75" s="242"/>
      <c r="I75" s="242"/>
      <c r="J75" s="242"/>
      <c r="K75" s="242"/>
      <c r="L75" s="242"/>
      <c r="M75" s="14"/>
      <c r="N75" s="14"/>
      <c r="O75" s="14"/>
      <c r="P75" s="14"/>
      <c r="Q75" s="14"/>
      <c r="R75" s="14"/>
      <c r="S75" s="14"/>
      <c r="T75" s="14"/>
      <c r="U75" s="14"/>
      <c r="V75" s="242"/>
      <c r="W75" s="242"/>
      <c r="X75" s="242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</row>
    <row r="76" spans="1:78" s="244" customFormat="1">
      <c r="A76" s="241">
        <f>A72+1</f>
        <v>67</v>
      </c>
      <c r="B76" s="394">
        <v>580</v>
      </c>
      <c r="C76" s="394" t="s">
        <v>790</v>
      </c>
      <c r="D76" s="14">
        <f>1700000-51000</f>
        <v>1649000</v>
      </c>
      <c r="E76" s="242">
        <v>1700000</v>
      </c>
      <c r="F76" s="242">
        <f t="shared" ref="F76:F94" si="43">D76-E76</f>
        <v>-51000</v>
      </c>
      <c r="G76" s="242">
        <v>1700000</v>
      </c>
      <c r="H76" s="242">
        <v>1583332.35</v>
      </c>
      <c r="I76" s="242">
        <v>47168.6</v>
      </c>
      <c r="J76" s="242">
        <v>17601.87</v>
      </c>
      <c r="K76" s="242">
        <f t="shared" ref="K76:K96" si="44">SUM(I76:J76)</f>
        <v>64770.47</v>
      </c>
      <c r="L76" s="242">
        <f t="shared" ref="L76:L96" si="45">H76+K76</f>
        <v>1648102.82</v>
      </c>
      <c r="M76" s="14">
        <f>P76+S76-51000</f>
        <v>897.17999999993481</v>
      </c>
      <c r="N76" s="14"/>
      <c r="O76" s="14">
        <f t="shared" ref="O76:O100" si="46">D76-L76-M76-N76</f>
        <v>0</v>
      </c>
      <c r="P76" s="14">
        <f t="shared" ref="P76:P96" si="47">G76-L76</f>
        <v>51897.179999999935</v>
      </c>
      <c r="Q76" s="14"/>
      <c r="R76" s="14"/>
      <c r="S76" s="14">
        <f t="shared" ref="S76:S100" si="48">SUM(Q76:R76)</f>
        <v>0</v>
      </c>
      <c r="T76" s="14">
        <f t="shared" ref="T76:T96" si="49">P76-M76+S76</f>
        <v>51000</v>
      </c>
      <c r="U76" s="14">
        <f t="shared" ref="U76:U100" si="50">N76-T76</f>
        <v>-51000</v>
      </c>
      <c r="V76" s="242">
        <f t="shared" ref="V76:V100" si="51">U76-Y76-W76-X76</f>
        <v>-51000</v>
      </c>
      <c r="W76" s="242"/>
      <c r="X76" s="242"/>
      <c r="Y76" s="241"/>
      <c r="Z76" s="242"/>
      <c r="AA76" s="242">
        <v>-51000</v>
      </c>
      <c r="AB76" s="242">
        <f>SUM(Z76:AA76)</f>
        <v>-51000</v>
      </c>
      <c r="AC76" s="242"/>
      <c r="AD76" s="242"/>
      <c r="AE76" s="242">
        <f>SUM(AC76:AD76)</f>
        <v>0</v>
      </c>
      <c r="AF76" s="242"/>
      <c r="AG76" s="242"/>
      <c r="AH76" s="242">
        <f>SUM(AF76:AG76)</f>
        <v>0</v>
      </c>
      <c r="AI76" s="242"/>
      <c r="AJ76" s="242"/>
      <c r="AK76" s="242">
        <f>SUM(AI76:AJ76)</f>
        <v>0</v>
      </c>
      <c r="AL76" s="242"/>
      <c r="AM76" s="242"/>
      <c r="AN76" s="242">
        <f>SUM(AL76:AM76)</f>
        <v>0</v>
      </c>
      <c r="AO76" s="242"/>
      <c r="AP76" s="242"/>
      <c r="AQ76" s="242">
        <f>SUM(AO76:AP76)</f>
        <v>0</v>
      </c>
      <c r="AR76" s="242"/>
      <c r="AS76" s="242"/>
      <c r="AT76" s="242">
        <f>SUM(AR76:AS76)</f>
        <v>0</v>
      </c>
      <c r="AU76" s="242"/>
      <c r="AV76" s="242"/>
      <c r="AW76" s="242">
        <f>SUM(AU76:AV76)</f>
        <v>0</v>
      </c>
      <c r="AX76" s="242"/>
      <c r="AY76" s="242"/>
      <c r="AZ76" s="242">
        <f>SUM(AX76:AY76)</f>
        <v>0</v>
      </c>
      <c r="BA76" s="242"/>
      <c r="BB76" s="242"/>
      <c r="BC76" s="242">
        <f>SUM(BA76:BB76)</f>
        <v>0</v>
      </c>
      <c r="BD76" s="242"/>
      <c r="BE76" s="242"/>
      <c r="BF76" s="242">
        <f>SUM(BD76:BE76)</f>
        <v>0</v>
      </c>
      <c r="BG76" s="242">
        <f>BF76+AB76+AE76+AH76+AK76+AN76+AQ76+AT76+AW76+AZ76+BC76</f>
        <v>-51000</v>
      </c>
      <c r="BH76" s="242"/>
      <c r="BI76" s="242">
        <f>BG76+BH76</f>
        <v>-51000</v>
      </c>
      <c r="BJ76" s="242">
        <f t="shared" ref="BJ76:BJ100" si="52">U76-BI76</f>
        <v>0</v>
      </c>
      <c r="BK76" s="242">
        <f t="shared" ref="BK76:BK100" si="53">BI76-BL76-BM75:BM76</f>
        <v>-51000</v>
      </c>
      <c r="BL76" s="242">
        <f t="shared" ref="BL76:BL100" si="54">BE76</f>
        <v>0</v>
      </c>
      <c r="BM76" s="242">
        <f t="shared" ref="BM76:BM100" si="55">BF76</f>
        <v>0</v>
      </c>
      <c r="BN76" s="242">
        <f>BH76-BO76-BP76</f>
        <v>0</v>
      </c>
      <c r="BO76" s="241"/>
      <c r="BP76" s="241"/>
      <c r="BQ76" s="242">
        <f>BJ76-BR76-BS76</f>
        <v>0</v>
      </c>
      <c r="BR76" s="241"/>
      <c r="BS76" s="241"/>
      <c r="BT76" s="241">
        <v>732000</v>
      </c>
    </row>
    <row r="77" spans="1:78" s="244" customFormat="1">
      <c r="A77" s="241">
        <f t="shared" ref="A77:A100" si="56">A76+1</f>
        <v>68</v>
      </c>
      <c r="B77" s="394">
        <v>609</v>
      </c>
      <c r="C77" s="394" t="s">
        <v>791</v>
      </c>
      <c r="D77" s="14">
        <f>1365000-132000</f>
        <v>1233000</v>
      </c>
      <c r="E77" s="242">
        <v>1365000</v>
      </c>
      <c r="F77" s="242">
        <f t="shared" si="43"/>
        <v>-132000</v>
      </c>
      <c r="G77" s="242">
        <v>1285000</v>
      </c>
      <c r="H77" s="242">
        <v>1227215.69</v>
      </c>
      <c r="I77" s="242">
        <v>5200</v>
      </c>
      <c r="J77" s="242"/>
      <c r="K77" s="242">
        <f t="shared" si="44"/>
        <v>5200</v>
      </c>
      <c r="L77" s="242">
        <f t="shared" si="45"/>
        <v>1232415.69</v>
      </c>
      <c r="M77" s="14">
        <f>P77+S77-52000</f>
        <v>584.31000000005588</v>
      </c>
      <c r="N77" s="14"/>
      <c r="O77" s="14">
        <f t="shared" si="46"/>
        <v>0</v>
      </c>
      <c r="P77" s="14">
        <f t="shared" si="47"/>
        <v>52584.310000000056</v>
      </c>
      <c r="Q77" s="14"/>
      <c r="R77" s="14"/>
      <c r="S77" s="14">
        <f t="shared" si="48"/>
        <v>0</v>
      </c>
      <c r="T77" s="14">
        <f t="shared" si="49"/>
        <v>52000</v>
      </c>
      <c r="U77" s="14">
        <f t="shared" si="50"/>
        <v>-52000</v>
      </c>
      <c r="V77" s="242">
        <f t="shared" si="51"/>
        <v>-52000</v>
      </c>
      <c r="W77" s="242"/>
      <c r="X77" s="242"/>
      <c r="Y77" s="241"/>
      <c r="Z77" s="242"/>
      <c r="AA77" s="242">
        <v>-51000</v>
      </c>
      <c r="AB77" s="242">
        <f t="shared" ref="AB77:AB100" si="57">SUM(Z77:AA77)</f>
        <v>-51000</v>
      </c>
      <c r="AC77" s="242"/>
      <c r="AD77" s="242"/>
      <c r="AE77" s="242">
        <f t="shared" ref="AE77:AE100" si="58">SUM(AC77:AD77)</f>
        <v>0</v>
      </c>
      <c r="AF77" s="242"/>
      <c r="AG77" s="242"/>
      <c r="AH77" s="242">
        <f t="shared" ref="AH77:AH100" si="59">SUM(AF77:AG77)</f>
        <v>0</v>
      </c>
      <c r="AI77" s="242"/>
      <c r="AJ77" s="242">
        <v>-1000</v>
      </c>
      <c r="AK77" s="242">
        <f t="shared" ref="AK77:AK100" si="60">SUM(AI77:AJ77)</f>
        <v>-1000</v>
      </c>
      <c r="AL77" s="242"/>
      <c r="AM77" s="242"/>
      <c r="AN77" s="242">
        <f t="shared" ref="AN77:AN100" si="61">SUM(AL77:AM77)</f>
        <v>0</v>
      </c>
      <c r="AO77" s="242"/>
      <c r="AP77" s="242"/>
      <c r="AQ77" s="242">
        <f t="shared" ref="AQ77:AQ100" si="62">SUM(AO77:AP77)</f>
        <v>0</v>
      </c>
      <c r="AR77" s="242"/>
      <c r="AS77" s="242"/>
      <c r="AT77" s="242">
        <f t="shared" ref="AT77:AT100" si="63">SUM(AR77:AS77)</f>
        <v>0</v>
      </c>
      <c r="AU77" s="242"/>
      <c r="AV77" s="242"/>
      <c r="AW77" s="242">
        <f t="shared" ref="AW77:AW100" si="64">SUM(AU77:AV77)</f>
        <v>0</v>
      </c>
      <c r="AX77" s="242"/>
      <c r="AY77" s="242"/>
      <c r="AZ77" s="242">
        <f t="shared" ref="AZ77:AZ100" si="65">SUM(AX77:AY77)</f>
        <v>0</v>
      </c>
      <c r="BA77" s="242"/>
      <c r="BB77" s="242"/>
      <c r="BC77" s="242">
        <f t="shared" ref="BC77:BC100" si="66">SUM(BA77:BB77)</f>
        <v>0</v>
      </c>
      <c r="BD77" s="242"/>
      <c r="BE77" s="242"/>
      <c r="BF77" s="242">
        <f t="shared" ref="BF77:BF100" si="67">SUM(BD77:BE77)</f>
        <v>0</v>
      </c>
      <c r="BG77" s="242">
        <f t="shared" ref="BG77:BG100" si="68">BF77+AB77+AE77+AH77+AK77+AN77+AQ77+AT77+AW77+AZ77+BC77</f>
        <v>-52000</v>
      </c>
      <c r="BH77" s="242"/>
      <c r="BI77" s="242">
        <f t="shared" ref="BI77:BI100" si="69">BG77+BH77</f>
        <v>-52000</v>
      </c>
      <c r="BJ77" s="242">
        <f t="shared" si="52"/>
        <v>0</v>
      </c>
      <c r="BK77" s="242">
        <f t="shared" si="53"/>
        <v>-52000</v>
      </c>
      <c r="BL77" s="242">
        <f t="shared" si="54"/>
        <v>0</v>
      </c>
      <c r="BM77" s="242">
        <f t="shared" si="55"/>
        <v>0</v>
      </c>
      <c r="BN77" s="242">
        <f t="shared" ref="BN77:BN100" si="70">BH77-BO77-BP77</f>
        <v>0</v>
      </c>
      <c r="BO77" s="241"/>
      <c r="BP77" s="241"/>
      <c r="BQ77" s="242">
        <f t="shared" ref="BQ77:BQ100" si="71">BJ77-BR77-BS77</f>
        <v>0</v>
      </c>
      <c r="BR77" s="241"/>
      <c r="BS77" s="241"/>
      <c r="BT77" s="241">
        <v>732000</v>
      </c>
    </row>
    <row r="78" spans="1:78" s="244" customFormat="1">
      <c r="A78" s="241">
        <f t="shared" si="56"/>
        <v>69</v>
      </c>
      <c r="B78" s="241">
        <v>1100</v>
      </c>
      <c r="C78" s="241" t="s">
        <v>17</v>
      </c>
      <c r="D78" s="14">
        <v>7000000</v>
      </c>
      <c r="E78" s="242">
        <v>7000000</v>
      </c>
      <c r="F78" s="242">
        <f t="shared" si="43"/>
        <v>0</v>
      </c>
      <c r="G78" s="242">
        <v>5100000</v>
      </c>
      <c r="H78" s="242">
        <v>2267178</v>
      </c>
      <c r="I78" s="242">
        <v>157268.72</v>
      </c>
      <c r="J78" s="242">
        <v>1387976.52</v>
      </c>
      <c r="K78" s="242">
        <f t="shared" si="44"/>
        <v>1545245.24</v>
      </c>
      <c r="L78" s="242">
        <f t="shared" si="45"/>
        <v>3812423.24</v>
      </c>
      <c r="M78" s="14">
        <f t="shared" ref="M78:M100" si="72">P78+S78</f>
        <v>1287576.7599999998</v>
      </c>
      <c r="N78" s="14">
        <v>600000</v>
      </c>
      <c r="O78" s="14">
        <f t="shared" si="46"/>
        <v>1300000</v>
      </c>
      <c r="P78" s="14">
        <f t="shared" si="47"/>
        <v>1287576.7599999998</v>
      </c>
      <c r="Q78" s="14"/>
      <c r="R78" s="14"/>
      <c r="S78" s="14">
        <f t="shared" si="48"/>
        <v>0</v>
      </c>
      <c r="T78" s="14">
        <f t="shared" si="49"/>
        <v>0</v>
      </c>
      <c r="U78" s="14">
        <f t="shared" si="50"/>
        <v>600000</v>
      </c>
      <c r="V78" s="242">
        <f t="shared" si="51"/>
        <v>600000</v>
      </c>
      <c r="W78" s="242"/>
      <c r="X78" s="242"/>
      <c r="Y78" s="241"/>
      <c r="Z78" s="242"/>
      <c r="AA78" s="242"/>
      <c r="AB78" s="242">
        <f t="shared" si="57"/>
        <v>0</v>
      </c>
      <c r="AC78" s="242"/>
      <c r="AD78" s="242"/>
      <c r="AE78" s="242">
        <f t="shared" si="58"/>
        <v>0</v>
      </c>
      <c r="AF78" s="242"/>
      <c r="AG78" s="242"/>
      <c r="AH78" s="242">
        <f t="shared" si="59"/>
        <v>0</v>
      </c>
      <c r="AI78" s="242"/>
      <c r="AJ78" s="242"/>
      <c r="AK78" s="242">
        <f t="shared" si="60"/>
        <v>0</v>
      </c>
      <c r="AL78" s="242"/>
      <c r="AM78" s="242"/>
      <c r="AN78" s="242">
        <f t="shared" si="61"/>
        <v>0</v>
      </c>
      <c r="AO78" s="242"/>
      <c r="AP78" s="242"/>
      <c r="AQ78" s="242">
        <f t="shared" si="62"/>
        <v>0</v>
      </c>
      <c r="AR78" s="242"/>
      <c r="AS78" s="242"/>
      <c r="AT78" s="242">
        <f t="shared" si="63"/>
        <v>0</v>
      </c>
      <c r="AU78" s="242"/>
      <c r="AV78" s="242"/>
      <c r="AW78" s="242">
        <f t="shared" si="64"/>
        <v>0</v>
      </c>
      <c r="AX78" s="242"/>
      <c r="AY78" s="242"/>
      <c r="AZ78" s="242">
        <f t="shared" si="65"/>
        <v>0</v>
      </c>
      <c r="BA78" s="242"/>
      <c r="BB78" s="242"/>
      <c r="BC78" s="242">
        <f t="shared" si="66"/>
        <v>0</v>
      </c>
      <c r="BD78" s="242"/>
      <c r="BE78" s="242"/>
      <c r="BF78" s="242">
        <f t="shared" si="67"/>
        <v>0</v>
      </c>
      <c r="BG78" s="242">
        <f t="shared" si="68"/>
        <v>0</v>
      </c>
      <c r="BH78" s="242"/>
      <c r="BI78" s="242">
        <f t="shared" si="69"/>
        <v>0</v>
      </c>
      <c r="BJ78" s="242">
        <f t="shared" si="52"/>
        <v>600000</v>
      </c>
      <c r="BK78" s="242">
        <f t="shared" si="53"/>
        <v>0</v>
      </c>
      <c r="BL78" s="242">
        <f t="shared" si="54"/>
        <v>0</v>
      </c>
      <c r="BM78" s="242">
        <f t="shared" si="55"/>
        <v>0</v>
      </c>
      <c r="BN78" s="242">
        <f t="shared" si="70"/>
        <v>0</v>
      </c>
      <c r="BO78" s="241"/>
      <c r="BP78" s="241"/>
      <c r="BQ78" s="242">
        <f t="shared" si="71"/>
        <v>600000</v>
      </c>
      <c r="BR78" s="241"/>
      <c r="BS78" s="241"/>
      <c r="BT78" s="241">
        <v>732000</v>
      </c>
    </row>
    <row r="79" spans="1:78" s="246" customFormat="1">
      <c r="A79" s="241">
        <f t="shared" si="56"/>
        <v>70</v>
      </c>
      <c r="B79" s="394">
        <v>1326</v>
      </c>
      <c r="C79" s="394" t="s">
        <v>1168</v>
      </c>
      <c r="D79" s="14">
        <f>300000</f>
        <v>300000</v>
      </c>
      <c r="E79" s="242">
        <v>300000</v>
      </c>
      <c r="F79" s="242">
        <f t="shared" si="43"/>
        <v>0</v>
      </c>
      <c r="G79" s="242">
        <v>300000</v>
      </c>
      <c r="H79" s="242">
        <v>51468.25</v>
      </c>
      <c r="I79" s="242">
        <v>140229.28</v>
      </c>
      <c r="J79" s="242"/>
      <c r="K79" s="242">
        <f t="shared" si="44"/>
        <v>140229.28</v>
      </c>
      <c r="L79" s="242">
        <f t="shared" si="45"/>
        <v>191697.53</v>
      </c>
      <c r="M79" s="14">
        <f>P79+S79-108000</f>
        <v>302.47000000000116</v>
      </c>
      <c r="N79" s="14"/>
      <c r="O79" s="14">
        <f t="shared" si="46"/>
        <v>108000</v>
      </c>
      <c r="P79" s="14">
        <f t="shared" si="47"/>
        <v>108302.47</v>
      </c>
      <c r="Q79" s="14"/>
      <c r="R79" s="14"/>
      <c r="S79" s="14">
        <f t="shared" si="48"/>
        <v>0</v>
      </c>
      <c r="T79" s="14">
        <f t="shared" si="49"/>
        <v>108000</v>
      </c>
      <c r="U79" s="14">
        <f t="shared" si="50"/>
        <v>-108000</v>
      </c>
      <c r="V79" s="242">
        <f t="shared" si="51"/>
        <v>-108000</v>
      </c>
      <c r="W79" s="242"/>
      <c r="X79" s="242"/>
      <c r="Y79" s="241"/>
      <c r="Z79" s="242"/>
      <c r="AA79" s="242">
        <v>-108000</v>
      </c>
      <c r="AB79" s="242">
        <f t="shared" si="57"/>
        <v>-108000</v>
      </c>
      <c r="AC79" s="242"/>
      <c r="AD79" s="242"/>
      <c r="AE79" s="242">
        <f t="shared" si="58"/>
        <v>0</v>
      </c>
      <c r="AF79" s="242"/>
      <c r="AG79" s="242"/>
      <c r="AH79" s="242">
        <f t="shared" si="59"/>
        <v>0</v>
      </c>
      <c r="AI79" s="242"/>
      <c r="AJ79" s="242"/>
      <c r="AK79" s="242">
        <f t="shared" si="60"/>
        <v>0</v>
      </c>
      <c r="AL79" s="242"/>
      <c r="AM79" s="242"/>
      <c r="AN79" s="242">
        <f t="shared" si="61"/>
        <v>0</v>
      </c>
      <c r="AO79" s="242"/>
      <c r="AP79" s="242"/>
      <c r="AQ79" s="242">
        <f t="shared" si="62"/>
        <v>0</v>
      </c>
      <c r="AR79" s="242"/>
      <c r="AS79" s="242"/>
      <c r="AT79" s="242">
        <f t="shared" si="63"/>
        <v>0</v>
      </c>
      <c r="AU79" s="242"/>
      <c r="AV79" s="242"/>
      <c r="AW79" s="242">
        <f t="shared" si="64"/>
        <v>0</v>
      </c>
      <c r="AX79" s="242"/>
      <c r="AY79" s="242"/>
      <c r="AZ79" s="242">
        <f t="shared" si="65"/>
        <v>0</v>
      </c>
      <c r="BA79" s="242"/>
      <c r="BB79" s="242"/>
      <c r="BC79" s="242">
        <f t="shared" si="66"/>
        <v>0</v>
      </c>
      <c r="BD79" s="242"/>
      <c r="BE79" s="242"/>
      <c r="BF79" s="242">
        <f t="shared" si="67"/>
        <v>0</v>
      </c>
      <c r="BG79" s="242">
        <f t="shared" si="68"/>
        <v>-108000</v>
      </c>
      <c r="BH79" s="242"/>
      <c r="BI79" s="242">
        <f t="shared" si="69"/>
        <v>-108000</v>
      </c>
      <c r="BJ79" s="242">
        <f t="shared" si="52"/>
        <v>0</v>
      </c>
      <c r="BK79" s="242">
        <f t="shared" si="53"/>
        <v>-108000</v>
      </c>
      <c r="BL79" s="242">
        <f t="shared" si="54"/>
        <v>0</v>
      </c>
      <c r="BM79" s="242">
        <f t="shared" si="55"/>
        <v>0</v>
      </c>
      <c r="BN79" s="242">
        <f t="shared" si="70"/>
        <v>0</v>
      </c>
      <c r="BO79" s="241"/>
      <c r="BP79" s="241"/>
      <c r="BQ79" s="242">
        <f t="shared" si="71"/>
        <v>0</v>
      </c>
      <c r="BR79" s="241"/>
      <c r="BS79" s="241"/>
      <c r="BT79" s="241">
        <v>732000</v>
      </c>
      <c r="BU79" s="244"/>
    </row>
    <row r="80" spans="1:78" s="15" customFormat="1">
      <c r="A80" s="241">
        <f t="shared" si="56"/>
        <v>71</v>
      </c>
      <c r="B80" s="13">
        <v>1406</v>
      </c>
      <c r="C80" s="13" t="s">
        <v>259</v>
      </c>
      <c r="D80" s="14">
        <v>1100000</v>
      </c>
      <c r="E80" s="14">
        <v>700000</v>
      </c>
      <c r="F80" s="14">
        <f t="shared" si="43"/>
        <v>400000</v>
      </c>
      <c r="G80" s="14">
        <v>700000</v>
      </c>
      <c r="H80" s="14">
        <v>502601</v>
      </c>
      <c r="I80" s="14">
        <v>49768.05</v>
      </c>
      <c r="J80" s="14">
        <v>147566</v>
      </c>
      <c r="K80" s="14">
        <f t="shared" si="44"/>
        <v>197334.05</v>
      </c>
      <c r="L80" s="14">
        <f t="shared" si="45"/>
        <v>699935.05</v>
      </c>
      <c r="M80" s="14">
        <f t="shared" si="72"/>
        <v>64.949999999953434</v>
      </c>
      <c r="N80" s="14">
        <f>100000+200000</f>
        <v>300000</v>
      </c>
      <c r="O80" s="14">
        <f t="shared" si="46"/>
        <v>100000</v>
      </c>
      <c r="P80" s="14">
        <f t="shared" si="47"/>
        <v>64.949999999953434</v>
      </c>
      <c r="Q80" s="14"/>
      <c r="R80" s="14"/>
      <c r="S80" s="14">
        <f t="shared" si="48"/>
        <v>0</v>
      </c>
      <c r="T80" s="14">
        <f t="shared" si="49"/>
        <v>0</v>
      </c>
      <c r="U80" s="14">
        <f t="shared" si="50"/>
        <v>300000</v>
      </c>
      <c r="V80" s="14">
        <f t="shared" si="51"/>
        <v>300000</v>
      </c>
      <c r="W80" s="14"/>
      <c r="X80" s="14"/>
      <c r="Y80" s="13"/>
      <c r="Z80" s="242"/>
      <c r="AA80" s="242"/>
      <c r="AB80" s="242">
        <f t="shared" si="57"/>
        <v>0</v>
      </c>
      <c r="AC80" s="242"/>
      <c r="AD80" s="242"/>
      <c r="AE80" s="242">
        <f t="shared" si="58"/>
        <v>0</v>
      </c>
      <c r="AF80" s="242"/>
      <c r="AG80" s="242"/>
      <c r="AH80" s="242">
        <f t="shared" si="59"/>
        <v>0</v>
      </c>
      <c r="AI80" s="242"/>
      <c r="AJ80" s="242"/>
      <c r="AK80" s="242">
        <f t="shared" si="60"/>
        <v>0</v>
      </c>
      <c r="AL80" s="242"/>
      <c r="AM80" s="242"/>
      <c r="AN80" s="242">
        <f t="shared" si="61"/>
        <v>0</v>
      </c>
      <c r="AO80" s="242"/>
      <c r="AP80" s="242"/>
      <c r="AQ80" s="242">
        <f t="shared" si="62"/>
        <v>0</v>
      </c>
      <c r="AR80" s="242"/>
      <c r="AS80" s="242"/>
      <c r="AT80" s="242">
        <f t="shared" si="63"/>
        <v>0</v>
      </c>
      <c r="AU80" s="242"/>
      <c r="AV80" s="242"/>
      <c r="AW80" s="242">
        <f t="shared" si="64"/>
        <v>0</v>
      </c>
      <c r="AX80" s="242"/>
      <c r="AY80" s="242"/>
      <c r="AZ80" s="242">
        <f t="shared" si="65"/>
        <v>0</v>
      </c>
      <c r="BA80" s="242"/>
      <c r="BB80" s="242"/>
      <c r="BC80" s="242">
        <f t="shared" si="66"/>
        <v>0</v>
      </c>
      <c r="BD80" s="242"/>
      <c r="BE80" s="242"/>
      <c r="BF80" s="242">
        <f t="shared" si="67"/>
        <v>0</v>
      </c>
      <c r="BG80" s="242">
        <f t="shared" si="68"/>
        <v>0</v>
      </c>
      <c r="BH80" s="242"/>
      <c r="BI80" s="242">
        <f t="shared" si="69"/>
        <v>0</v>
      </c>
      <c r="BJ80" s="242">
        <f t="shared" si="52"/>
        <v>300000</v>
      </c>
      <c r="BK80" s="242">
        <f t="shared" si="53"/>
        <v>0</v>
      </c>
      <c r="BL80" s="242">
        <f t="shared" si="54"/>
        <v>0</v>
      </c>
      <c r="BM80" s="242">
        <f t="shared" si="55"/>
        <v>0</v>
      </c>
      <c r="BN80" s="242">
        <f t="shared" si="70"/>
        <v>0</v>
      </c>
      <c r="BO80" s="241"/>
      <c r="BP80" s="241"/>
      <c r="BQ80" s="242">
        <f t="shared" si="71"/>
        <v>300000</v>
      </c>
      <c r="BR80" s="241"/>
      <c r="BS80" s="241"/>
      <c r="BT80" s="13">
        <v>732000</v>
      </c>
    </row>
    <row r="81" spans="1:78" s="16" customFormat="1">
      <c r="A81" s="241">
        <f t="shared" si="56"/>
        <v>72</v>
      </c>
      <c r="B81" s="13">
        <v>1407</v>
      </c>
      <c r="C81" s="13" t="s">
        <v>18</v>
      </c>
      <c r="D81" s="14">
        <v>4430000</v>
      </c>
      <c r="E81" s="14">
        <v>3430000</v>
      </c>
      <c r="F81" s="14">
        <f t="shared" si="43"/>
        <v>1000000</v>
      </c>
      <c r="G81" s="14">
        <v>3395000</v>
      </c>
      <c r="H81" s="14">
        <v>1758811</v>
      </c>
      <c r="I81" s="14">
        <v>981626</v>
      </c>
      <c r="J81" s="14">
        <v>119333.42</v>
      </c>
      <c r="K81" s="14">
        <f t="shared" si="44"/>
        <v>1100959.42</v>
      </c>
      <c r="L81" s="14">
        <f t="shared" si="45"/>
        <v>2859770.42</v>
      </c>
      <c r="M81" s="14">
        <f t="shared" si="72"/>
        <v>535229.58000000007</v>
      </c>
      <c r="N81" s="14">
        <f>1000000-500000+500000</f>
        <v>1000000</v>
      </c>
      <c r="O81" s="14">
        <f t="shared" si="46"/>
        <v>35000</v>
      </c>
      <c r="P81" s="14">
        <f t="shared" si="47"/>
        <v>535229.58000000007</v>
      </c>
      <c r="Q81" s="14"/>
      <c r="R81" s="14"/>
      <c r="S81" s="14">
        <f t="shared" si="48"/>
        <v>0</v>
      </c>
      <c r="T81" s="14">
        <f t="shared" si="49"/>
        <v>0</v>
      </c>
      <c r="U81" s="14">
        <f t="shared" si="50"/>
        <v>1000000</v>
      </c>
      <c r="V81" s="14">
        <f t="shared" si="51"/>
        <v>1000000</v>
      </c>
      <c r="W81" s="14"/>
      <c r="X81" s="14"/>
      <c r="Y81" s="13"/>
      <c r="Z81" s="242"/>
      <c r="AA81" s="242"/>
      <c r="AB81" s="242">
        <f t="shared" si="57"/>
        <v>0</v>
      </c>
      <c r="AC81" s="242"/>
      <c r="AD81" s="242"/>
      <c r="AE81" s="242">
        <f t="shared" si="58"/>
        <v>0</v>
      </c>
      <c r="AF81" s="242"/>
      <c r="AG81" s="242"/>
      <c r="AH81" s="242">
        <f t="shared" si="59"/>
        <v>0</v>
      </c>
      <c r="AI81" s="242"/>
      <c r="AJ81" s="242"/>
      <c r="AK81" s="242">
        <f t="shared" si="60"/>
        <v>0</v>
      </c>
      <c r="AL81" s="242"/>
      <c r="AM81" s="242"/>
      <c r="AN81" s="242">
        <f t="shared" si="61"/>
        <v>0</v>
      </c>
      <c r="AO81" s="242"/>
      <c r="AP81" s="242"/>
      <c r="AQ81" s="242">
        <f t="shared" si="62"/>
        <v>0</v>
      </c>
      <c r="AR81" s="242"/>
      <c r="AS81" s="242"/>
      <c r="AT81" s="242">
        <f t="shared" si="63"/>
        <v>0</v>
      </c>
      <c r="AU81" s="242"/>
      <c r="AV81" s="242"/>
      <c r="AW81" s="242">
        <f t="shared" si="64"/>
        <v>0</v>
      </c>
      <c r="AX81" s="242"/>
      <c r="AY81" s="242"/>
      <c r="AZ81" s="242">
        <f t="shared" si="65"/>
        <v>0</v>
      </c>
      <c r="BA81" s="242"/>
      <c r="BB81" s="242"/>
      <c r="BC81" s="242">
        <f t="shared" si="66"/>
        <v>0</v>
      </c>
      <c r="BD81" s="242"/>
      <c r="BE81" s="242"/>
      <c r="BF81" s="242">
        <f t="shared" si="67"/>
        <v>0</v>
      </c>
      <c r="BG81" s="242">
        <f t="shared" si="68"/>
        <v>0</v>
      </c>
      <c r="BH81" s="242"/>
      <c r="BI81" s="242">
        <f t="shared" si="69"/>
        <v>0</v>
      </c>
      <c r="BJ81" s="242">
        <f t="shared" si="52"/>
        <v>1000000</v>
      </c>
      <c r="BK81" s="242">
        <f t="shared" si="53"/>
        <v>0</v>
      </c>
      <c r="BL81" s="242">
        <f t="shared" si="54"/>
        <v>0</v>
      </c>
      <c r="BM81" s="242">
        <f t="shared" si="55"/>
        <v>0</v>
      </c>
      <c r="BN81" s="242">
        <f t="shared" si="70"/>
        <v>0</v>
      </c>
      <c r="BO81" s="241"/>
      <c r="BP81" s="241"/>
      <c r="BQ81" s="242">
        <f t="shared" si="71"/>
        <v>1000000</v>
      </c>
      <c r="BR81" s="241"/>
      <c r="BS81" s="241"/>
      <c r="BT81" s="13">
        <v>732000</v>
      </c>
      <c r="BU81" s="392"/>
    </row>
    <row r="82" spans="1:78" s="15" customFormat="1">
      <c r="A82" s="241">
        <f t="shared" si="56"/>
        <v>73</v>
      </c>
      <c r="B82" s="13">
        <v>1408</v>
      </c>
      <c r="C82" s="13" t="s">
        <v>19</v>
      </c>
      <c r="D82" s="14">
        <v>1000000</v>
      </c>
      <c r="E82" s="14">
        <v>1000000</v>
      </c>
      <c r="F82" s="14">
        <f t="shared" si="43"/>
        <v>0</v>
      </c>
      <c r="G82" s="14">
        <v>100000</v>
      </c>
      <c r="H82" s="14">
        <v>0</v>
      </c>
      <c r="I82" s="14">
        <v>99760</v>
      </c>
      <c r="J82" s="14"/>
      <c r="K82" s="14">
        <f t="shared" si="44"/>
        <v>99760</v>
      </c>
      <c r="L82" s="14">
        <f t="shared" si="45"/>
        <v>99760</v>
      </c>
      <c r="M82" s="14">
        <f t="shared" si="72"/>
        <v>240</v>
      </c>
      <c r="N82" s="14"/>
      <c r="O82" s="14">
        <f t="shared" si="46"/>
        <v>900000</v>
      </c>
      <c r="P82" s="14">
        <f t="shared" si="47"/>
        <v>240</v>
      </c>
      <c r="Q82" s="14"/>
      <c r="R82" s="14"/>
      <c r="S82" s="14">
        <f t="shared" si="48"/>
        <v>0</v>
      </c>
      <c r="T82" s="14">
        <f t="shared" si="49"/>
        <v>0</v>
      </c>
      <c r="U82" s="14">
        <f t="shared" si="50"/>
        <v>0</v>
      </c>
      <c r="V82" s="14">
        <f t="shared" si="51"/>
        <v>0</v>
      </c>
      <c r="W82" s="14"/>
      <c r="X82" s="14"/>
      <c r="Y82" s="13"/>
      <c r="Z82" s="242"/>
      <c r="AA82" s="242"/>
      <c r="AB82" s="242">
        <f t="shared" si="57"/>
        <v>0</v>
      </c>
      <c r="AC82" s="242"/>
      <c r="AD82" s="242"/>
      <c r="AE82" s="242">
        <f t="shared" si="58"/>
        <v>0</v>
      </c>
      <c r="AF82" s="242"/>
      <c r="AG82" s="242"/>
      <c r="AH82" s="242">
        <f t="shared" si="59"/>
        <v>0</v>
      </c>
      <c r="AI82" s="242"/>
      <c r="AJ82" s="242"/>
      <c r="AK82" s="242">
        <f t="shared" si="60"/>
        <v>0</v>
      </c>
      <c r="AL82" s="242"/>
      <c r="AM82" s="242"/>
      <c r="AN82" s="242">
        <f t="shared" si="61"/>
        <v>0</v>
      </c>
      <c r="AO82" s="242"/>
      <c r="AP82" s="242"/>
      <c r="AQ82" s="242">
        <f t="shared" si="62"/>
        <v>0</v>
      </c>
      <c r="AR82" s="242"/>
      <c r="AS82" s="242"/>
      <c r="AT82" s="242">
        <f t="shared" si="63"/>
        <v>0</v>
      </c>
      <c r="AU82" s="242"/>
      <c r="AV82" s="242"/>
      <c r="AW82" s="242">
        <f t="shared" si="64"/>
        <v>0</v>
      </c>
      <c r="AX82" s="242"/>
      <c r="AY82" s="242"/>
      <c r="AZ82" s="242">
        <f t="shared" si="65"/>
        <v>0</v>
      </c>
      <c r="BA82" s="242"/>
      <c r="BB82" s="242"/>
      <c r="BC82" s="242">
        <f t="shared" si="66"/>
        <v>0</v>
      </c>
      <c r="BD82" s="242"/>
      <c r="BE82" s="242"/>
      <c r="BF82" s="242">
        <f t="shared" si="67"/>
        <v>0</v>
      </c>
      <c r="BG82" s="242">
        <f t="shared" si="68"/>
        <v>0</v>
      </c>
      <c r="BH82" s="242"/>
      <c r="BI82" s="242">
        <f t="shared" si="69"/>
        <v>0</v>
      </c>
      <c r="BJ82" s="242">
        <f t="shared" si="52"/>
        <v>0</v>
      </c>
      <c r="BK82" s="242">
        <f t="shared" si="53"/>
        <v>0</v>
      </c>
      <c r="BL82" s="242">
        <f t="shared" si="54"/>
        <v>0</v>
      </c>
      <c r="BM82" s="242">
        <f t="shared" si="55"/>
        <v>0</v>
      </c>
      <c r="BN82" s="242">
        <f t="shared" si="70"/>
        <v>0</v>
      </c>
      <c r="BO82" s="241"/>
      <c r="BP82" s="241"/>
      <c r="BQ82" s="242">
        <f t="shared" si="71"/>
        <v>0</v>
      </c>
      <c r="BR82" s="241"/>
      <c r="BS82" s="241"/>
      <c r="BT82" s="13">
        <v>732000</v>
      </c>
    </row>
    <row r="83" spans="1:78" s="15" customFormat="1">
      <c r="A83" s="241">
        <f t="shared" si="56"/>
        <v>74</v>
      </c>
      <c r="B83" s="13">
        <v>1464</v>
      </c>
      <c r="C83" s="13" t="s">
        <v>20</v>
      </c>
      <c r="D83" s="14">
        <v>200000</v>
      </c>
      <c r="E83" s="14">
        <v>200000</v>
      </c>
      <c r="F83" s="14">
        <f t="shared" si="43"/>
        <v>0</v>
      </c>
      <c r="G83" s="14">
        <v>200000</v>
      </c>
      <c r="H83" s="14">
        <v>17198.810000000001</v>
      </c>
      <c r="I83" s="14"/>
      <c r="J83" s="14">
        <v>1445.98</v>
      </c>
      <c r="K83" s="14">
        <f t="shared" si="44"/>
        <v>1445.98</v>
      </c>
      <c r="L83" s="14">
        <f t="shared" si="45"/>
        <v>18644.79</v>
      </c>
      <c r="M83" s="14">
        <f>P83+S83-180000</f>
        <v>1355.2099999999919</v>
      </c>
      <c r="N83" s="14"/>
      <c r="O83" s="14">
        <f t="shared" si="46"/>
        <v>180000</v>
      </c>
      <c r="P83" s="14">
        <f t="shared" si="47"/>
        <v>181355.21</v>
      </c>
      <c r="Q83" s="14"/>
      <c r="R83" s="14"/>
      <c r="S83" s="14">
        <f t="shared" si="48"/>
        <v>0</v>
      </c>
      <c r="T83" s="14">
        <f t="shared" si="49"/>
        <v>180000</v>
      </c>
      <c r="U83" s="14">
        <f t="shared" si="50"/>
        <v>-180000</v>
      </c>
      <c r="V83" s="14">
        <f t="shared" si="51"/>
        <v>-180000</v>
      </c>
      <c r="W83" s="14"/>
      <c r="X83" s="14"/>
      <c r="Y83" s="13"/>
      <c r="Z83" s="242"/>
      <c r="AA83" s="242">
        <v>-180000</v>
      </c>
      <c r="AB83" s="242">
        <f t="shared" si="57"/>
        <v>-180000</v>
      </c>
      <c r="AC83" s="242"/>
      <c r="AD83" s="242"/>
      <c r="AE83" s="242">
        <f t="shared" si="58"/>
        <v>0</v>
      </c>
      <c r="AF83" s="242"/>
      <c r="AG83" s="242"/>
      <c r="AH83" s="242">
        <f t="shared" si="59"/>
        <v>0</v>
      </c>
      <c r="AI83" s="242"/>
      <c r="AJ83" s="242"/>
      <c r="AK83" s="242">
        <f t="shared" si="60"/>
        <v>0</v>
      </c>
      <c r="AL83" s="242"/>
      <c r="AM83" s="242"/>
      <c r="AN83" s="242">
        <f t="shared" si="61"/>
        <v>0</v>
      </c>
      <c r="AO83" s="242"/>
      <c r="AP83" s="242"/>
      <c r="AQ83" s="242">
        <f t="shared" si="62"/>
        <v>0</v>
      </c>
      <c r="AR83" s="242"/>
      <c r="AS83" s="242"/>
      <c r="AT83" s="242">
        <f t="shared" si="63"/>
        <v>0</v>
      </c>
      <c r="AU83" s="242"/>
      <c r="AV83" s="242"/>
      <c r="AW83" s="242">
        <f t="shared" si="64"/>
        <v>0</v>
      </c>
      <c r="AX83" s="242"/>
      <c r="AY83" s="242"/>
      <c r="AZ83" s="242">
        <f t="shared" si="65"/>
        <v>0</v>
      </c>
      <c r="BA83" s="242"/>
      <c r="BB83" s="242"/>
      <c r="BC83" s="242">
        <f t="shared" si="66"/>
        <v>0</v>
      </c>
      <c r="BD83" s="242"/>
      <c r="BE83" s="242"/>
      <c r="BF83" s="242">
        <f t="shared" si="67"/>
        <v>0</v>
      </c>
      <c r="BG83" s="242">
        <f t="shared" si="68"/>
        <v>-180000</v>
      </c>
      <c r="BH83" s="242"/>
      <c r="BI83" s="242">
        <f t="shared" si="69"/>
        <v>-180000</v>
      </c>
      <c r="BJ83" s="242">
        <f t="shared" si="52"/>
        <v>0</v>
      </c>
      <c r="BK83" s="242">
        <f t="shared" si="53"/>
        <v>-180000</v>
      </c>
      <c r="BL83" s="242">
        <f t="shared" si="54"/>
        <v>0</v>
      </c>
      <c r="BM83" s="242">
        <f t="shared" si="55"/>
        <v>0</v>
      </c>
      <c r="BN83" s="242">
        <f t="shared" si="70"/>
        <v>0</v>
      </c>
      <c r="BO83" s="241"/>
      <c r="BP83" s="241"/>
      <c r="BQ83" s="242">
        <f t="shared" si="71"/>
        <v>0</v>
      </c>
      <c r="BR83" s="241"/>
      <c r="BS83" s="241"/>
      <c r="BT83" s="13">
        <v>732000</v>
      </c>
    </row>
    <row r="84" spans="1:78" s="15" customFormat="1">
      <c r="A84" s="241">
        <f t="shared" si="56"/>
        <v>75</v>
      </c>
      <c r="B84" s="396">
        <v>1465</v>
      </c>
      <c r="C84" s="396" t="s">
        <v>679</v>
      </c>
      <c r="D84" s="14">
        <v>100000</v>
      </c>
      <c r="E84" s="14">
        <v>100000</v>
      </c>
      <c r="F84" s="14">
        <f t="shared" si="43"/>
        <v>0</v>
      </c>
      <c r="G84" s="14">
        <v>100000</v>
      </c>
      <c r="H84" s="14">
        <v>0</v>
      </c>
      <c r="I84" s="14">
        <v>59206.400000000001</v>
      </c>
      <c r="J84" s="14"/>
      <c r="K84" s="14">
        <f t="shared" si="44"/>
        <v>59206.400000000001</v>
      </c>
      <c r="L84" s="14">
        <f t="shared" si="45"/>
        <v>59206.400000000001</v>
      </c>
      <c r="M84" s="14">
        <f t="shared" si="72"/>
        <v>40793.599999999999</v>
      </c>
      <c r="N84" s="14"/>
      <c r="O84" s="14">
        <f t="shared" si="46"/>
        <v>0</v>
      </c>
      <c r="P84" s="14">
        <f t="shared" si="47"/>
        <v>40793.599999999999</v>
      </c>
      <c r="Q84" s="14"/>
      <c r="R84" s="14"/>
      <c r="S84" s="14">
        <f t="shared" si="48"/>
        <v>0</v>
      </c>
      <c r="T84" s="14">
        <f t="shared" si="49"/>
        <v>0</v>
      </c>
      <c r="U84" s="14">
        <f t="shared" si="50"/>
        <v>0</v>
      </c>
      <c r="V84" s="14">
        <f t="shared" si="51"/>
        <v>0</v>
      </c>
      <c r="W84" s="14"/>
      <c r="X84" s="14"/>
      <c r="Y84" s="13"/>
      <c r="Z84" s="242"/>
      <c r="AA84" s="242"/>
      <c r="AB84" s="242">
        <f t="shared" si="57"/>
        <v>0</v>
      </c>
      <c r="AC84" s="242"/>
      <c r="AD84" s="242"/>
      <c r="AE84" s="242">
        <f t="shared" si="58"/>
        <v>0</v>
      </c>
      <c r="AF84" s="242"/>
      <c r="AG84" s="242"/>
      <c r="AH84" s="242">
        <f t="shared" si="59"/>
        <v>0</v>
      </c>
      <c r="AI84" s="242"/>
      <c r="AJ84" s="242"/>
      <c r="AK84" s="242">
        <f t="shared" si="60"/>
        <v>0</v>
      </c>
      <c r="AL84" s="242"/>
      <c r="AM84" s="242"/>
      <c r="AN84" s="242">
        <f t="shared" si="61"/>
        <v>0</v>
      </c>
      <c r="AO84" s="242"/>
      <c r="AP84" s="242"/>
      <c r="AQ84" s="242">
        <f t="shared" si="62"/>
        <v>0</v>
      </c>
      <c r="AR84" s="242"/>
      <c r="AS84" s="242"/>
      <c r="AT84" s="242">
        <f t="shared" si="63"/>
        <v>0</v>
      </c>
      <c r="AU84" s="242"/>
      <c r="AV84" s="242"/>
      <c r="AW84" s="242">
        <f t="shared" si="64"/>
        <v>0</v>
      </c>
      <c r="AX84" s="242"/>
      <c r="AY84" s="242"/>
      <c r="AZ84" s="242">
        <f t="shared" si="65"/>
        <v>0</v>
      </c>
      <c r="BA84" s="242"/>
      <c r="BB84" s="242"/>
      <c r="BC84" s="242">
        <f t="shared" si="66"/>
        <v>0</v>
      </c>
      <c r="BD84" s="242"/>
      <c r="BE84" s="242"/>
      <c r="BF84" s="242">
        <f t="shared" si="67"/>
        <v>0</v>
      </c>
      <c r="BG84" s="242">
        <f t="shared" si="68"/>
        <v>0</v>
      </c>
      <c r="BH84" s="242"/>
      <c r="BI84" s="242">
        <f t="shared" si="69"/>
        <v>0</v>
      </c>
      <c r="BJ84" s="242">
        <f t="shared" si="52"/>
        <v>0</v>
      </c>
      <c r="BK84" s="242">
        <f t="shared" si="53"/>
        <v>0</v>
      </c>
      <c r="BL84" s="242">
        <f t="shared" si="54"/>
        <v>0</v>
      </c>
      <c r="BM84" s="242">
        <f t="shared" si="55"/>
        <v>0</v>
      </c>
      <c r="BN84" s="242">
        <f t="shared" si="70"/>
        <v>0</v>
      </c>
      <c r="BO84" s="241"/>
      <c r="BP84" s="241"/>
      <c r="BQ84" s="242">
        <f t="shared" si="71"/>
        <v>0</v>
      </c>
      <c r="BR84" s="241"/>
      <c r="BS84" s="241"/>
      <c r="BT84" s="13">
        <v>732000</v>
      </c>
    </row>
    <row r="85" spans="1:78" s="15" customFormat="1">
      <c r="A85" s="241">
        <f t="shared" si="56"/>
        <v>76</v>
      </c>
      <c r="B85" s="13">
        <v>1551</v>
      </c>
      <c r="C85" s="13" t="s">
        <v>214</v>
      </c>
      <c r="D85" s="14">
        <v>6000000</v>
      </c>
      <c r="E85" s="14">
        <v>6000000</v>
      </c>
      <c r="F85" s="14">
        <f t="shared" si="43"/>
        <v>0</v>
      </c>
      <c r="G85" s="14">
        <v>489240</v>
      </c>
      <c r="H85" s="14">
        <v>204671</v>
      </c>
      <c r="I85" s="14">
        <v>19855</v>
      </c>
      <c r="J85" s="14"/>
      <c r="K85" s="14">
        <f t="shared" si="44"/>
        <v>19855</v>
      </c>
      <c r="L85" s="14">
        <f t="shared" si="45"/>
        <v>224526</v>
      </c>
      <c r="M85" s="14">
        <f t="shared" si="72"/>
        <v>264714</v>
      </c>
      <c r="N85" s="14">
        <v>90000</v>
      </c>
      <c r="O85" s="14">
        <f t="shared" si="46"/>
        <v>5420760</v>
      </c>
      <c r="P85" s="14">
        <f t="shared" si="47"/>
        <v>264714</v>
      </c>
      <c r="Q85" s="14"/>
      <c r="R85" s="14"/>
      <c r="S85" s="14">
        <f t="shared" si="48"/>
        <v>0</v>
      </c>
      <c r="T85" s="14">
        <f t="shared" si="49"/>
        <v>0</v>
      </c>
      <c r="U85" s="14">
        <f t="shared" si="50"/>
        <v>90000</v>
      </c>
      <c r="V85" s="14">
        <f t="shared" si="51"/>
        <v>90000</v>
      </c>
      <c r="W85" s="14"/>
      <c r="X85" s="14"/>
      <c r="Y85" s="14"/>
      <c r="Z85" s="242"/>
      <c r="AA85" s="242"/>
      <c r="AB85" s="242">
        <f t="shared" si="57"/>
        <v>0</v>
      </c>
      <c r="AC85" s="242"/>
      <c r="AD85" s="242"/>
      <c r="AE85" s="242">
        <f t="shared" si="58"/>
        <v>0</v>
      </c>
      <c r="AF85" s="242"/>
      <c r="AG85" s="242"/>
      <c r="AH85" s="242">
        <f t="shared" si="59"/>
        <v>0</v>
      </c>
      <c r="AI85" s="242"/>
      <c r="AJ85" s="242"/>
      <c r="AK85" s="242">
        <f t="shared" si="60"/>
        <v>0</v>
      </c>
      <c r="AL85" s="242"/>
      <c r="AM85" s="242"/>
      <c r="AN85" s="242">
        <f t="shared" si="61"/>
        <v>0</v>
      </c>
      <c r="AO85" s="242"/>
      <c r="AP85" s="242"/>
      <c r="AQ85" s="242">
        <f t="shared" si="62"/>
        <v>0</v>
      </c>
      <c r="AR85" s="242"/>
      <c r="AS85" s="242"/>
      <c r="AT85" s="242">
        <f t="shared" si="63"/>
        <v>0</v>
      </c>
      <c r="AU85" s="242"/>
      <c r="AV85" s="242"/>
      <c r="AW85" s="242">
        <f t="shared" si="64"/>
        <v>0</v>
      </c>
      <c r="AX85" s="242"/>
      <c r="AY85" s="242"/>
      <c r="AZ85" s="242">
        <f t="shared" si="65"/>
        <v>0</v>
      </c>
      <c r="BA85" s="242"/>
      <c r="BB85" s="242"/>
      <c r="BC85" s="242">
        <f t="shared" si="66"/>
        <v>0</v>
      </c>
      <c r="BD85" s="242"/>
      <c r="BE85" s="242"/>
      <c r="BF85" s="242">
        <f t="shared" si="67"/>
        <v>0</v>
      </c>
      <c r="BG85" s="242">
        <f t="shared" si="68"/>
        <v>0</v>
      </c>
      <c r="BH85" s="242"/>
      <c r="BI85" s="242">
        <f t="shared" si="69"/>
        <v>0</v>
      </c>
      <c r="BJ85" s="242">
        <f t="shared" si="52"/>
        <v>90000</v>
      </c>
      <c r="BK85" s="242">
        <f t="shared" si="53"/>
        <v>0</v>
      </c>
      <c r="BL85" s="242">
        <f t="shared" si="54"/>
        <v>0</v>
      </c>
      <c r="BM85" s="242">
        <f t="shared" si="55"/>
        <v>0</v>
      </c>
      <c r="BN85" s="242">
        <f t="shared" si="70"/>
        <v>0</v>
      </c>
      <c r="BO85" s="241"/>
      <c r="BP85" s="241"/>
      <c r="BQ85" s="242">
        <f t="shared" si="71"/>
        <v>90000</v>
      </c>
      <c r="BR85" s="241"/>
      <c r="BS85" s="241"/>
      <c r="BT85" s="13">
        <v>732000</v>
      </c>
    </row>
    <row r="86" spans="1:78" s="15" customFormat="1">
      <c r="A86" s="241">
        <f t="shared" si="56"/>
        <v>77</v>
      </c>
      <c r="B86" s="13">
        <v>1619</v>
      </c>
      <c r="C86" s="13" t="s">
        <v>215</v>
      </c>
      <c r="D86" s="14">
        <v>200000</v>
      </c>
      <c r="E86" s="14">
        <v>200000</v>
      </c>
      <c r="F86" s="14">
        <f t="shared" si="43"/>
        <v>0</v>
      </c>
      <c r="G86" s="14">
        <v>200000</v>
      </c>
      <c r="H86" s="14">
        <v>56838</v>
      </c>
      <c r="I86" s="14">
        <v>43949.9</v>
      </c>
      <c r="J86" s="14"/>
      <c r="K86" s="14">
        <f t="shared" si="44"/>
        <v>43949.9</v>
      </c>
      <c r="L86" s="14">
        <f t="shared" si="45"/>
        <v>100787.9</v>
      </c>
      <c r="M86" s="14">
        <f t="shared" si="72"/>
        <v>99212.1</v>
      </c>
      <c r="N86" s="14"/>
      <c r="O86" s="14">
        <f t="shared" si="46"/>
        <v>0</v>
      </c>
      <c r="P86" s="14">
        <f t="shared" si="47"/>
        <v>99212.1</v>
      </c>
      <c r="Q86" s="14"/>
      <c r="R86" s="14"/>
      <c r="S86" s="14">
        <f t="shared" si="48"/>
        <v>0</v>
      </c>
      <c r="T86" s="14">
        <f t="shared" si="49"/>
        <v>0</v>
      </c>
      <c r="U86" s="14">
        <f t="shared" si="50"/>
        <v>0</v>
      </c>
      <c r="V86" s="14">
        <f t="shared" si="51"/>
        <v>0</v>
      </c>
      <c r="W86" s="14"/>
      <c r="X86" s="14"/>
      <c r="Y86" s="14"/>
      <c r="Z86" s="242"/>
      <c r="AA86" s="242"/>
      <c r="AB86" s="242">
        <f t="shared" si="57"/>
        <v>0</v>
      </c>
      <c r="AC86" s="242"/>
      <c r="AD86" s="242"/>
      <c r="AE86" s="242">
        <f t="shared" si="58"/>
        <v>0</v>
      </c>
      <c r="AF86" s="242"/>
      <c r="AG86" s="242"/>
      <c r="AH86" s="242">
        <f t="shared" si="59"/>
        <v>0</v>
      </c>
      <c r="AI86" s="242"/>
      <c r="AJ86" s="242"/>
      <c r="AK86" s="242">
        <f t="shared" si="60"/>
        <v>0</v>
      </c>
      <c r="AL86" s="242"/>
      <c r="AM86" s="242"/>
      <c r="AN86" s="242">
        <f t="shared" si="61"/>
        <v>0</v>
      </c>
      <c r="AO86" s="242"/>
      <c r="AP86" s="242"/>
      <c r="AQ86" s="242">
        <f t="shared" si="62"/>
        <v>0</v>
      </c>
      <c r="AR86" s="242"/>
      <c r="AS86" s="242"/>
      <c r="AT86" s="242">
        <f t="shared" si="63"/>
        <v>0</v>
      </c>
      <c r="AU86" s="242"/>
      <c r="AV86" s="242"/>
      <c r="AW86" s="242">
        <f t="shared" si="64"/>
        <v>0</v>
      </c>
      <c r="AX86" s="242"/>
      <c r="AY86" s="242"/>
      <c r="AZ86" s="242">
        <f t="shared" si="65"/>
        <v>0</v>
      </c>
      <c r="BA86" s="242"/>
      <c r="BB86" s="242"/>
      <c r="BC86" s="242">
        <f t="shared" si="66"/>
        <v>0</v>
      </c>
      <c r="BD86" s="242"/>
      <c r="BE86" s="242"/>
      <c r="BF86" s="242">
        <f t="shared" si="67"/>
        <v>0</v>
      </c>
      <c r="BG86" s="242">
        <f t="shared" si="68"/>
        <v>0</v>
      </c>
      <c r="BH86" s="242"/>
      <c r="BI86" s="242">
        <f t="shared" si="69"/>
        <v>0</v>
      </c>
      <c r="BJ86" s="242">
        <f t="shared" si="52"/>
        <v>0</v>
      </c>
      <c r="BK86" s="242">
        <f t="shared" si="53"/>
        <v>0</v>
      </c>
      <c r="BL86" s="242">
        <f t="shared" si="54"/>
        <v>0</v>
      </c>
      <c r="BM86" s="242">
        <f t="shared" si="55"/>
        <v>0</v>
      </c>
      <c r="BN86" s="242">
        <f t="shared" si="70"/>
        <v>0</v>
      </c>
      <c r="BO86" s="241"/>
      <c r="BP86" s="241"/>
      <c r="BQ86" s="242">
        <f t="shared" si="71"/>
        <v>0</v>
      </c>
      <c r="BR86" s="241"/>
      <c r="BS86" s="241"/>
      <c r="BT86" s="13">
        <v>732000</v>
      </c>
    </row>
    <row r="87" spans="1:78" s="15" customFormat="1">
      <c r="A87" s="241">
        <f t="shared" si="56"/>
        <v>78</v>
      </c>
      <c r="B87" s="13">
        <v>1620</v>
      </c>
      <c r="C87" s="13" t="s">
        <v>22</v>
      </c>
      <c r="D87" s="14">
        <v>1000000</v>
      </c>
      <c r="E87" s="14">
        <v>1000000</v>
      </c>
      <c r="F87" s="14">
        <f t="shared" si="43"/>
        <v>0</v>
      </c>
      <c r="G87" s="14">
        <v>200000</v>
      </c>
      <c r="H87" s="14">
        <v>0</v>
      </c>
      <c r="I87" s="14"/>
      <c r="J87" s="14"/>
      <c r="K87" s="14">
        <f t="shared" si="44"/>
        <v>0</v>
      </c>
      <c r="L87" s="14">
        <f t="shared" si="45"/>
        <v>0</v>
      </c>
      <c r="M87" s="14">
        <f>P87+S87-100000</f>
        <v>100000</v>
      </c>
      <c r="N87" s="14"/>
      <c r="O87" s="14">
        <f t="shared" si="46"/>
        <v>900000</v>
      </c>
      <c r="P87" s="14">
        <f t="shared" si="47"/>
        <v>200000</v>
      </c>
      <c r="Q87" s="14"/>
      <c r="R87" s="14"/>
      <c r="S87" s="14">
        <f t="shared" si="48"/>
        <v>0</v>
      </c>
      <c r="T87" s="14">
        <f t="shared" si="49"/>
        <v>100000</v>
      </c>
      <c r="U87" s="14">
        <f t="shared" si="50"/>
        <v>-100000</v>
      </c>
      <c r="V87" s="14">
        <f t="shared" si="51"/>
        <v>-100000</v>
      </c>
      <c r="W87" s="14"/>
      <c r="X87" s="14"/>
      <c r="Y87" s="14"/>
      <c r="Z87" s="242"/>
      <c r="AA87" s="242">
        <v>-100000</v>
      </c>
      <c r="AB87" s="242">
        <f t="shared" si="57"/>
        <v>-100000</v>
      </c>
      <c r="AC87" s="242"/>
      <c r="AD87" s="242"/>
      <c r="AE87" s="242">
        <f t="shared" si="58"/>
        <v>0</v>
      </c>
      <c r="AF87" s="242"/>
      <c r="AG87" s="242"/>
      <c r="AH87" s="242">
        <f t="shared" si="59"/>
        <v>0</v>
      </c>
      <c r="AI87" s="242"/>
      <c r="AJ87" s="242"/>
      <c r="AK87" s="242">
        <f t="shared" si="60"/>
        <v>0</v>
      </c>
      <c r="AL87" s="242"/>
      <c r="AM87" s="242"/>
      <c r="AN87" s="242">
        <f t="shared" si="61"/>
        <v>0</v>
      </c>
      <c r="AO87" s="242"/>
      <c r="AP87" s="242"/>
      <c r="AQ87" s="242">
        <f t="shared" si="62"/>
        <v>0</v>
      </c>
      <c r="AR87" s="242"/>
      <c r="AS87" s="242"/>
      <c r="AT87" s="242">
        <f t="shared" si="63"/>
        <v>0</v>
      </c>
      <c r="AU87" s="242"/>
      <c r="AV87" s="242"/>
      <c r="AW87" s="242">
        <f t="shared" si="64"/>
        <v>0</v>
      </c>
      <c r="AX87" s="242"/>
      <c r="AY87" s="242"/>
      <c r="AZ87" s="242">
        <f t="shared" si="65"/>
        <v>0</v>
      </c>
      <c r="BA87" s="242"/>
      <c r="BB87" s="242"/>
      <c r="BC87" s="242">
        <f t="shared" si="66"/>
        <v>0</v>
      </c>
      <c r="BD87" s="242"/>
      <c r="BE87" s="242"/>
      <c r="BF87" s="242">
        <f t="shared" si="67"/>
        <v>0</v>
      </c>
      <c r="BG87" s="242">
        <f t="shared" si="68"/>
        <v>-100000</v>
      </c>
      <c r="BH87" s="242"/>
      <c r="BI87" s="242">
        <f t="shared" si="69"/>
        <v>-100000</v>
      </c>
      <c r="BJ87" s="242">
        <f t="shared" si="52"/>
        <v>0</v>
      </c>
      <c r="BK87" s="242">
        <f t="shared" si="53"/>
        <v>-100000</v>
      </c>
      <c r="BL87" s="242">
        <f t="shared" si="54"/>
        <v>0</v>
      </c>
      <c r="BM87" s="242">
        <f t="shared" si="55"/>
        <v>0</v>
      </c>
      <c r="BN87" s="242">
        <f t="shared" si="70"/>
        <v>0</v>
      </c>
      <c r="BO87" s="241"/>
      <c r="BP87" s="241"/>
      <c r="BQ87" s="242">
        <f t="shared" si="71"/>
        <v>0</v>
      </c>
      <c r="BR87" s="241"/>
      <c r="BS87" s="241"/>
      <c r="BT87" s="13">
        <v>732000</v>
      </c>
    </row>
    <row r="88" spans="1:78" s="15" customFormat="1">
      <c r="A88" s="241">
        <f t="shared" si="56"/>
        <v>79</v>
      </c>
      <c r="B88" s="13">
        <v>1701</v>
      </c>
      <c r="C88" s="13" t="s">
        <v>26</v>
      </c>
      <c r="D88" s="14">
        <v>750000</v>
      </c>
      <c r="E88" s="14">
        <v>750000</v>
      </c>
      <c r="F88" s="14">
        <f t="shared" si="43"/>
        <v>0</v>
      </c>
      <c r="G88" s="14">
        <v>750000</v>
      </c>
      <c r="H88" s="14">
        <v>26644</v>
      </c>
      <c r="I88" s="14">
        <v>211018.86</v>
      </c>
      <c r="J88" s="14"/>
      <c r="K88" s="14">
        <f t="shared" si="44"/>
        <v>211018.86</v>
      </c>
      <c r="L88" s="14">
        <f t="shared" si="45"/>
        <v>237662.86</v>
      </c>
      <c r="M88" s="14">
        <f t="shared" si="72"/>
        <v>512337.14</v>
      </c>
      <c r="N88" s="14"/>
      <c r="O88" s="14">
        <f t="shared" si="46"/>
        <v>0</v>
      </c>
      <c r="P88" s="14">
        <f t="shared" si="47"/>
        <v>512337.14</v>
      </c>
      <c r="Q88" s="14"/>
      <c r="R88" s="14"/>
      <c r="S88" s="14">
        <f t="shared" si="48"/>
        <v>0</v>
      </c>
      <c r="T88" s="14">
        <f t="shared" si="49"/>
        <v>0</v>
      </c>
      <c r="U88" s="14">
        <f t="shared" si="50"/>
        <v>0</v>
      </c>
      <c r="V88" s="14">
        <f t="shared" si="51"/>
        <v>0</v>
      </c>
      <c r="W88" s="14"/>
      <c r="X88" s="14"/>
      <c r="Y88" s="14"/>
      <c r="Z88" s="242"/>
      <c r="AA88" s="242"/>
      <c r="AB88" s="242">
        <f t="shared" si="57"/>
        <v>0</v>
      </c>
      <c r="AC88" s="242"/>
      <c r="AD88" s="242"/>
      <c r="AE88" s="242">
        <f t="shared" si="58"/>
        <v>0</v>
      </c>
      <c r="AF88" s="242"/>
      <c r="AG88" s="242"/>
      <c r="AH88" s="242">
        <f t="shared" si="59"/>
        <v>0</v>
      </c>
      <c r="AI88" s="242"/>
      <c r="AJ88" s="242"/>
      <c r="AK88" s="242">
        <f t="shared" si="60"/>
        <v>0</v>
      </c>
      <c r="AL88" s="242"/>
      <c r="AM88" s="242"/>
      <c r="AN88" s="242">
        <f t="shared" si="61"/>
        <v>0</v>
      </c>
      <c r="AO88" s="242"/>
      <c r="AP88" s="242"/>
      <c r="AQ88" s="242">
        <f t="shared" si="62"/>
        <v>0</v>
      </c>
      <c r="AR88" s="242"/>
      <c r="AS88" s="242"/>
      <c r="AT88" s="242">
        <f t="shared" si="63"/>
        <v>0</v>
      </c>
      <c r="AU88" s="242"/>
      <c r="AV88" s="242"/>
      <c r="AW88" s="242">
        <f t="shared" si="64"/>
        <v>0</v>
      </c>
      <c r="AX88" s="242"/>
      <c r="AY88" s="242"/>
      <c r="AZ88" s="242">
        <f t="shared" si="65"/>
        <v>0</v>
      </c>
      <c r="BA88" s="242"/>
      <c r="BB88" s="242"/>
      <c r="BC88" s="242">
        <f t="shared" si="66"/>
        <v>0</v>
      </c>
      <c r="BD88" s="242"/>
      <c r="BE88" s="242"/>
      <c r="BF88" s="242">
        <f t="shared" si="67"/>
        <v>0</v>
      </c>
      <c r="BG88" s="242">
        <f t="shared" si="68"/>
        <v>0</v>
      </c>
      <c r="BH88" s="242"/>
      <c r="BI88" s="242">
        <f t="shared" si="69"/>
        <v>0</v>
      </c>
      <c r="BJ88" s="242">
        <f t="shared" si="52"/>
        <v>0</v>
      </c>
      <c r="BK88" s="242">
        <f t="shared" si="53"/>
        <v>0</v>
      </c>
      <c r="BL88" s="242">
        <f t="shared" si="54"/>
        <v>0</v>
      </c>
      <c r="BM88" s="242">
        <f t="shared" si="55"/>
        <v>0</v>
      </c>
      <c r="BN88" s="242">
        <f t="shared" si="70"/>
        <v>0</v>
      </c>
      <c r="BO88" s="241"/>
      <c r="BP88" s="241"/>
      <c r="BQ88" s="242">
        <f t="shared" si="71"/>
        <v>0</v>
      </c>
      <c r="BR88" s="241"/>
      <c r="BS88" s="241"/>
      <c r="BT88" s="13">
        <v>732000</v>
      </c>
    </row>
    <row r="89" spans="1:78" s="15" customFormat="1">
      <c r="A89" s="241">
        <f t="shared" si="56"/>
        <v>80</v>
      </c>
      <c r="B89" s="13">
        <v>1755</v>
      </c>
      <c r="C89" s="13" t="s">
        <v>32</v>
      </c>
      <c r="D89" s="14">
        <v>500000</v>
      </c>
      <c r="E89" s="14">
        <v>500000</v>
      </c>
      <c r="F89" s="14">
        <f t="shared" si="43"/>
        <v>0</v>
      </c>
      <c r="G89" s="14">
        <v>500000</v>
      </c>
      <c r="H89" s="14">
        <v>4577</v>
      </c>
      <c r="I89" s="14">
        <v>52226.89</v>
      </c>
      <c r="J89" s="14"/>
      <c r="K89" s="14">
        <f t="shared" si="44"/>
        <v>52226.89</v>
      </c>
      <c r="L89" s="14">
        <f t="shared" si="45"/>
        <v>56803.89</v>
      </c>
      <c r="M89" s="14">
        <f t="shared" si="72"/>
        <v>443196.11</v>
      </c>
      <c r="N89" s="14"/>
      <c r="O89" s="14">
        <f t="shared" si="46"/>
        <v>0</v>
      </c>
      <c r="P89" s="14">
        <f t="shared" si="47"/>
        <v>443196.11</v>
      </c>
      <c r="Q89" s="14"/>
      <c r="R89" s="14"/>
      <c r="S89" s="14">
        <f t="shared" si="48"/>
        <v>0</v>
      </c>
      <c r="T89" s="14">
        <f t="shared" si="49"/>
        <v>0</v>
      </c>
      <c r="U89" s="14">
        <f t="shared" si="50"/>
        <v>0</v>
      </c>
      <c r="V89" s="14">
        <f t="shared" si="51"/>
        <v>0</v>
      </c>
      <c r="W89" s="14"/>
      <c r="X89" s="14"/>
      <c r="Y89" s="13"/>
      <c r="Z89" s="242"/>
      <c r="AA89" s="242"/>
      <c r="AB89" s="242">
        <f t="shared" si="57"/>
        <v>0</v>
      </c>
      <c r="AC89" s="242"/>
      <c r="AD89" s="242"/>
      <c r="AE89" s="242">
        <f t="shared" si="58"/>
        <v>0</v>
      </c>
      <c r="AF89" s="242"/>
      <c r="AG89" s="242"/>
      <c r="AH89" s="242">
        <f t="shared" si="59"/>
        <v>0</v>
      </c>
      <c r="AI89" s="242"/>
      <c r="AJ89" s="242"/>
      <c r="AK89" s="242">
        <f t="shared" si="60"/>
        <v>0</v>
      </c>
      <c r="AL89" s="242"/>
      <c r="AM89" s="242"/>
      <c r="AN89" s="242">
        <f t="shared" si="61"/>
        <v>0</v>
      </c>
      <c r="AO89" s="242"/>
      <c r="AP89" s="242"/>
      <c r="AQ89" s="242">
        <f t="shared" si="62"/>
        <v>0</v>
      </c>
      <c r="AR89" s="242"/>
      <c r="AS89" s="242"/>
      <c r="AT89" s="242">
        <f t="shared" si="63"/>
        <v>0</v>
      </c>
      <c r="AU89" s="242"/>
      <c r="AV89" s="242"/>
      <c r="AW89" s="242">
        <f t="shared" si="64"/>
        <v>0</v>
      </c>
      <c r="AX89" s="242"/>
      <c r="AY89" s="242"/>
      <c r="AZ89" s="242">
        <f t="shared" si="65"/>
        <v>0</v>
      </c>
      <c r="BA89" s="242"/>
      <c r="BB89" s="242"/>
      <c r="BC89" s="242">
        <f t="shared" si="66"/>
        <v>0</v>
      </c>
      <c r="BD89" s="242"/>
      <c r="BE89" s="242"/>
      <c r="BF89" s="242">
        <f t="shared" si="67"/>
        <v>0</v>
      </c>
      <c r="BG89" s="242">
        <f t="shared" si="68"/>
        <v>0</v>
      </c>
      <c r="BH89" s="242"/>
      <c r="BI89" s="242">
        <f t="shared" si="69"/>
        <v>0</v>
      </c>
      <c r="BJ89" s="242">
        <f t="shared" si="52"/>
        <v>0</v>
      </c>
      <c r="BK89" s="242">
        <f t="shared" si="53"/>
        <v>0</v>
      </c>
      <c r="BL89" s="242">
        <f t="shared" si="54"/>
        <v>0</v>
      </c>
      <c r="BM89" s="242">
        <f t="shared" si="55"/>
        <v>0</v>
      </c>
      <c r="BN89" s="242">
        <f t="shared" si="70"/>
        <v>0</v>
      </c>
      <c r="BO89" s="241"/>
      <c r="BP89" s="241"/>
      <c r="BQ89" s="242">
        <f t="shared" si="71"/>
        <v>0</v>
      </c>
      <c r="BR89" s="241"/>
      <c r="BS89" s="241"/>
      <c r="BT89" s="13">
        <v>732000</v>
      </c>
    </row>
    <row r="90" spans="1:78" s="15" customFormat="1">
      <c r="A90" s="241">
        <f t="shared" si="56"/>
        <v>81</v>
      </c>
      <c r="B90" s="13">
        <v>1760</v>
      </c>
      <c r="C90" s="13" t="s">
        <v>30</v>
      </c>
      <c r="D90" s="14">
        <v>500000</v>
      </c>
      <c r="E90" s="14">
        <v>500000</v>
      </c>
      <c r="F90" s="14">
        <f t="shared" si="43"/>
        <v>0</v>
      </c>
      <c r="G90" s="14">
        <v>350000</v>
      </c>
      <c r="H90" s="14">
        <v>36616</v>
      </c>
      <c r="I90" s="14">
        <v>3510</v>
      </c>
      <c r="J90" s="14"/>
      <c r="K90" s="14">
        <f t="shared" si="44"/>
        <v>3510</v>
      </c>
      <c r="L90" s="14">
        <f t="shared" si="45"/>
        <v>40126</v>
      </c>
      <c r="M90" s="14">
        <f>P90+S90-200000</f>
        <v>259874</v>
      </c>
      <c r="N90" s="14"/>
      <c r="O90" s="14">
        <f t="shared" si="46"/>
        <v>200000</v>
      </c>
      <c r="P90" s="14">
        <f t="shared" si="47"/>
        <v>309874</v>
      </c>
      <c r="Q90" s="14">
        <v>150000</v>
      </c>
      <c r="R90" s="14"/>
      <c r="S90" s="14">
        <f t="shared" si="48"/>
        <v>150000</v>
      </c>
      <c r="T90" s="14">
        <f t="shared" si="49"/>
        <v>200000</v>
      </c>
      <c r="U90" s="14">
        <f t="shared" si="50"/>
        <v>-200000</v>
      </c>
      <c r="V90" s="14">
        <f t="shared" si="51"/>
        <v>-200000</v>
      </c>
      <c r="W90" s="14"/>
      <c r="X90" s="14"/>
      <c r="Y90" s="13"/>
      <c r="Z90" s="242"/>
      <c r="AA90" s="242">
        <v>-200000</v>
      </c>
      <c r="AB90" s="242">
        <f t="shared" si="57"/>
        <v>-200000</v>
      </c>
      <c r="AC90" s="242"/>
      <c r="AD90" s="242"/>
      <c r="AE90" s="242">
        <f t="shared" si="58"/>
        <v>0</v>
      </c>
      <c r="AF90" s="242"/>
      <c r="AG90" s="242"/>
      <c r="AH90" s="242">
        <f t="shared" si="59"/>
        <v>0</v>
      </c>
      <c r="AI90" s="242"/>
      <c r="AJ90" s="242"/>
      <c r="AK90" s="242">
        <f t="shared" si="60"/>
        <v>0</v>
      </c>
      <c r="AL90" s="242"/>
      <c r="AM90" s="242"/>
      <c r="AN90" s="242">
        <f t="shared" si="61"/>
        <v>0</v>
      </c>
      <c r="AO90" s="242"/>
      <c r="AP90" s="242"/>
      <c r="AQ90" s="242">
        <f t="shared" si="62"/>
        <v>0</v>
      </c>
      <c r="AR90" s="242"/>
      <c r="AS90" s="242"/>
      <c r="AT90" s="242">
        <f t="shared" si="63"/>
        <v>0</v>
      </c>
      <c r="AU90" s="242"/>
      <c r="AV90" s="242"/>
      <c r="AW90" s="242">
        <f t="shared" si="64"/>
        <v>0</v>
      </c>
      <c r="AX90" s="242"/>
      <c r="AY90" s="242"/>
      <c r="AZ90" s="242">
        <f t="shared" si="65"/>
        <v>0</v>
      </c>
      <c r="BA90" s="242"/>
      <c r="BB90" s="242"/>
      <c r="BC90" s="242">
        <f t="shared" si="66"/>
        <v>0</v>
      </c>
      <c r="BD90" s="242"/>
      <c r="BE90" s="242"/>
      <c r="BF90" s="242">
        <f t="shared" si="67"/>
        <v>0</v>
      </c>
      <c r="BG90" s="242">
        <f t="shared" si="68"/>
        <v>-200000</v>
      </c>
      <c r="BH90" s="242"/>
      <c r="BI90" s="242">
        <f t="shared" si="69"/>
        <v>-200000</v>
      </c>
      <c r="BJ90" s="242">
        <f t="shared" si="52"/>
        <v>0</v>
      </c>
      <c r="BK90" s="242">
        <f t="shared" si="53"/>
        <v>-200000</v>
      </c>
      <c r="BL90" s="242">
        <f t="shared" si="54"/>
        <v>0</v>
      </c>
      <c r="BM90" s="242">
        <f t="shared" si="55"/>
        <v>0</v>
      </c>
      <c r="BN90" s="242">
        <f t="shared" si="70"/>
        <v>0</v>
      </c>
      <c r="BO90" s="241"/>
      <c r="BP90" s="241"/>
      <c r="BQ90" s="242">
        <f t="shared" si="71"/>
        <v>0</v>
      </c>
      <c r="BR90" s="241"/>
      <c r="BS90" s="241"/>
      <c r="BT90" s="13">
        <v>732000</v>
      </c>
    </row>
    <row r="91" spans="1:78" s="15" customFormat="1">
      <c r="A91" s="241">
        <f t="shared" si="56"/>
        <v>82</v>
      </c>
      <c r="B91" s="13">
        <v>1762</v>
      </c>
      <c r="C91" s="13" t="s">
        <v>33</v>
      </c>
      <c r="D91" s="14">
        <v>500000</v>
      </c>
      <c r="E91" s="14">
        <v>500000</v>
      </c>
      <c r="F91" s="14">
        <f t="shared" si="43"/>
        <v>0</v>
      </c>
      <c r="G91" s="14">
        <v>100000</v>
      </c>
      <c r="H91" s="14">
        <v>0</v>
      </c>
      <c r="I91" s="14"/>
      <c r="J91" s="14"/>
      <c r="K91" s="14">
        <f t="shared" si="44"/>
        <v>0</v>
      </c>
      <c r="L91" s="14">
        <f t="shared" si="45"/>
        <v>0</v>
      </c>
      <c r="M91" s="14">
        <f t="shared" si="72"/>
        <v>100000</v>
      </c>
      <c r="N91" s="14"/>
      <c r="O91" s="14">
        <f t="shared" si="46"/>
        <v>400000</v>
      </c>
      <c r="P91" s="14">
        <f t="shared" si="47"/>
        <v>100000</v>
      </c>
      <c r="Q91" s="14"/>
      <c r="R91" s="14"/>
      <c r="S91" s="14">
        <f t="shared" si="48"/>
        <v>0</v>
      </c>
      <c r="T91" s="14">
        <f t="shared" si="49"/>
        <v>0</v>
      </c>
      <c r="U91" s="14">
        <f t="shared" si="50"/>
        <v>0</v>
      </c>
      <c r="V91" s="14">
        <f t="shared" si="51"/>
        <v>0</v>
      </c>
      <c r="W91" s="14"/>
      <c r="X91" s="14"/>
      <c r="Y91" s="13"/>
      <c r="Z91" s="242"/>
      <c r="AA91" s="242"/>
      <c r="AB91" s="242">
        <f t="shared" si="57"/>
        <v>0</v>
      </c>
      <c r="AC91" s="242"/>
      <c r="AD91" s="242"/>
      <c r="AE91" s="242">
        <f t="shared" si="58"/>
        <v>0</v>
      </c>
      <c r="AF91" s="242"/>
      <c r="AG91" s="242"/>
      <c r="AH91" s="242">
        <f t="shared" si="59"/>
        <v>0</v>
      </c>
      <c r="AI91" s="242"/>
      <c r="AJ91" s="242"/>
      <c r="AK91" s="242">
        <f t="shared" si="60"/>
        <v>0</v>
      </c>
      <c r="AL91" s="242"/>
      <c r="AM91" s="242"/>
      <c r="AN91" s="242">
        <f t="shared" si="61"/>
        <v>0</v>
      </c>
      <c r="AO91" s="242"/>
      <c r="AP91" s="242"/>
      <c r="AQ91" s="242">
        <f t="shared" si="62"/>
        <v>0</v>
      </c>
      <c r="AR91" s="242"/>
      <c r="AS91" s="242"/>
      <c r="AT91" s="242">
        <f t="shared" si="63"/>
        <v>0</v>
      </c>
      <c r="AU91" s="242"/>
      <c r="AV91" s="242"/>
      <c r="AW91" s="242">
        <f t="shared" si="64"/>
        <v>0</v>
      </c>
      <c r="AX91" s="242"/>
      <c r="AY91" s="242"/>
      <c r="AZ91" s="242">
        <f t="shared" si="65"/>
        <v>0</v>
      </c>
      <c r="BA91" s="242"/>
      <c r="BB91" s="242"/>
      <c r="BC91" s="242">
        <f t="shared" si="66"/>
        <v>0</v>
      </c>
      <c r="BD91" s="242"/>
      <c r="BE91" s="242"/>
      <c r="BF91" s="242">
        <f t="shared" si="67"/>
        <v>0</v>
      </c>
      <c r="BG91" s="242">
        <f t="shared" si="68"/>
        <v>0</v>
      </c>
      <c r="BH91" s="242"/>
      <c r="BI91" s="242">
        <f t="shared" si="69"/>
        <v>0</v>
      </c>
      <c r="BJ91" s="242">
        <f t="shared" si="52"/>
        <v>0</v>
      </c>
      <c r="BK91" s="242">
        <f t="shared" si="53"/>
        <v>0</v>
      </c>
      <c r="BL91" s="242">
        <f t="shared" si="54"/>
        <v>0</v>
      </c>
      <c r="BM91" s="242">
        <f t="shared" si="55"/>
        <v>0</v>
      </c>
      <c r="BN91" s="242">
        <f t="shared" si="70"/>
        <v>0</v>
      </c>
      <c r="BO91" s="241"/>
      <c r="BP91" s="241"/>
      <c r="BQ91" s="242">
        <f t="shared" si="71"/>
        <v>0</v>
      </c>
      <c r="BR91" s="241"/>
      <c r="BS91" s="241"/>
      <c r="BT91" s="13">
        <v>732000</v>
      </c>
    </row>
    <row r="92" spans="1:78" s="15" customFormat="1">
      <c r="A92" s="241">
        <f t="shared" si="56"/>
        <v>83</v>
      </c>
      <c r="B92" s="13">
        <v>1799</v>
      </c>
      <c r="C92" s="13" t="s">
        <v>234</v>
      </c>
      <c r="D92" s="14">
        <v>1000000</v>
      </c>
      <c r="E92" s="14">
        <v>1000000</v>
      </c>
      <c r="F92" s="14">
        <f t="shared" si="43"/>
        <v>0</v>
      </c>
      <c r="G92" s="14">
        <v>400000</v>
      </c>
      <c r="H92" s="14">
        <v>0</v>
      </c>
      <c r="I92" s="14">
        <v>44673.599999999999</v>
      </c>
      <c r="J92" s="14"/>
      <c r="K92" s="14">
        <f t="shared" si="44"/>
        <v>44673.599999999999</v>
      </c>
      <c r="L92" s="14">
        <f t="shared" si="45"/>
        <v>44673.599999999999</v>
      </c>
      <c r="M92" s="14">
        <f>P92+S92-100000</f>
        <v>455326.4</v>
      </c>
      <c r="N92" s="14"/>
      <c r="O92" s="14">
        <f t="shared" si="46"/>
        <v>500000</v>
      </c>
      <c r="P92" s="14">
        <f t="shared" si="47"/>
        <v>355326.4</v>
      </c>
      <c r="Q92" s="14">
        <v>200000</v>
      </c>
      <c r="R92" s="14"/>
      <c r="S92" s="14">
        <f t="shared" si="48"/>
        <v>200000</v>
      </c>
      <c r="T92" s="14">
        <f t="shared" si="49"/>
        <v>100000</v>
      </c>
      <c r="U92" s="14">
        <f t="shared" si="50"/>
        <v>-100000</v>
      </c>
      <c r="V92" s="14">
        <f t="shared" si="51"/>
        <v>-100000</v>
      </c>
      <c r="W92" s="14"/>
      <c r="X92" s="14"/>
      <c r="Y92" s="13"/>
      <c r="Z92" s="242"/>
      <c r="AA92" s="242">
        <v>-100000</v>
      </c>
      <c r="AB92" s="242">
        <f t="shared" si="57"/>
        <v>-100000</v>
      </c>
      <c r="AC92" s="242"/>
      <c r="AD92" s="242"/>
      <c r="AE92" s="242">
        <f t="shared" si="58"/>
        <v>0</v>
      </c>
      <c r="AF92" s="242"/>
      <c r="AG92" s="242"/>
      <c r="AH92" s="242">
        <f t="shared" si="59"/>
        <v>0</v>
      </c>
      <c r="AI92" s="242"/>
      <c r="AJ92" s="242"/>
      <c r="AK92" s="242">
        <f t="shared" si="60"/>
        <v>0</v>
      </c>
      <c r="AL92" s="242"/>
      <c r="AM92" s="242"/>
      <c r="AN92" s="242">
        <f t="shared" si="61"/>
        <v>0</v>
      </c>
      <c r="AO92" s="242"/>
      <c r="AP92" s="242"/>
      <c r="AQ92" s="242">
        <f t="shared" si="62"/>
        <v>0</v>
      </c>
      <c r="AR92" s="242"/>
      <c r="AS92" s="242"/>
      <c r="AT92" s="242">
        <f t="shared" si="63"/>
        <v>0</v>
      </c>
      <c r="AU92" s="242"/>
      <c r="AV92" s="242"/>
      <c r="AW92" s="242">
        <f t="shared" si="64"/>
        <v>0</v>
      </c>
      <c r="AX92" s="242"/>
      <c r="AY92" s="242"/>
      <c r="AZ92" s="242">
        <f t="shared" si="65"/>
        <v>0</v>
      </c>
      <c r="BA92" s="242"/>
      <c r="BB92" s="242"/>
      <c r="BC92" s="242">
        <f t="shared" si="66"/>
        <v>0</v>
      </c>
      <c r="BD92" s="242"/>
      <c r="BE92" s="242"/>
      <c r="BF92" s="242">
        <f t="shared" si="67"/>
        <v>0</v>
      </c>
      <c r="BG92" s="242">
        <f t="shared" si="68"/>
        <v>-100000</v>
      </c>
      <c r="BH92" s="242"/>
      <c r="BI92" s="242">
        <f t="shared" si="69"/>
        <v>-100000</v>
      </c>
      <c r="BJ92" s="242">
        <f t="shared" si="52"/>
        <v>0</v>
      </c>
      <c r="BK92" s="242">
        <f t="shared" si="53"/>
        <v>-100000</v>
      </c>
      <c r="BL92" s="242">
        <f t="shared" si="54"/>
        <v>0</v>
      </c>
      <c r="BM92" s="242">
        <f t="shared" si="55"/>
        <v>0</v>
      </c>
      <c r="BN92" s="242">
        <f t="shared" si="70"/>
        <v>0</v>
      </c>
      <c r="BO92" s="241"/>
      <c r="BP92" s="241"/>
      <c r="BQ92" s="242">
        <f t="shared" si="71"/>
        <v>0</v>
      </c>
      <c r="BR92" s="241"/>
      <c r="BS92" s="241"/>
      <c r="BT92" s="13">
        <v>732000</v>
      </c>
    </row>
    <row r="93" spans="1:78" s="15" customFormat="1">
      <c r="A93" s="241">
        <f t="shared" si="56"/>
        <v>84</v>
      </c>
      <c r="B93" s="13">
        <v>1838</v>
      </c>
      <c r="C93" s="13" t="s">
        <v>251</v>
      </c>
      <c r="D93" s="14">
        <v>400000</v>
      </c>
      <c r="E93" s="14">
        <v>400000</v>
      </c>
      <c r="F93" s="14">
        <f t="shared" si="43"/>
        <v>0</v>
      </c>
      <c r="G93" s="14">
        <v>400000</v>
      </c>
      <c r="H93" s="14">
        <v>0</v>
      </c>
      <c r="I93" s="14"/>
      <c r="J93" s="14"/>
      <c r="K93" s="14">
        <f t="shared" si="44"/>
        <v>0</v>
      </c>
      <c r="L93" s="14">
        <f t="shared" si="45"/>
        <v>0</v>
      </c>
      <c r="M93" s="14">
        <f t="shared" si="72"/>
        <v>400000</v>
      </c>
      <c r="N93" s="14"/>
      <c r="O93" s="14">
        <f t="shared" si="46"/>
        <v>0</v>
      </c>
      <c r="P93" s="14">
        <f t="shared" si="47"/>
        <v>400000</v>
      </c>
      <c r="Q93" s="14"/>
      <c r="R93" s="14"/>
      <c r="S93" s="14">
        <f t="shared" si="48"/>
        <v>0</v>
      </c>
      <c r="T93" s="14">
        <f t="shared" si="49"/>
        <v>0</v>
      </c>
      <c r="U93" s="14">
        <f t="shared" si="50"/>
        <v>0</v>
      </c>
      <c r="V93" s="14">
        <f t="shared" si="51"/>
        <v>0</v>
      </c>
      <c r="W93" s="14"/>
      <c r="X93" s="14"/>
      <c r="Y93" s="13"/>
      <c r="Z93" s="242"/>
      <c r="AA93" s="242"/>
      <c r="AB93" s="242">
        <f t="shared" si="57"/>
        <v>0</v>
      </c>
      <c r="AC93" s="242"/>
      <c r="AD93" s="242"/>
      <c r="AE93" s="242">
        <f t="shared" si="58"/>
        <v>0</v>
      </c>
      <c r="AF93" s="242"/>
      <c r="AG93" s="242"/>
      <c r="AH93" s="242">
        <f t="shared" si="59"/>
        <v>0</v>
      </c>
      <c r="AI93" s="242"/>
      <c r="AJ93" s="242"/>
      <c r="AK93" s="242">
        <f t="shared" si="60"/>
        <v>0</v>
      </c>
      <c r="AL93" s="242"/>
      <c r="AM93" s="242"/>
      <c r="AN93" s="242">
        <f t="shared" si="61"/>
        <v>0</v>
      </c>
      <c r="AO93" s="242"/>
      <c r="AP93" s="242"/>
      <c r="AQ93" s="242">
        <f t="shared" si="62"/>
        <v>0</v>
      </c>
      <c r="AR93" s="242"/>
      <c r="AS93" s="242"/>
      <c r="AT93" s="242">
        <f t="shared" si="63"/>
        <v>0</v>
      </c>
      <c r="AU93" s="242"/>
      <c r="AV93" s="242"/>
      <c r="AW93" s="242">
        <f t="shared" si="64"/>
        <v>0</v>
      </c>
      <c r="AX93" s="242"/>
      <c r="AY93" s="242"/>
      <c r="AZ93" s="242">
        <f t="shared" si="65"/>
        <v>0</v>
      </c>
      <c r="BA93" s="242"/>
      <c r="BB93" s="242"/>
      <c r="BC93" s="242">
        <f t="shared" si="66"/>
        <v>0</v>
      </c>
      <c r="BD93" s="242"/>
      <c r="BE93" s="242"/>
      <c r="BF93" s="242">
        <f t="shared" si="67"/>
        <v>0</v>
      </c>
      <c r="BG93" s="242">
        <f t="shared" si="68"/>
        <v>0</v>
      </c>
      <c r="BH93" s="242"/>
      <c r="BI93" s="242">
        <f t="shared" si="69"/>
        <v>0</v>
      </c>
      <c r="BJ93" s="242">
        <f t="shared" si="52"/>
        <v>0</v>
      </c>
      <c r="BK93" s="242">
        <f t="shared" si="53"/>
        <v>0</v>
      </c>
      <c r="BL93" s="242">
        <f t="shared" si="54"/>
        <v>0</v>
      </c>
      <c r="BM93" s="242">
        <f t="shared" si="55"/>
        <v>0</v>
      </c>
      <c r="BN93" s="242">
        <f t="shared" si="70"/>
        <v>0</v>
      </c>
      <c r="BO93" s="241"/>
      <c r="BP93" s="241"/>
      <c r="BQ93" s="242">
        <f t="shared" si="71"/>
        <v>0</v>
      </c>
      <c r="BR93" s="241"/>
      <c r="BS93" s="241"/>
      <c r="BT93" s="13">
        <v>732000</v>
      </c>
      <c r="BV93" s="16"/>
      <c r="BW93" s="16"/>
      <c r="BX93" s="16"/>
      <c r="BY93" s="16"/>
      <c r="BZ93" s="16"/>
    </row>
    <row r="94" spans="1:78" s="15" customFormat="1">
      <c r="A94" s="241">
        <f t="shared" si="56"/>
        <v>85</v>
      </c>
      <c r="B94" s="13">
        <v>1839</v>
      </c>
      <c r="C94" s="13" t="s">
        <v>252</v>
      </c>
      <c r="D94" s="14">
        <v>150000</v>
      </c>
      <c r="E94" s="14">
        <v>150000</v>
      </c>
      <c r="F94" s="14">
        <f t="shared" si="43"/>
        <v>0</v>
      </c>
      <c r="G94" s="14">
        <v>0</v>
      </c>
      <c r="H94" s="14">
        <v>0</v>
      </c>
      <c r="I94" s="14"/>
      <c r="J94" s="14"/>
      <c r="K94" s="14">
        <f t="shared" si="44"/>
        <v>0</v>
      </c>
      <c r="L94" s="14">
        <f t="shared" si="45"/>
        <v>0</v>
      </c>
      <c r="M94" s="14">
        <f t="shared" si="72"/>
        <v>150000</v>
      </c>
      <c r="N94" s="14"/>
      <c r="O94" s="14">
        <f t="shared" si="46"/>
        <v>0</v>
      </c>
      <c r="P94" s="14">
        <f t="shared" si="47"/>
        <v>0</v>
      </c>
      <c r="Q94" s="14">
        <v>150000</v>
      </c>
      <c r="R94" s="14"/>
      <c r="S94" s="14">
        <f t="shared" si="48"/>
        <v>150000</v>
      </c>
      <c r="T94" s="14">
        <f t="shared" si="49"/>
        <v>0</v>
      </c>
      <c r="U94" s="14">
        <f t="shared" si="50"/>
        <v>0</v>
      </c>
      <c r="V94" s="14">
        <f t="shared" si="51"/>
        <v>0</v>
      </c>
      <c r="W94" s="14"/>
      <c r="X94" s="14"/>
      <c r="Y94" s="13"/>
      <c r="Z94" s="242"/>
      <c r="AA94" s="242"/>
      <c r="AB94" s="242">
        <f t="shared" si="57"/>
        <v>0</v>
      </c>
      <c r="AC94" s="242"/>
      <c r="AD94" s="242"/>
      <c r="AE94" s="242">
        <f t="shared" si="58"/>
        <v>0</v>
      </c>
      <c r="AF94" s="242"/>
      <c r="AG94" s="242"/>
      <c r="AH94" s="242">
        <f t="shared" si="59"/>
        <v>0</v>
      </c>
      <c r="AI94" s="242"/>
      <c r="AJ94" s="242"/>
      <c r="AK94" s="242">
        <f t="shared" si="60"/>
        <v>0</v>
      </c>
      <c r="AL94" s="242"/>
      <c r="AM94" s="242"/>
      <c r="AN94" s="242">
        <f t="shared" si="61"/>
        <v>0</v>
      </c>
      <c r="AO94" s="242"/>
      <c r="AP94" s="242"/>
      <c r="AQ94" s="242">
        <f t="shared" si="62"/>
        <v>0</v>
      </c>
      <c r="AR94" s="242"/>
      <c r="AS94" s="242"/>
      <c r="AT94" s="242">
        <f t="shared" si="63"/>
        <v>0</v>
      </c>
      <c r="AU94" s="242"/>
      <c r="AV94" s="242"/>
      <c r="AW94" s="242">
        <f t="shared" si="64"/>
        <v>0</v>
      </c>
      <c r="AX94" s="242"/>
      <c r="AY94" s="242"/>
      <c r="AZ94" s="242">
        <f t="shared" si="65"/>
        <v>0</v>
      </c>
      <c r="BA94" s="242"/>
      <c r="BB94" s="242"/>
      <c r="BC94" s="242">
        <f t="shared" si="66"/>
        <v>0</v>
      </c>
      <c r="BD94" s="242"/>
      <c r="BE94" s="242"/>
      <c r="BF94" s="242">
        <f t="shared" si="67"/>
        <v>0</v>
      </c>
      <c r="BG94" s="242">
        <f t="shared" si="68"/>
        <v>0</v>
      </c>
      <c r="BH94" s="242"/>
      <c r="BI94" s="242">
        <f t="shared" si="69"/>
        <v>0</v>
      </c>
      <c r="BJ94" s="242">
        <f t="shared" si="52"/>
        <v>0</v>
      </c>
      <c r="BK94" s="242">
        <f t="shared" si="53"/>
        <v>0</v>
      </c>
      <c r="BL94" s="242">
        <f t="shared" si="54"/>
        <v>0</v>
      </c>
      <c r="BM94" s="242">
        <f t="shared" si="55"/>
        <v>0</v>
      </c>
      <c r="BN94" s="242">
        <f t="shared" si="70"/>
        <v>0</v>
      </c>
      <c r="BO94" s="241"/>
      <c r="BP94" s="241"/>
      <c r="BQ94" s="242">
        <f t="shared" si="71"/>
        <v>0</v>
      </c>
      <c r="BR94" s="241"/>
      <c r="BS94" s="241"/>
      <c r="BT94" s="13">
        <v>732000</v>
      </c>
    </row>
    <row r="95" spans="1:78" s="15" customFormat="1">
      <c r="A95" s="241">
        <f t="shared" si="56"/>
        <v>86</v>
      </c>
      <c r="B95" s="394">
        <v>1841</v>
      </c>
      <c r="C95" s="394" t="s">
        <v>792</v>
      </c>
      <c r="D95" s="14">
        <v>600000</v>
      </c>
      <c r="E95" s="14">
        <v>600000</v>
      </c>
      <c r="F95" s="14"/>
      <c r="G95" s="14">
        <v>100000</v>
      </c>
      <c r="H95" s="14">
        <v>0</v>
      </c>
      <c r="I95" s="14"/>
      <c r="J95" s="14"/>
      <c r="K95" s="14">
        <f t="shared" si="44"/>
        <v>0</v>
      </c>
      <c r="L95" s="14">
        <f t="shared" si="45"/>
        <v>0</v>
      </c>
      <c r="M95" s="14">
        <f t="shared" si="72"/>
        <v>600000</v>
      </c>
      <c r="N95" s="14"/>
      <c r="O95" s="14">
        <f t="shared" si="46"/>
        <v>0</v>
      </c>
      <c r="P95" s="14">
        <f t="shared" si="47"/>
        <v>100000</v>
      </c>
      <c r="Q95" s="14">
        <v>500000</v>
      </c>
      <c r="R95" s="14"/>
      <c r="S95" s="14">
        <f t="shared" si="48"/>
        <v>500000</v>
      </c>
      <c r="T95" s="14">
        <f t="shared" si="49"/>
        <v>0</v>
      </c>
      <c r="U95" s="14">
        <f t="shared" si="50"/>
        <v>0</v>
      </c>
      <c r="V95" s="14">
        <f t="shared" si="51"/>
        <v>0</v>
      </c>
      <c r="W95" s="14"/>
      <c r="X95" s="14"/>
      <c r="Y95" s="13"/>
      <c r="Z95" s="242"/>
      <c r="AA95" s="242"/>
      <c r="AB95" s="242">
        <f t="shared" si="57"/>
        <v>0</v>
      </c>
      <c r="AC95" s="242"/>
      <c r="AD95" s="242"/>
      <c r="AE95" s="242">
        <f t="shared" si="58"/>
        <v>0</v>
      </c>
      <c r="AF95" s="242"/>
      <c r="AG95" s="242"/>
      <c r="AH95" s="242">
        <f t="shared" si="59"/>
        <v>0</v>
      </c>
      <c r="AI95" s="242"/>
      <c r="AJ95" s="242"/>
      <c r="AK95" s="242">
        <f t="shared" si="60"/>
        <v>0</v>
      </c>
      <c r="AL95" s="242"/>
      <c r="AM95" s="242"/>
      <c r="AN95" s="242">
        <f t="shared" si="61"/>
        <v>0</v>
      </c>
      <c r="AO95" s="242"/>
      <c r="AP95" s="242"/>
      <c r="AQ95" s="242">
        <f t="shared" si="62"/>
        <v>0</v>
      </c>
      <c r="AR95" s="242"/>
      <c r="AS95" s="242"/>
      <c r="AT95" s="242">
        <f t="shared" si="63"/>
        <v>0</v>
      </c>
      <c r="AU95" s="242"/>
      <c r="AV95" s="242"/>
      <c r="AW95" s="242">
        <f t="shared" si="64"/>
        <v>0</v>
      </c>
      <c r="AX95" s="242"/>
      <c r="AY95" s="242"/>
      <c r="AZ95" s="242">
        <f t="shared" si="65"/>
        <v>0</v>
      </c>
      <c r="BA95" s="242"/>
      <c r="BB95" s="242"/>
      <c r="BC95" s="242">
        <f t="shared" si="66"/>
        <v>0</v>
      </c>
      <c r="BD95" s="242"/>
      <c r="BE95" s="242"/>
      <c r="BF95" s="242">
        <f t="shared" si="67"/>
        <v>0</v>
      </c>
      <c r="BG95" s="242">
        <f t="shared" si="68"/>
        <v>0</v>
      </c>
      <c r="BH95" s="242"/>
      <c r="BI95" s="242">
        <f t="shared" si="69"/>
        <v>0</v>
      </c>
      <c r="BJ95" s="242">
        <f t="shared" si="52"/>
        <v>0</v>
      </c>
      <c r="BK95" s="242">
        <f t="shared" si="53"/>
        <v>0</v>
      </c>
      <c r="BL95" s="242">
        <f t="shared" si="54"/>
        <v>0</v>
      </c>
      <c r="BM95" s="242">
        <f t="shared" si="55"/>
        <v>0</v>
      </c>
      <c r="BN95" s="242">
        <f t="shared" si="70"/>
        <v>0</v>
      </c>
      <c r="BO95" s="241"/>
      <c r="BP95" s="241"/>
      <c r="BQ95" s="242">
        <f t="shared" si="71"/>
        <v>0</v>
      </c>
      <c r="BR95" s="241"/>
      <c r="BS95" s="241"/>
      <c r="BT95" s="13">
        <v>732000</v>
      </c>
      <c r="BV95" s="16"/>
      <c r="BW95" s="16"/>
      <c r="BX95" s="16"/>
      <c r="BY95" s="16"/>
      <c r="BZ95" s="16"/>
    </row>
    <row r="96" spans="1:78" s="16" customFormat="1">
      <c r="A96" s="241">
        <f t="shared" si="56"/>
        <v>87</v>
      </c>
      <c r="B96" s="13">
        <v>1842</v>
      </c>
      <c r="C96" s="13" t="s">
        <v>253</v>
      </c>
      <c r="D96" s="14">
        <v>800000</v>
      </c>
      <c r="E96" s="14">
        <v>800000</v>
      </c>
      <c r="F96" s="14"/>
      <c r="G96" s="14">
        <v>400000</v>
      </c>
      <c r="H96" s="14">
        <v>0</v>
      </c>
      <c r="I96" s="14"/>
      <c r="J96" s="14"/>
      <c r="K96" s="14">
        <f t="shared" si="44"/>
        <v>0</v>
      </c>
      <c r="L96" s="14">
        <f t="shared" si="45"/>
        <v>0</v>
      </c>
      <c r="M96" s="14">
        <f>P96+S96-100000</f>
        <v>300000</v>
      </c>
      <c r="N96" s="14"/>
      <c r="O96" s="14">
        <f t="shared" si="46"/>
        <v>500000</v>
      </c>
      <c r="P96" s="14">
        <f t="shared" si="47"/>
        <v>400000</v>
      </c>
      <c r="Q96" s="14"/>
      <c r="R96" s="14"/>
      <c r="S96" s="14">
        <f t="shared" si="48"/>
        <v>0</v>
      </c>
      <c r="T96" s="14">
        <f t="shared" si="49"/>
        <v>100000</v>
      </c>
      <c r="U96" s="14">
        <f t="shared" si="50"/>
        <v>-100000</v>
      </c>
      <c r="V96" s="14">
        <f t="shared" si="51"/>
        <v>-100000</v>
      </c>
      <c r="W96" s="14"/>
      <c r="X96" s="14"/>
      <c r="Y96" s="13"/>
      <c r="Z96" s="242"/>
      <c r="AA96" s="242">
        <v>-100000</v>
      </c>
      <c r="AB96" s="242">
        <f t="shared" si="57"/>
        <v>-100000</v>
      </c>
      <c r="AC96" s="242"/>
      <c r="AD96" s="242"/>
      <c r="AE96" s="242">
        <f t="shared" si="58"/>
        <v>0</v>
      </c>
      <c r="AF96" s="242"/>
      <c r="AG96" s="242"/>
      <c r="AH96" s="242">
        <f t="shared" si="59"/>
        <v>0</v>
      </c>
      <c r="AI96" s="242"/>
      <c r="AJ96" s="242"/>
      <c r="AK96" s="242">
        <f t="shared" si="60"/>
        <v>0</v>
      </c>
      <c r="AL96" s="242"/>
      <c r="AM96" s="242"/>
      <c r="AN96" s="242">
        <f t="shared" si="61"/>
        <v>0</v>
      </c>
      <c r="AO96" s="242"/>
      <c r="AP96" s="242"/>
      <c r="AQ96" s="242">
        <f t="shared" si="62"/>
        <v>0</v>
      </c>
      <c r="AR96" s="242"/>
      <c r="AS96" s="242"/>
      <c r="AT96" s="242">
        <f t="shared" si="63"/>
        <v>0</v>
      </c>
      <c r="AU96" s="242"/>
      <c r="AV96" s="242"/>
      <c r="AW96" s="242">
        <f t="shared" si="64"/>
        <v>0</v>
      </c>
      <c r="AX96" s="242"/>
      <c r="AY96" s="242"/>
      <c r="AZ96" s="242">
        <f t="shared" si="65"/>
        <v>0</v>
      </c>
      <c r="BA96" s="242"/>
      <c r="BB96" s="242"/>
      <c r="BC96" s="242">
        <f t="shared" si="66"/>
        <v>0</v>
      </c>
      <c r="BD96" s="242"/>
      <c r="BE96" s="242"/>
      <c r="BF96" s="242">
        <f t="shared" si="67"/>
        <v>0</v>
      </c>
      <c r="BG96" s="242">
        <f t="shared" si="68"/>
        <v>-100000</v>
      </c>
      <c r="BH96" s="242"/>
      <c r="BI96" s="242">
        <f t="shared" si="69"/>
        <v>-100000</v>
      </c>
      <c r="BJ96" s="242">
        <f t="shared" si="52"/>
        <v>0</v>
      </c>
      <c r="BK96" s="242">
        <f t="shared" si="53"/>
        <v>-100000</v>
      </c>
      <c r="BL96" s="242">
        <f t="shared" si="54"/>
        <v>0</v>
      </c>
      <c r="BM96" s="242">
        <f t="shared" si="55"/>
        <v>0</v>
      </c>
      <c r="BN96" s="242">
        <f t="shared" si="70"/>
        <v>0</v>
      </c>
      <c r="BO96" s="241"/>
      <c r="BP96" s="241"/>
      <c r="BQ96" s="242">
        <f t="shared" si="71"/>
        <v>0</v>
      </c>
      <c r="BR96" s="241"/>
      <c r="BS96" s="241"/>
      <c r="BT96" s="13">
        <v>732000</v>
      </c>
      <c r="BU96" s="15"/>
      <c r="BV96" s="15"/>
      <c r="BW96" s="15"/>
      <c r="BX96" s="15"/>
      <c r="BY96" s="15"/>
      <c r="BZ96" s="15"/>
    </row>
    <row r="97" spans="1:84" s="15" customFormat="1">
      <c r="A97" s="241">
        <f t="shared" si="56"/>
        <v>88</v>
      </c>
      <c r="B97" s="13">
        <v>1937</v>
      </c>
      <c r="C97" s="13" t="s">
        <v>342</v>
      </c>
      <c r="D97" s="14">
        <v>450000</v>
      </c>
      <c r="E97" s="14">
        <v>450000</v>
      </c>
      <c r="F97" s="14">
        <f>D97-E97</f>
        <v>0</v>
      </c>
      <c r="G97" s="14"/>
      <c r="H97" s="14"/>
      <c r="I97" s="14"/>
      <c r="J97" s="14"/>
      <c r="K97" s="14"/>
      <c r="L97" s="14"/>
      <c r="M97" s="14">
        <f t="shared" si="72"/>
        <v>450000</v>
      </c>
      <c r="N97" s="14"/>
      <c r="O97" s="14">
        <f t="shared" si="46"/>
        <v>0</v>
      </c>
      <c r="P97" s="14"/>
      <c r="Q97" s="14"/>
      <c r="R97" s="14">
        <v>450000</v>
      </c>
      <c r="S97" s="14">
        <f t="shared" si="48"/>
        <v>450000</v>
      </c>
      <c r="T97" s="14"/>
      <c r="U97" s="14">
        <f t="shared" si="50"/>
        <v>0</v>
      </c>
      <c r="V97" s="14">
        <f t="shared" si="51"/>
        <v>0</v>
      </c>
      <c r="W97" s="14"/>
      <c r="X97" s="14"/>
      <c r="Y97" s="13"/>
      <c r="Z97" s="242"/>
      <c r="AA97" s="242"/>
      <c r="AB97" s="242">
        <f t="shared" si="57"/>
        <v>0</v>
      </c>
      <c r="AC97" s="242"/>
      <c r="AD97" s="242"/>
      <c r="AE97" s="242">
        <f t="shared" si="58"/>
        <v>0</v>
      </c>
      <c r="AF97" s="242"/>
      <c r="AG97" s="242"/>
      <c r="AH97" s="242">
        <f t="shared" si="59"/>
        <v>0</v>
      </c>
      <c r="AI97" s="242"/>
      <c r="AJ97" s="242"/>
      <c r="AK97" s="242">
        <f t="shared" si="60"/>
        <v>0</v>
      </c>
      <c r="AL97" s="242"/>
      <c r="AM97" s="242"/>
      <c r="AN97" s="242">
        <f t="shared" si="61"/>
        <v>0</v>
      </c>
      <c r="AO97" s="242"/>
      <c r="AP97" s="242"/>
      <c r="AQ97" s="242">
        <f t="shared" si="62"/>
        <v>0</v>
      </c>
      <c r="AR97" s="242"/>
      <c r="AS97" s="242"/>
      <c r="AT97" s="242">
        <f t="shared" si="63"/>
        <v>0</v>
      </c>
      <c r="AU97" s="242"/>
      <c r="AV97" s="242"/>
      <c r="AW97" s="242">
        <f t="shared" si="64"/>
        <v>0</v>
      </c>
      <c r="AX97" s="242"/>
      <c r="AY97" s="242"/>
      <c r="AZ97" s="242">
        <f t="shared" si="65"/>
        <v>0</v>
      </c>
      <c r="BA97" s="242"/>
      <c r="BB97" s="242"/>
      <c r="BC97" s="242">
        <f t="shared" si="66"/>
        <v>0</v>
      </c>
      <c r="BD97" s="242"/>
      <c r="BE97" s="242"/>
      <c r="BF97" s="242">
        <f t="shared" si="67"/>
        <v>0</v>
      </c>
      <c r="BG97" s="242">
        <f t="shared" si="68"/>
        <v>0</v>
      </c>
      <c r="BH97" s="242"/>
      <c r="BI97" s="242">
        <f t="shared" si="69"/>
        <v>0</v>
      </c>
      <c r="BJ97" s="242">
        <f t="shared" si="52"/>
        <v>0</v>
      </c>
      <c r="BK97" s="242">
        <f t="shared" si="53"/>
        <v>0</v>
      </c>
      <c r="BL97" s="242">
        <f t="shared" si="54"/>
        <v>0</v>
      </c>
      <c r="BM97" s="242">
        <f t="shared" si="55"/>
        <v>0</v>
      </c>
      <c r="BN97" s="242">
        <f t="shared" si="70"/>
        <v>0</v>
      </c>
      <c r="BO97" s="241"/>
      <c r="BP97" s="241"/>
      <c r="BQ97" s="242">
        <f t="shared" si="71"/>
        <v>0</v>
      </c>
      <c r="BR97" s="241"/>
      <c r="BS97" s="241"/>
      <c r="BT97" s="13">
        <v>732000</v>
      </c>
      <c r="BX97" s="55"/>
    </row>
    <row r="98" spans="1:84" s="15" customFormat="1">
      <c r="A98" s="241">
        <f t="shared" si="56"/>
        <v>89</v>
      </c>
      <c r="B98" s="13">
        <v>1950</v>
      </c>
      <c r="C98" s="13" t="s">
        <v>680</v>
      </c>
      <c r="D98" s="14">
        <v>500000</v>
      </c>
      <c r="E98" s="14"/>
      <c r="F98" s="14">
        <f>D98-E98</f>
        <v>500000</v>
      </c>
      <c r="G98" s="14"/>
      <c r="H98" s="14"/>
      <c r="I98" s="14"/>
      <c r="J98" s="14"/>
      <c r="K98" s="14"/>
      <c r="L98" s="14"/>
      <c r="M98" s="14">
        <f t="shared" si="72"/>
        <v>0</v>
      </c>
      <c r="N98" s="14">
        <f>500000-300000+300000</f>
        <v>500000</v>
      </c>
      <c r="O98" s="14">
        <f t="shared" si="46"/>
        <v>0</v>
      </c>
      <c r="P98" s="14"/>
      <c r="Q98" s="14"/>
      <c r="R98" s="14"/>
      <c r="S98" s="14">
        <f t="shared" si="48"/>
        <v>0</v>
      </c>
      <c r="T98" s="14"/>
      <c r="U98" s="14">
        <f t="shared" si="50"/>
        <v>500000</v>
      </c>
      <c r="V98" s="14">
        <f t="shared" si="51"/>
        <v>500000</v>
      </c>
      <c r="W98" s="14"/>
      <c r="X98" s="14"/>
      <c r="Y98" s="13"/>
      <c r="Z98" s="242"/>
      <c r="AA98" s="242"/>
      <c r="AB98" s="242">
        <f t="shared" si="57"/>
        <v>0</v>
      </c>
      <c r="AC98" s="242"/>
      <c r="AD98" s="242"/>
      <c r="AE98" s="242">
        <f t="shared" si="58"/>
        <v>0</v>
      </c>
      <c r="AF98" s="242"/>
      <c r="AG98" s="242"/>
      <c r="AH98" s="242">
        <f t="shared" si="59"/>
        <v>0</v>
      </c>
      <c r="AI98" s="242"/>
      <c r="AJ98" s="242"/>
      <c r="AK98" s="242">
        <f t="shared" si="60"/>
        <v>0</v>
      </c>
      <c r="AL98" s="242"/>
      <c r="AM98" s="242"/>
      <c r="AN98" s="242">
        <f t="shared" si="61"/>
        <v>0</v>
      </c>
      <c r="AO98" s="242"/>
      <c r="AP98" s="242"/>
      <c r="AQ98" s="242">
        <f t="shared" si="62"/>
        <v>0</v>
      </c>
      <c r="AR98" s="242"/>
      <c r="AS98" s="242"/>
      <c r="AT98" s="242">
        <f t="shared" si="63"/>
        <v>0</v>
      </c>
      <c r="AU98" s="242"/>
      <c r="AV98" s="242"/>
      <c r="AW98" s="242">
        <f t="shared" si="64"/>
        <v>0</v>
      </c>
      <c r="AX98" s="242"/>
      <c r="AY98" s="242"/>
      <c r="AZ98" s="242">
        <f t="shared" si="65"/>
        <v>0</v>
      </c>
      <c r="BA98" s="242"/>
      <c r="BB98" s="242"/>
      <c r="BC98" s="242">
        <f t="shared" si="66"/>
        <v>0</v>
      </c>
      <c r="BD98" s="242"/>
      <c r="BE98" s="242"/>
      <c r="BF98" s="242">
        <f t="shared" si="67"/>
        <v>0</v>
      </c>
      <c r="BG98" s="242">
        <f t="shared" si="68"/>
        <v>0</v>
      </c>
      <c r="BH98" s="242"/>
      <c r="BI98" s="242">
        <f t="shared" si="69"/>
        <v>0</v>
      </c>
      <c r="BJ98" s="242">
        <f t="shared" si="52"/>
        <v>500000</v>
      </c>
      <c r="BK98" s="242">
        <f t="shared" si="53"/>
        <v>0</v>
      </c>
      <c r="BL98" s="242">
        <f t="shared" si="54"/>
        <v>0</v>
      </c>
      <c r="BM98" s="242">
        <f t="shared" si="55"/>
        <v>0</v>
      </c>
      <c r="BN98" s="242">
        <f t="shared" si="70"/>
        <v>0</v>
      </c>
      <c r="BO98" s="241"/>
      <c r="BP98" s="241"/>
      <c r="BQ98" s="242">
        <f t="shared" si="71"/>
        <v>500000</v>
      </c>
      <c r="BR98" s="241"/>
      <c r="BS98" s="241"/>
      <c r="BT98" s="13">
        <v>732000</v>
      </c>
      <c r="BX98" s="55"/>
      <c r="BY98" s="244"/>
    </row>
    <row r="99" spans="1:84" s="16" customFormat="1">
      <c r="A99" s="241">
        <f t="shared" si="56"/>
        <v>90</v>
      </c>
      <c r="B99" s="13">
        <v>1951</v>
      </c>
      <c r="C99" s="13" t="s">
        <v>343</v>
      </c>
      <c r="D99" s="14">
        <v>300000</v>
      </c>
      <c r="E99" s="14"/>
      <c r="F99" s="14">
        <f>D99-E99</f>
        <v>300000</v>
      </c>
      <c r="G99" s="14"/>
      <c r="H99" s="14"/>
      <c r="I99" s="14"/>
      <c r="J99" s="14"/>
      <c r="K99" s="14"/>
      <c r="L99" s="14"/>
      <c r="M99" s="14">
        <f>P99+S99</f>
        <v>0</v>
      </c>
      <c r="N99" s="14">
        <f>300000-100000+100000</f>
        <v>300000</v>
      </c>
      <c r="O99" s="14">
        <f>D99-L99-M99-N99</f>
        <v>0</v>
      </c>
      <c r="P99" s="14"/>
      <c r="Q99" s="14"/>
      <c r="R99" s="14"/>
      <c r="S99" s="14">
        <f>SUM(Q99:R99)</f>
        <v>0</v>
      </c>
      <c r="T99" s="14"/>
      <c r="U99" s="14">
        <f>N99-T99</f>
        <v>300000</v>
      </c>
      <c r="V99" s="14">
        <f>U99-Y99-W99-X99</f>
        <v>300000</v>
      </c>
      <c r="W99" s="14"/>
      <c r="X99" s="14"/>
      <c r="Y99" s="13"/>
      <c r="Z99" s="242"/>
      <c r="AA99" s="242"/>
      <c r="AB99" s="242">
        <f t="shared" si="57"/>
        <v>0</v>
      </c>
      <c r="AC99" s="242"/>
      <c r="AD99" s="242"/>
      <c r="AE99" s="242">
        <f t="shared" si="58"/>
        <v>0</v>
      </c>
      <c r="AF99" s="242"/>
      <c r="AG99" s="242"/>
      <c r="AH99" s="242">
        <f t="shared" si="59"/>
        <v>0</v>
      </c>
      <c r="AI99" s="242"/>
      <c r="AJ99" s="242"/>
      <c r="AK99" s="242">
        <f t="shared" si="60"/>
        <v>0</v>
      </c>
      <c r="AL99" s="242"/>
      <c r="AM99" s="242">
        <v>160000</v>
      </c>
      <c r="AN99" s="242">
        <f t="shared" si="61"/>
        <v>160000</v>
      </c>
      <c r="AO99" s="242"/>
      <c r="AP99" s="242"/>
      <c r="AQ99" s="242">
        <f t="shared" si="62"/>
        <v>0</v>
      </c>
      <c r="AR99" s="242"/>
      <c r="AS99" s="242"/>
      <c r="AT99" s="242">
        <f t="shared" si="63"/>
        <v>0</v>
      </c>
      <c r="AU99" s="242"/>
      <c r="AV99" s="242"/>
      <c r="AW99" s="242">
        <f t="shared" si="64"/>
        <v>0</v>
      </c>
      <c r="AX99" s="242"/>
      <c r="AY99" s="242"/>
      <c r="AZ99" s="242">
        <f t="shared" si="65"/>
        <v>0</v>
      </c>
      <c r="BA99" s="242"/>
      <c r="BB99" s="242"/>
      <c r="BC99" s="242">
        <f t="shared" si="66"/>
        <v>0</v>
      </c>
      <c r="BD99" s="242"/>
      <c r="BE99" s="242"/>
      <c r="BF99" s="242">
        <f t="shared" si="67"/>
        <v>0</v>
      </c>
      <c r="BG99" s="242">
        <f t="shared" si="68"/>
        <v>160000</v>
      </c>
      <c r="BH99" s="242"/>
      <c r="BI99" s="242">
        <f t="shared" si="69"/>
        <v>160000</v>
      </c>
      <c r="BJ99" s="242">
        <f t="shared" si="52"/>
        <v>140000</v>
      </c>
      <c r="BK99" s="242">
        <f t="shared" si="53"/>
        <v>160000</v>
      </c>
      <c r="BL99" s="242">
        <f t="shared" si="54"/>
        <v>0</v>
      </c>
      <c r="BM99" s="242">
        <f t="shared" si="55"/>
        <v>0</v>
      </c>
      <c r="BN99" s="242">
        <f t="shared" si="70"/>
        <v>0</v>
      </c>
      <c r="BO99" s="241"/>
      <c r="BP99" s="241"/>
      <c r="BQ99" s="242">
        <f t="shared" si="71"/>
        <v>140000</v>
      </c>
      <c r="BR99" s="241"/>
      <c r="BS99" s="241"/>
      <c r="BT99" s="13">
        <v>732000</v>
      </c>
      <c r="BU99" s="15"/>
      <c r="BV99" s="15"/>
      <c r="BW99" s="15"/>
      <c r="BX99" s="55"/>
      <c r="BZ99" s="15"/>
    </row>
    <row r="100" spans="1:84" s="16" customFormat="1">
      <c r="A100" s="241">
        <f t="shared" si="56"/>
        <v>91</v>
      </c>
      <c r="B100" s="13">
        <v>1952</v>
      </c>
      <c r="C100" s="13" t="s">
        <v>402</v>
      </c>
      <c r="D100" s="14">
        <v>120000</v>
      </c>
      <c r="E100" s="14"/>
      <c r="F100" s="14">
        <f>D100-E100</f>
        <v>120000</v>
      </c>
      <c r="G100" s="14"/>
      <c r="H100" s="14"/>
      <c r="I100" s="14"/>
      <c r="J100" s="14"/>
      <c r="K100" s="14"/>
      <c r="L100" s="14"/>
      <c r="M100" s="14">
        <f t="shared" si="72"/>
        <v>0</v>
      </c>
      <c r="N100" s="14">
        <v>120000</v>
      </c>
      <c r="O100" s="14">
        <f t="shared" si="46"/>
        <v>0</v>
      </c>
      <c r="P100" s="14"/>
      <c r="Q100" s="14"/>
      <c r="R100" s="14"/>
      <c r="S100" s="14">
        <f t="shared" si="48"/>
        <v>0</v>
      </c>
      <c r="T100" s="14"/>
      <c r="U100" s="14">
        <f t="shared" si="50"/>
        <v>120000</v>
      </c>
      <c r="V100" s="14">
        <f t="shared" si="51"/>
        <v>120000</v>
      </c>
      <c r="W100" s="14"/>
      <c r="X100" s="14"/>
      <c r="Y100" s="13"/>
      <c r="Z100" s="242"/>
      <c r="AA100" s="242"/>
      <c r="AB100" s="242">
        <f t="shared" si="57"/>
        <v>0</v>
      </c>
      <c r="AC100" s="242"/>
      <c r="AD100" s="242"/>
      <c r="AE100" s="242">
        <f t="shared" si="58"/>
        <v>0</v>
      </c>
      <c r="AF100" s="242"/>
      <c r="AG100" s="242"/>
      <c r="AH100" s="242">
        <f t="shared" si="59"/>
        <v>0</v>
      </c>
      <c r="AI100" s="242"/>
      <c r="AJ100" s="242"/>
      <c r="AK100" s="242">
        <f t="shared" si="60"/>
        <v>0</v>
      </c>
      <c r="AL100" s="242"/>
      <c r="AM100" s="242"/>
      <c r="AN100" s="242">
        <f t="shared" si="61"/>
        <v>0</v>
      </c>
      <c r="AO100" s="242"/>
      <c r="AP100" s="242"/>
      <c r="AQ100" s="242">
        <f t="shared" si="62"/>
        <v>0</v>
      </c>
      <c r="AR100" s="242"/>
      <c r="AS100" s="242"/>
      <c r="AT100" s="242">
        <f t="shared" si="63"/>
        <v>0</v>
      </c>
      <c r="AU100" s="242"/>
      <c r="AV100" s="242"/>
      <c r="AW100" s="242">
        <f t="shared" si="64"/>
        <v>0</v>
      </c>
      <c r="AX100" s="242"/>
      <c r="AY100" s="242"/>
      <c r="AZ100" s="242">
        <f t="shared" si="65"/>
        <v>0</v>
      </c>
      <c r="BA100" s="242"/>
      <c r="BB100" s="242"/>
      <c r="BC100" s="242">
        <f t="shared" si="66"/>
        <v>0</v>
      </c>
      <c r="BD100" s="242"/>
      <c r="BE100" s="242"/>
      <c r="BF100" s="242">
        <f t="shared" si="67"/>
        <v>0</v>
      </c>
      <c r="BG100" s="242">
        <f t="shared" si="68"/>
        <v>0</v>
      </c>
      <c r="BH100" s="242"/>
      <c r="BI100" s="242">
        <f t="shared" si="69"/>
        <v>0</v>
      </c>
      <c r="BJ100" s="242">
        <f t="shared" si="52"/>
        <v>120000</v>
      </c>
      <c r="BK100" s="242">
        <f t="shared" si="53"/>
        <v>0</v>
      </c>
      <c r="BL100" s="242">
        <f t="shared" si="54"/>
        <v>0</v>
      </c>
      <c r="BM100" s="242">
        <f t="shared" si="55"/>
        <v>0</v>
      </c>
      <c r="BN100" s="242">
        <f t="shared" si="70"/>
        <v>0</v>
      </c>
      <c r="BO100" s="241"/>
      <c r="BP100" s="241"/>
      <c r="BQ100" s="242">
        <f t="shared" si="71"/>
        <v>120000</v>
      </c>
      <c r="BR100" s="241"/>
      <c r="BS100" s="241"/>
      <c r="BT100" s="13">
        <v>732000</v>
      </c>
      <c r="BU100" s="15"/>
      <c r="BV100" s="15"/>
      <c r="BW100" s="15"/>
      <c r="BZ100" s="15"/>
    </row>
    <row r="101" spans="1:84" s="16" customFormat="1">
      <c r="A101" s="233"/>
      <c r="B101" s="19"/>
      <c r="C101" s="19" t="s">
        <v>344</v>
      </c>
      <c r="D101" s="20">
        <f t="shared" ref="D101:Y101" si="73">SUM(D76:D100)</f>
        <v>30782000</v>
      </c>
      <c r="E101" s="20">
        <f t="shared" si="73"/>
        <v>28645000</v>
      </c>
      <c r="F101" s="20">
        <f t="shared" si="73"/>
        <v>2137000</v>
      </c>
      <c r="G101" s="20">
        <f t="shared" si="73"/>
        <v>16769240</v>
      </c>
      <c r="H101" s="20">
        <f t="shared" si="73"/>
        <v>7737151.0999999996</v>
      </c>
      <c r="I101" s="20">
        <f t="shared" si="73"/>
        <v>1915461.2999999996</v>
      </c>
      <c r="J101" s="20">
        <f t="shared" si="73"/>
        <v>1673923.79</v>
      </c>
      <c r="K101" s="20">
        <f t="shared" si="73"/>
        <v>3589385.09</v>
      </c>
      <c r="L101" s="20">
        <f t="shared" si="73"/>
        <v>11326536.189999999</v>
      </c>
      <c r="M101" s="20">
        <f t="shared" si="73"/>
        <v>6001703.8099999996</v>
      </c>
      <c r="N101" s="20">
        <f t="shared" si="73"/>
        <v>2910000</v>
      </c>
      <c r="O101" s="20">
        <f t="shared" si="73"/>
        <v>10543760</v>
      </c>
      <c r="P101" s="20">
        <f t="shared" si="73"/>
        <v>5442703.8100000005</v>
      </c>
      <c r="Q101" s="20">
        <f t="shared" si="73"/>
        <v>1000000</v>
      </c>
      <c r="R101" s="20">
        <f t="shared" si="73"/>
        <v>450000</v>
      </c>
      <c r="S101" s="20">
        <f t="shared" si="73"/>
        <v>1450000</v>
      </c>
      <c r="T101" s="20">
        <f t="shared" si="73"/>
        <v>891000</v>
      </c>
      <c r="U101" s="20">
        <f t="shared" si="73"/>
        <v>2019000</v>
      </c>
      <c r="V101" s="20">
        <f t="shared" si="73"/>
        <v>2019000</v>
      </c>
      <c r="W101" s="20">
        <f t="shared" si="73"/>
        <v>0</v>
      </c>
      <c r="X101" s="20">
        <f t="shared" si="73"/>
        <v>0</v>
      </c>
      <c r="Y101" s="20">
        <f t="shared" si="73"/>
        <v>0</v>
      </c>
      <c r="Z101" s="20">
        <f t="shared" ref="Z101:BS101" si="74">SUM(Z76:Z100)</f>
        <v>0</v>
      </c>
      <c r="AA101" s="20">
        <f t="shared" si="74"/>
        <v>-890000</v>
      </c>
      <c r="AB101" s="20">
        <f t="shared" si="74"/>
        <v>-890000</v>
      </c>
      <c r="AC101" s="20">
        <f t="shared" si="74"/>
        <v>0</v>
      </c>
      <c r="AD101" s="20">
        <f t="shared" si="74"/>
        <v>0</v>
      </c>
      <c r="AE101" s="20">
        <f t="shared" si="74"/>
        <v>0</v>
      </c>
      <c r="AF101" s="20">
        <f t="shared" si="74"/>
        <v>0</v>
      </c>
      <c r="AG101" s="20">
        <f t="shared" si="74"/>
        <v>0</v>
      </c>
      <c r="AH101" s="20">
        <f t="shared" si="74"/>
        <v>0</v>
      </c>
      <c r="AI101" s="20">
        <f t="shared" si="74"/>
        <v>0</v>
      </c>
      <c r="AJ101" s="20">
        <f t="shared" si="74"/>
        <v>-1000</v>
      </c>
      <c r="AK101" s="20">
        <f t="shared" si="74"/>
        <v>-1000</v>
      </c>
      <c r="AL101" s="20">
        <f t="shared" si="74"/>
        <v>0</v>
      </c>
      <c r="AM101" s="20">
        <f t="shared" si="74"/>
        <v>160000</v>
      </c>
      <c r="AN101" s="20">
        <f t="shared" si="74"/>
        <v>160000</v>
      </c>
      <c r="AO101" s="20">
        <f t="shared" si="74"/>
        <v>0</v>
      </c>
      <c r="AP101" s="20">
        <f t="shared" si="74"/>
        <v>0</v>
      </c>
      <c r="AQ101" s="20">
        <f t="shared" si="74"/>
        <v>0</v>
      </c>
      <c r="AR101" s="20">
        <f t="shared" si="74"/>
        <v>0</v>
      </c>
      <c r="AS101" s="20">
        <f t="shared" si="74"/>
        <v>0</v>
      </c>
      <c r="AT101" s="20">
        <f t="shared" si="74"/>
        <v>0</v>
      </c>
      <c r="AU101" s="20">
        <f t="shared" si="74"/>
        <v>0</v>
      </c>
      <c r="AV101" s="20">
        <f t="shared" si="74"/>
        <v>0</v>
      </c>
      <c r="AW101" s="20">
        <f t="shared" si="74"/>
        <v>0</v>
      </c>
      <c r="AX101" s="20">
        <f t="shared" si="74"/>
        <v>0</v>
      </c>
      <c r="AY101" s="20">
        <f t="shared" si="74"/>
        <v>0</v>
      </c>
      <c r="AZ101" s="20">
        <f t="shared" si="74"/>
        <v>0</v>
      </c>
      <c r="BA101" s="20">
        <f t="shared" si="74"/>
        <v>0</v>
      </c>
      <c r="BB101" s="20">
        <f t="shared" si="74"/>
        <v>0</v>
      </c>
      <c r="BC101" s="20">
        <f t="shared" si="74"/>
        <v>0</v>
      </c>
      <c r="BD101" s="20">
        <f t="shared" si="74"/>
        <v>0</v>
      </c>
      <c r="BE101" s="20">
        <f t="shared" si="74"/>
        <v>0</v>
      </c>
      <c r="BF101" s="20">
        <f t="shared" si="74"/>
        <v>0</v>
      </c>
      <c r="BG101" s="20">
        <f t="shared" si="74"/>
        <v>-731000</v>
      </c>
      <c r="BH101" s="20">
        <f>SUM(BH76:BH100)</f>
        <v>0</v>
      </c>
      <c r="BI101" s="20">
        <f>SUM(BI76:BI100)</f>
        <v>-731000</v>
      </c>
      <c r="BJ101" s="20">
        <f t="shared" si="74"/>
        <v>2750000</v>
      </c>
      <c r="BK101" s="20">
        <f>SUM(BK76:BK100)</f>
        <v>-731000</v>
      </c>
      <c r="BL101" s="20">
        <f>SUM(BL76:BL100)</f>
        <v>0</v>
      </c>
      <c r="BM101" s="20">
        <f t="shared" si="74"/>
        <v>0</v>
      </c>
      <c r="BN101" s="20">
        <f>SUM(BN76:BN100)</f>
        <v>0</v>
      </c>
      <c r="BO101" s="20">
        <f>SUM(BO76:BO100)</f>
        <v>0</v>
      </c>
      <c r="BP101" s="20">
        <f>SUM(BP76:BP100)</f>
        <v>0</v>
      </c>
      <c r="BQ101" s="20">
        <f t="shared" si="74"/>
        <v>2750000</v>
      </c>
      <c r="BR101" s="20">
        <f>SUM(BR76:BR100)</f>
        <v>0</v>
      </c>
      <c r="BS101" s="20">
        <f t="shared" si="74"/>
        <v>0</v>
      </c>
      <c r="BT101" s="20"/>
    </row>
    <row r="102" spans="1:84" s="244" customFormat="1">
      <c r="A102" s="241"/>
      <c r="B102" s="241"/>
      <c r="C102" s="241"/>
      <c r="D102" s="14"/>
      <c r="E102" s="242"/>
      <c r="F102" s="242"/>
      <c r="G102" s="242"/>
      <c r="H102" s="242"/>
      <c r="I102" s="242"/>
      <c r="J102" s="242"/>
      <c r="K102" s="242"/>
      <c r="L102" s="242"/>
      <c r="M102" s="14"/>
      <c r="N102" s="14"/>
      <c r="O102" s="14"/>
      <c r="P102" s="14"/>
      <c r="Q102" s="14"/>
      <c r="R102" s="14"/>
      <c r="S102" s="14"/>
      <c r="T102" s="14"/>
      <c r="U102" s="14"/>
      <c r="V102" s="242"/>
      <c r="W102" s="242"/>
      <c r="X102" s="242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X102" s="55"/>
      <c r="BY102" s="246"/>
    </row>
    <row r="103" spans="1:84" s="244" customFormat="1">
      <c r="A103" s="241"/>
      <c r="B103" s="241"/>
      <c r="C103" s="233" t="s">
        <v>24</v>
      </c>
      <c r="D103" s="14"/>
      <c r="E103" s="242"/>
      <c r="F103" s="242"/>
      <c r="G103" s="242"/>
      <c r="H103" s="242"/>
      <c r="I103" s="242"/>
      <c r="J103" s="242"/>
      <c r="K103" s="242"/>
      <c r="L103" s="242"/>
      <c r="M103" s="14"/>
      <c r="N103" s="14"/>
      <c r="O103" s="14"/>
      <c r="P103" s="14"/>
      <c r="Q103" s="14"/>
      <c r="R103" s="14"/>
      <c r="S103" s="14"/>
      <c r="T103" s="14"/>
      <c r="U103" s="14"/>
      <c r="V103" s="242"/>
      <c r="W103" s="242"/>
      <c r="X103" s="242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</row>
    <row r="104" spans="1:84" s="16" customFormat="1">
      <c r="A104" s="13">
        <f>A100+1</f>
        <v>92</v>
      </c>
      <c r="B104" s="13">
        <v>1409</v>
      </c>
      <c r="C104" s="13" t="s">
        <v>345</v>
      </c>
      <c r="D104" s="14">
        <v>3500000</v>
      </c>
      <c r="E104" s="14">
        <v>3300000</v>
      </c>
      <c r="F104" s="14">
        <f t="shared" ref="F104:F117" si="75">D104-E104</f>
        <v>200000</v>
      </c>
      <c r="G104" s="14">
        <v>3000000</v>
      </c>
      <c r="H104" s="14">
        <v>2041090.76</v>
      </c>
      <c r="I104" s="14">
        <v>4560</v>
      </c>
      <c r="J104" s="14">
        <v>351032.12</v>
      </c>
      <c r="K104" s="14">
        <f t="shared" ref="K104:K119" si="76">SUM(I104:J104)</f>
        <v>355592.12</v>
      </c>
      <c r="L104" s="14">
        <f t="shared" ref="L104:L119" si="77">H104+K104</f>
        <v>2396682.88</v>
      </c>
      <c r="M104" s="14">
        <f t="shared" ref="M104:M119" si="78">P104+S104</f>
        <v>903317.12000000011</v>
      </c>
      <c r="N104" s="14"/>
      <c r="O104" s="14">
        <f t="shared" ref="O104:O119" si="79">D104-L104-M104-N104</f>
        <v>200000</v>
      </c>
      <c r="P104" s="14">
        <f t="shared" ref="P104:P119" si="80">G104-L104</f>
        <v>603317.12000000011</v>
      </c>
      <c r="Q104" s="14">
        <v>300000</v>
      </c>
      <c r="R104" s="14"/>
      <c r="S104" s="14">
        <f t="shared" ref="S104:S119" si="81">SUM(Q104:R104)</f>
        <v>300000</v>
      </c>
      <c r="T104" s="14">
        <f t="shared" ref="T104:T119" si="82">P104-M104+S104</f>
        <v>0</v>
      </c>
      <c r="U104" s="14">
        <f t="shared" ref="U104:U119" si="83">N104-T104</f>
        <v>0</v>
      </c>
      <c r="V104" s="14">
        <f t="shared" ref="V104:V119" si="84">U104-Y104-W104-X104</f>
        <v>0</v>
      </c>
      <c r="W104" s="14"/>
      <c r="X104" s="14"/>
      <c r="Y104" s="13"/>
      <c r="Z104" s="13"/>
      <c r="AA104" s="13"/>
      <c r="AB104" s="241">
        <f>SUM(Z104:AA104)</f>
        <v>0</v>
      </c>
      <c r="AC104" s="13"/>
      <c r="AD104" s="13"/>
      <c r="AE104" s="241">
        <f>SUM(AC104:AD104)</f>
        <v>0</v>
      </c>
      <c r="AF104" s="13"/>
      <c r="AG104" s="13"/>
      <c r="AH104" s="241">
        <f>SUM(AF104:AG104)</f>
        <v>0</v>
      </c>
      <c r="AI104" s="13"/>
      <c r="AJ104" s="13"/>
      <c r="AK104" s="241">
        <f>SUM(AI104:AJ104)</f>
        <v>0</v>
      </c>
      <c r="AL104" s="13"/>
      <c r="AM104" s="13"/>
      <c r="AN104" s="241">
        <f>SUM(AL104:AM104)</f>
        <v>0</v>
      </c>
      <c r="AO104" s="13"/>
      <c r="AP104" s="13"/>
      <c r="AQ104" s="241">
        <f>SUM(AO104:AP104)</f>
        <v>0</v>
      </c>
      <c r="AR104" s="13"/>
      <c r="AS104" s="13"/>
      <c r="AT104" s="241">
        <f>SUM(AR104:AS104)</f>
        <v>0</v>
      </c>
      <c r="AU104" s="13"/>
      <c r="AV104" s="13"/>
      <c r="AW104" s="241">
        <f>SUM(AU104:AV104)</f>
        <v>0</v>
      </c>
      <c r="AX104" s="13"/>
      <c r="AY104" s="13"/>
      <c r="AZ104" s="241">
        <f>SUM(AX104:AY104)</f>
        <v>0</v>
      </c>
      <c r="BA104" s="13"/>
      <c r="BB104" s="13"/>
      <c r="BC104" s="241">
        <f>SUM(BA104:BB104)</f>
        <v>0</v>
      </c>
      <c r="BD104" s="13"/>
      <c r="BE104" s="13"/>
      <c r="BF104" s="241">
        <f>SUM(BD104:BE104)</f>
        <v>0</v>
      </c>
      <c r="BG104" s="242">
        <f>BF104+AB104+AE104+AH104+AK104+AN104+AQ104+AT104+AW104+AZ104+BC104</f>
        <v>0</v>
      </c>
      <c r="BH104" s="242"/>
      <c r="BI104" s="242">
        <f>BG104+BH104</f>
        <v>0</v>
      </c>
      <c r="BJ104" s="242">
        <f t="shared" ref="BJ104:BJ119" si="85">U104-BI104</f>
        <v>0</v>
      </c>
      <c r="BK104" s="242">
        <f t="shared" ref="BK104:BK119" si="86">BI104-BL104-BM103:BM104</f>
        <v>0</v>
      </c>
      <c r="BL104" s="241">
        <f t="shared" ref="BL104:BL119" si="87">BE104</f>
        <v>0</v>
      </c>
      <c r="BM104" s="241">
        <f t="shared" ref="BM104:BM119" si="88">BF104</f>
        <v>0</v>
      </c>
      <c r="BN104" s="242">
        <f>BH104-BO104-BP104</f>
        <v>0</v>
      </c>
      <c r="BO104" s="241"/>
      <c r="BP104" s="241"/>
      <c r="BQ104" s="242">
        <f>BJ104-BR104-BS104</f>
        <v>0</v>
      </c>
      <c r="BR104" s="241"/>
      <c r="BS104" s="241"/>
      <c r="BT104" s="13">
        <v>732000</v>
      </c>
      <c r="BU104" s="15"/>
    </row>
    <row r="105" spans="1:84" s="16" customFormat="1">
      <c r="A105" s="13">
        <f>A104+1</f>
        <v>93</v>
      </c>
      <c r="B105" s="13">
        <v>1466</v>
      </c>
      <c r="C105" s="13" t="s">
        <v>21</v>
      </c>
      <c r="D105" s="14">
        <v>1800000</v>
      </c>
      <c r="E105" s="14">
        <v>1300000</v>
      </c>
      <c r="F105" s="14">
        <f t="shared" si="75"/>
        <v>500000</v>
      </c>
      <c r="G105" s="14">
        <f>1162056+137944</f>
        <v>1300000</v>
      </c>
      <c r="H105" s="14">
        <v>890236.86</v>
      </c>
      <c r="I105" s="14">
        <v>91727.45</v>
      </c>
      <c r="J105" s="14"/>
      <c r="K105" s="14">
        <f t="shared" si="76"/>
        <v>91727.45</v>
      </c>
      <c r="L105" s="14">
        <f t="shared" si="77"/>
        <v>981964.30999999994</v>
      </c>
      <c r="M105" s="14">
        <f t="shared" si="78"/>
        <v>318035.69000000006</v>
      </c>
      <c r="N105" s="14">
        <v>400000</v>
      </c>
      <c r="O105" s="14">
        <f t="shared" si="79"/>
        <v>100000</v>
      </c>
      <c r="P105" s="14">
        <f t="shared" si="80"/>
        <v>318035.69000000006</v>
      </c>
      <c r="Q105" s="14"/>
      <c r="R105" s="14"/>
      <c r="S105" s="14">
        <f t="shared" si="81"/>
        <v>0</v>
      </c>
      <c r="T105" s="14">
        <f t="shared" si="82"/>
        <v>0</v>
      </c>
      <c r="U105" s="14">
        <f t="shared" si="83"/>
        <v>400000</v>
      </c>
      <c r="V105" s="14">
        <f t="shared" si="84"/>
        <v>400000</v>
      </c>
      <c r="W105" s="14"/>
      <c r="X105" s="14"/>
      <c r="Y105" s="13"/>
      <c r="Z105" s="13"/>
      <c r="AA105" s="13"/>
      <c r="AB105" s="241">
        <f t="shared" ref="AB105:AB119" si="89">SUM(Z105:AA105)</f>
        <v>0</v>
      </c>
      <c r="AC105" s="13"/>
      <c r="AD105" s="13"/>
      <c r="AE105" s="241">
        <f t="shared" ref="AE105:AE119" si="90">SUM(AC105:AD105)</f>
        <v>0</v>
      </c>
      <c r="AF105" s="13"/>
      <c r="AG105" s="13"/>
      <c r="AH105" s="241">
        <f t="shared" ref="AH105:AH119" si="91">SUM(AF105:AG105)</f>
        <v>0</v>
      </c>
      <c r="AI105" s="13"/>
      <c r="AJ105" s="13"/>
      <c r="AK105" s="241">
        <f t="shared" ref="AK105:AK119" si="92">SUM(AI105:AJ105)</f>
        <v>0</v>
      </c>
      <c r="AL105" s="13"/>
      <c r="AM105" s="13"/>
      <c r="AN105" s="241">
        <f t="shared" ref="AN105:AN119" si="93">SUM(AL105:AM105)</f>
        <v>0</v>
      </c>
      <c r="AO105" s="13"/>
      <c r="AP105" s="13"/>
      <c r="AQ105" s="241">
        <f t="shared" ref="AQ105:AQ119" si="94">SUM(AO105:AP105)</f>
        <v>0</v>
      </c>
      <c r="AR105" s="13"/>
      <c r="AS105" s="13"/>
      <c r="AT105" s="241">
        <f t="shared" ref="AT105:AT119" si="95">SUM(AR105:AS105)</f>
        <v>0</v>
      </c>
      <c r="AU105" s="13"/>
      <c r="AV105" s="13"/>
      <c r="AW105" s="241">
        <f t="shared" ref="AW105:AW119" si="96">SUM(AU105:AV105)</f>
        <v>0</v>
      </c>
      <c r="AX105" s="13"/>
      <c r="AY105" s="13"/>
      <c r="AZ105" s="241">
        <f t="shared" ref="AZ105:AZ119" si="97">SUM(AX105:AY105)</f>
        <v>0</v>
      </c>
      <c r="BA105" s="13"/>
      <c r="BB105" s="13"/>
      <c r="BC105" s="241">
        <f t="shared" ref="BC105:BC119" si="98">SUM(BA105:BB105)</f>
        <v>0</v>
      </c>
      <c r="BD105" s="13"/>
      <c r="BE105" s="13"/>
      <c r="BF105" s="241">
        <f t="shared" ref="BF105:BF119" si="99">SUM(BD105:BE105)</f>
        <v>0</v>
      </c>
      <c r="BG105" s="242">
        <f t="shared" ref="BG105:BG119" si="100">BF105+AB105+AE105+AH105+AK105+AN105+AQ105+AT105+AW105+AZ105+BC105</f>
        <v>0</v>
      </c>
      <c r="BH105" s="242"/>
      <c r="BI105" s="242">
        <f t="shared" ref="BI105:BI119" si="101">BG105+BH105</f>
        <v>0</v>
      </c>
      <c r="BJ105" s="242">
        <f t="shared" si="85"/>
        <v>400000</v>
      </c>
      <c r="BK105" s="242">
        <f t="shared" si="86"/>
        <v>0</v>
      </c>
      <c r="BL105" s="241">
        <f t="shared" si="87"/>
        <v>0</v>
      </c>
      <c r="BM105" s="241">
        <f t="shared" si="88"/>
        <v>0</v>
      </c>
      <c r="BN105" s="242">
        <f t="shared" ref="BN105:BN119" si="102">BH105-BO105-BP105</f>
        <v>0</v>
      </c>
      <c r="BO105" s="241"/>
      <c r="BP105" s="241"/>
      <c r="BQ105" s="242">
        <f t="shared" ref="BQ105:BQ119" si="103">BJ105-BR105-BS105</f>
        <v>400000</v>
      </c>
      <c r="BR105" s="241"/>
      <c r="BS105" s="241"/>
      <c r="BT105" s="13">
        <v>732000</v>
      </c>
      <c r="BU105" s="15"/>
    </row>
    <row r="106" spans="1:84" s="15" customFormat="1">
      <c r="A106" s="13">
        <f t="shared" ref="A106:A119" si="104">A105+1</f>
        <v>94</v>
      </c>
      <c r="B106" s="394">
        <v>1467</v>
      </c>
      <c r="C106" s="394" t="s">
        <v>793</v>
      </c>
      <c r="D106" s="14">
        <v>450000</v>
      </c>
      <c r="E106" s="14">
        <v>450000</v>
      </c>
      <c r="F106" s="14">
        <f t="shared" si="75"/>
        <v>0</v>
      </c>
      <c r="G106" s="14">
        <v>350000</v>
      </c>
      <c r="H106" s="14">
        <v>163685.64000000001</v>
      </c>
      <c r="I106" s="14"/>
      <c r="J106" s="14"/>
      <c r="K106" s="14">
        <f t="shared" si="76"/>
        <v>0</v>
      </c>
      <c r="L106" s="14">
        <f t="shared" si="77"/>
        <v>163685.64000000001</v>
      </c>
      <c r="M106" s="14">
        <f t="shared" si="78"/>
        <v>186314.36</v>
      </c>
      <c r="N106" s="14"/>
      <c r="O106" s="14">
        <f t="shared" si="79"/>
        <v>100000</v>
      </c>
      <c r="P106" s="14">
        <f t="shared" si="80"/>
        <v>186314.36</v>
      </c>
      <c r="Q106" s="14"/>
      <c r="R106" s="14"/>
      <c r="S106" s="14">
        <f t="shared" si="81"/>
        <v>0</v>
      </c>
      <c r="T106" s="14">
        <f t="shared" si="82"/>
        <v>0</v>
      </c>
      <c r="U106" s="14">
        <f t="shared" si="83"/>
        <v>0</v>
      </c>
      <c r="V106" s="14">
        <f t="shared" si="84"/>
        <v>0</v>
      </c>
      <c r="W106" s="14"/>
      <c r="X106" s="14"/>
      <c r="Y106" s="13"/>
      <c r="Z106" s="13"/>
      <c r="AA106" s="13"/>
      <c r="AB106" s="241">
        <f t="shared" si="89"/>
        <v>0</v>
      </c>
      <c r="AC106" s="13"/>
      <c r="AD106" s="13"/>
      <c r="AE106" s="241">
        <f t="shared" si="90"/>
        <v>0</v>
      </c>
      <c r="AF106" s="13"/>
      <c r="AG106" s="13"/>
      <c r="AH106" s="241">
        <f t="shared" si="91"/>
        <v>0</v>
      </c>
      <c r="AI106" s="13"/>
      <c r="AJ106" s="13"/>
      <c r="AK106" s="241">
        <f t="shared" si="92"/>
        <v>0</v>
      </c>
      <c r="AL106" s="13"/>
      <c r="AM106" s="13"/>
      <c r="AN106" s="241">
        <f t="shared" si="93"/>
        <v>0</v>
      </c>
      <c r="AO106" s="13"/>
      <c r="AP106" s="13"/>
      <c r="AQ106" s="241">
        <f t="shared" si="94"/>
        <v>0</v>
      </c>
      <c r="AR106" s="13"/>
      <c r="AS106" s="13"/>
      <c r="AT106" s="241">
        <f t="shared" si="95"/>
        <v>0</v>
      </c>
      <c r="AU106" s="13"/>
      <c r="AV106" s="13"/>
      <c r="AW106" s="241">
        <f t="shared" si="96"/>
        <v>0</v>
      </c>
      <c r="AX106" s="13"/>
      <c r="AY106" s="13"/>
      <c r="AZ106" s="241">
        <f t="shared" si="97"/>
        <v>0</v>
      </c>
      <c r="BA106" s="13"/>
      <c r="BB106" s="13"/>
      <c r="BC106" s="241">
        <f t="shared" si="98"/>
        <v>0</v>
      </c>
      <c r="BD106" s="13"/>
      <c r="BE106" s="13"/>
      <c r="BF106" s="241">
        <f t="shared" si="99"/>
        <v>0</v>
      </c>
      <c r="BG106" s="242">
        <f t="shared" si="100"/>
        <v>0</v>
      </c>
      <c r="BH106" s="242"/>
      <c r="BI106" s="242">
        <f t="shared" si="101"/>
        <v>0</v>
      </c>
      <c r="BJ106" s="242">
        <f t="shared" si="85"/>
        <v>0</v>
      </c>
      <c r="BK106" s="242">
        <f t="shared" si="86"/>
        <v>0</v>
      </c>
      <c r="BL106" s="241">
        <f t="shared" si="87"/>
        <v>0</v>
      </c>
      <c r="BM106" s="241">
        <f t="shared" si="88"/>
        <v>0</v>
      </c>
      <c r="BN106" s="242">
        <f t="shared" si="102"/>
        <v>0</v>
      </c>
      <c r="BO106" s="241"/>
      <c r="BP106" s="241"/>
      <c r="BQ106" s="242">
        <f t="shared" si="103"/>
        <v>0</v>
      </c>
      <c r="BR106" s="241"/>
      <c r="BS106" s="241"/>
      <c r="BT106" s="13">
        <v>732000</v>
      </c>
    </row>
    <row r="107" spans="1:84" s="15" customFormat="1">
      <c r="A107" s="13">
        <f t="shared" si="104"/>
        <v>95</v>
      </c>
      <c r="B107" s="13">
        <v>1527</v>
      </c>
      <c r="C107" s="13" t="s">
        <v>681</v>
      </c>
      <c r="D107" s="14">
        <v>3000000</v>
      </c>
      <c r="E107" s="14">
        <v>3000000</v>
      </c>
      <c r="F107" s="14">
        <f t="shared" si="75"/>
        <v>0</v>
      </c>
      <c r="G107" s="14">
        <v>3000000</v>
      </c>
      <c r="H107" s="14">
        <v>815200.42</v>
      </c>
      <c r="I107" s="14">
        <v>60940.1</v>
      </c>
      <c r="J107" s="14">
        <v>750480.05</v>
      </c>
      <c r="K107" s="14">
        <f t="shared" si="76"/>
        <v>811420.15</v>
      </c>
      <c r="L107" s="14">
        <f t="shared" si="77"/>
        <v>1626620.57</v>
      </c>
      <c r="M107" s="14">
        <f>P107+S107-1000000</f>
        <v>373379.42999999993</v>
      </c>
      <c r="N107" s="14"/>
      <c r="O107" s="14">
        <f t="shared" si="79"/>
        <v>1000000</v>
      </c>
      <c r="P107" s="14">
        <f t="shared" si="80"/>
        <v>1373379.43</v>
      </c>
      <c r="Q107" s="14"/>
      <c r="R107" s="14"/>
      <c r="S107" s="14">
        <f t="shared" si="81"/>
        <v>0</v>
      </c>
      <c r="T107" s="14">
        <f t="shared" si="82"/>
        <v>1000000</v>
      </c>
      <c r="U107" s="14">
        <f t="shared" si="83"/>
        <v>-1000000</v>
      </c>
      <c r="V107" s="14">
        <f t="shared" si="84"/>
        <v>-1000000</v>
      </c>
      <c r="W107" s="14"/>
      <c r="X107" s="14"/>
      <c r="Y107" s="13"/>
      <c r="Z107" s="242"/>
      <c r="AA107" s="242">
        <v>-1000000</v>
      </c>
      <c r="AB107" s="242">
        <f t="shared" si="89"/>
        <v>-1000000</v>
      </c>
      <c r="AC107" s="242"/>
      <c r="AD107" s="242"/>
      <c r="AE107" s="242">
        <f t="shared" si="90"/>
        <v>0</v>
      </c>
      <c r="AF107" s="242"/>
      <c r="AG107" s="242"/>
      <c r="AH107" s="242">
        <f t="shared" si="91"/>
        <v>0</v>
      </c>
      <c r="AI107" s="242"/>
      <c r="AJ107" s="242"/>
      <c r="AK107" s="242">
        <f t="shared" si="92"/>
        <v>0</v>
      </c>
      <c r="AL107" s="242"/>
      <c r="AM107" s="242"/>
      <c r="AN107" s="242">
        <f t="shared" si="93"/>
        <v>0</v>
      </c>
      <c r="AO107" s="242"/>
      <c r="AP107" s="242"/>
      <c r="AQ107" s="242">
        <f t="shared" si="94"/>
        <v>0</v>
      </c>
      <c r="AR107" s="242"/>
      <c r="AS107" s="242"/>
      <c r="AT107" s="242">
        <f t="shared" si="95"/>
        <v>0</v>
      </c>
      <c r="AU107" s="242"/>
      <c r="AV107" s="242"/>
      <c r="AW107" s="242">
        <f t="shared" si="96"/>
        <v>0</v>
      </c>
      <c r="AX107" s="242"/>
      <c r="AY107" s="242"/>
      <c r="AZ107" s="242">
        <f t="shared" si="97"/>
        <v>0</v>
      </c>
      <c r="BA107" s="242"/>
      <c r="BB107" s="242"/>
      <c r="BC107" s="242">
        <f t="shared" si="98"/>
        <v>0</v>
      </c>
      <c r="BD107" s="242"/>
      <c r="BE107" s="242"/>
      <c r="BF107" s="242">
        <f t="shared" si="99"/>
        <v>0</v>
      </c>
      <c r="BG107" s="242">
        <f t="shared" si="100"/>
        <v>-1000000</v>
      </c>
      <c r="BH107" s="242"/>
      <c r="BI107" s="242">
        <f t="shared" si="101"/>
        <v>-1000000</v>
      </c>
      <c r="BJ107" s="242">
        <f t="shared" si="85"/>
        <v>0</v>
      </c>
      <c r="BK107" s="242">
        <f t="shared" si="86"/>
        <v>-1000000</v>
      </c>
      <c r="BL107" s="242">
        <f t="shared" si="87"/>
        <v>0</v>
      </c>
      <c r="BM107" s="242">
        <f t="shared" si="88"/>
        <v>0</v>
      </c>
      <c r="BN107" s="242">
        <f t="shared" si="102"/>
        <v>0</v>
      </c>
      <c r="BO107" s="241"/>
      <c r="BP107" s="241"/>
      <c r="BQ107" s="242">
        <f t="shared" si="103"/>
        <v>0</v>
      </c>
      <c r="BR107" s="241"/>
      <c r="BS107" s="241"/>
      <c r="BT107" s="13">
        <v>732000</v>
      </c>
    </row>
    <row r="108" spans="1:84" s="15" customFormat="1">
      <c r="A108" s="13">
        <f t="shared" si="104"/>
        <v>96</v>
      </c>
      <c r="B108" s="13">
        <v>1660</v>
      </c>
      <c r="C108" s="13" t="s">
        <v>23</v>
      </c>
      <c r="D108" s="14">
        <v>2000000</v>
      </c>
      <c r="E108" s="14">
        <v>2000000</v>
      </c>
      <c r="F108" s="14">
        <f t="shared" si="75"/>
        <v>0</v>
      </c>
      <c r="G108" s="14">
        <v>150000</v>
      </c>
      <c r="H108" s="14">
        <v>85408</v>
      </c>
      <c r="I108" s="14"/>
      <c r="J108" s="14"/>
      <c r="K108" s="14">
        <f t="shared" si="76"/>
        <v>0</v>
      </c>
      <c r="L108" s="14">
        <f t="shared" si="77"/>
        <v>85408</v>
      </c>
      <c r="M108" s="14">
        <f t="shared" si="78"/>
        <v>64592</v>
      </c>
      <c r="N108" s="14"/>
      <c r="O108" s="14">
        <f t="shared" si="79"/>
        <v>1850000</v>
      </c>
      <c r="P108" s="14">
        <f t="shared" si="80"/>
        <v>64592</v>
      </c>
      <c r="Q108" s="14"/>
      <c r="R108" s="14"/>
      <c r="S108" s="14">
        <f t="shared" si="81"/>
        <v>0</v>
      </c>
      <c r="T108" s="14">
        <f t="shared" si="82"/>
        <v>0</v>
      </c>
      <c r="U108" s="14">
        <f t="shared" si="83"/>
        <v>0</v>
      </c>
      <c r="V108" s="14">
        <f t="shared" si="84"/>
        <v>0</v>
      </c>
      <c r="W108" s="14"/>
      <c r="X108" s="14"/>
      <c r="Y108" s="14"/>
      <c r="Z108" s="242"/>
      <c r="AA108" s="242"/>
      <c r="AB108" s="242">
        <f t="shared" si="89"/>
        <v>0</v>
      </c>
      <c r="AC108" s="242"/>
      <c r="AD108" s="242"/>
      <c r="AE108" s="242">
        <f t="shared" si="90"/>
        <v>0</v>
      </c>
      <c r="AF108" s="242"/>
      <c r="AG108" s="242"/>
      <c r="AH108" s="242">
        <f t="shared" si="91"/>
        <v>0</v>
      </c>
      <c r="AI108" s="242"/>
      <c r="AJ108" s="242"/>
      <c r="AK108" s="242">
        <f t="shared" si="92"/>
        <v>0</v>
      </c>
      <c r="AL108" s="242"/>
      <c r="AM108" s="242"/>
      <c r="AN108" s="242">
        <f t="shared" si="93"/>
        <v>0</v>
      </c>
      <c r="AO108" s="242"/>
      <c r="AP108" s="242"/>
      <c r="AQ108" s="242">
        <f t="shared" si="94"/>
        <v>0</v>
      </c>
      <c r="AR108" s="242"/>
      <c r="AS108" s="242"/>
      <c r="AT108" s="242">
        <f t="shared" si="95"/>
        <v>0</v>
      </c>
      <c r="AU108" s="242"/>
      <c r="AV108" s="242"/>
      <c r="AW108" s="242">
        <f t="shared" si="96"/>
        <v>0</v>
      </c>
      <c r="AX108" s="242"/>
      <c r="AY108" s="242"/>
      <c r="AZ108" s="242">
        <f t="shared" si="97"/>
        <v>0</v>
      </c>
      <c r="BA108" s="242"/>
      <c r="BB108" s="242"/>
      <c r="BC108" s="242">
        <f t="shared" si="98"/>
        <v>0</v>
      </c>
      <c r="BD108" s="242"/>
      <c r="BE108" s="242"/>
      <c r="BF108" s="242">
        <f t="shared" si="99"/>
        <v>0</v>
      </c>
      <c r="BG108" s="242">
        <f t="shared" si="100"/>
        <v>0</v>
      </c>
      <c r="BH108" s="242"/>
      <c r="BI108" s="242">
        <f t="shared" si="101"/>
        <v>0</v>
      </c>
      <c r="BJ108" s="242">
        <f t="shared" si="85"/>
        <v>0</v>
      </c>
      <c r="BK108" s="242">
        <f t="shared" si="86"/>
        <v>0</v>
      </c>
      <c r="BL108" s="242">
        <f t="shared" si="87"/>
        <v>0</v>
      </c>
      <c r="BM108" s="242">
        <f t="shared" si="88"/>
        <v>0</v>
      </c>
      <c r="BN108" s="242">
        <f t="shared" si="102"/>
        <v>0</v>
      </c>
      <c r="BO108" s="241"/>
      <c r="BP108" s="241"/>
      <c r="BQ108" s="242">
        <f t="shared" si="103"/>
        <v>0</v>
      </c>
      <c r="BR108" s="241"/>
      <c r="BS108" s="241"/>
      <c r="BT108" s="13">
        <v>732000</v>
      </c>
    </row>
    <row r="109" spans="1:84" s="15" customFormat="1" ht="15.75">
      <c r="A109" s="13">
        <f t="shared" si="104"/>
        <v>97</v>
      </c>
      <c r="B109" s="13">
        <v>1674</v>
      </c>
      <c r="C109" s="13" t="s">
        <v>24</v>
      </c>
      <c r="D109" s="14">
        <v>2000000</v>
      </c>
      <c r="E109" s="14">
        <v>1800000</v>
      </c>
      <c r="F109" s="14">
        <f t="shared" si="75"/>
        <v>200000</v>
      </c>
      <c r="G109" s="14">
        <f>1500000+300000</f>
        <v>1800000</v>
      </c>
      <c r="H109" s="14">
        <v>559631.66</v>
      </c>
      <c r="I109" s="14">
        <v>351524.7</v>
      </c>
      <c r="J109" s="14">
        <v>428400.68</v>
      </c>
      <c r="K109" s="14">
        <f t="shared" si="76"/>
        <v>779925.38</v>
      </c>
      <c r="L109" s="14">
        <f t="shared" si="77"/>
        <v>1339557.04</v>
      </c>
      <c r="M109" s="14">
        <f t="shared" si="78"/>
        <v>460442.95999999996</v>
      </c>
      <c r="N109" s="14">
        <v>200000</v>
      </c>
      <c r="O109" s="14">
        <f t="shared" si="79"/>
        <v>0</v>
      </c>
      <c r="P109" s="14">
        <f t="shared" si="80"/>
        <v>460442.95999999996</v>
      </c>
      <c r="Q109" s="14"/>
      <c r="R109" s="14"/>
      <c r="S109" s="14">
        <f t="shared" si="81"/>
        <v>0</v>
      </c>
      <c r="T109" s="14">
        <f t="shared" si="82"/>
        <v>0</v>
      </c>
      <c r="U109" s="14">
        <f t="shared" si="83"/>
        <v>200000</v>
      </c>
      <c r="V109" s="14">
        <f t="shared" si="84"/>
        <v>200000</v>
      </c>
      <c r="W109" s="14"/>
      <c r="X109" s="14"/>
      <c r="Y109" s="14"/>
      <c r="Z109" s="242"/>
      <c r="AA109" s="242"/>
      <c r="AB109" s="242">
        <f t="shared" si="89"/>
        <v>0</v>
      </c>
      <c r="AC109" s="242"/>
      <c r="AD109" s="242"/>
      <c r="AE109" s="242">
        <f t="shared" si="90"/>
        <v>0</v>
      </c>
      <c r="AF109" s="242"/>
      <c r="AG109" s="242"/>
      <c r="AH109" s="242">
        <f t="shared" si="91"/>
        <v>0</v>
      </c>
      <c r="AI109" s="242"/>
      <c r="AJ109" s="242"/>
      <c r="AK109" s="242">
        <f t="shared" si="92"/>
        <v>0</v>
      </c>
      <c r="AL109" s="242"/>
      <c r="AM109" s="242"/>
      <c r="AN109" s="242">
        <f t="shared" si="93"/>
        <v>0</v>
      </c>
      <c r="AO109" s="242"/>
      <c r="AP109" s="242"/>
      <c r="AQ109" s="242">
        <f t="shared" si="94"/>
        <v>0</v>
      </c>
      <c r="AR109" s="242"/>
      <c r="AS109" s="242"/>
      <c r="AT109" s="242">
        <f t="shared" si="95"/>
        <v>0</v>
      </c>
      <c r="AU109" s="242"/>
      <c r="AV109" s="242"/>
      <c r="AW109" s="242">
        <f t="shared" si="96"/>
        <v>0</v>
      </c>
      <c r="AX109" s="242"/>
      <c r="AY109" s="242"/>
      <c r="AZ109" s="242">
        <f t="shared" si="97"/>
        <v>0</v>
      </c>
      <c r="BA109" s="242"/>
      <c r="BB109" s="242"/>
      <c r="BC109" s="242">
        <f t="shared" si="98"/>
        <v>0</v>
      </c>
      <c r="BD109" s="242"/>
      <c r="BE109" s="242"/>
      <c r="BF109" s="242">
        <f t="shared" si="99"/>
        <v>0</v>
      </c>
      <c r="BG109" s="242">
        <f t="shared" si="100"/>
        <v>0</v>
      </c>
      <c r="BH109" s="242"/>
      <c r="BI109" s="242">
        <f t="shared" si="101"/>
        <v>0</v>
      </c>
      <c r="BJ109" s="242">
        <f t="shared" si="85"/>
        <v>200000</v>
      </c>
      <c r="BK109" s="242">
        <f t="shared" si="86"/>
        <v>0</v>
      </c>
      <c r="BL109" s="242">
        <f t="shared" si="87"/>
        <v>0</v>
      </c>
      <c r="BM109" s="242">
        <f t="shared" si="88"/>
        <v>0</v>
      </c>
      <c r="BN109" s="242">
        <f t="shared" si="102"/>
        <v>0</v>
      </c>
      <c r="BO109" s="241"/>
      <c r="BP109" s="241"/>
      <c r="BQ109" s="242">
        <f t="shared" si="103"/>
        <v>200000</v>
      </c>
      <c r="BR109" s="241"/>
      <c r="BS109" s="241"/>
      <c r="BT109" s="13">
        <v>732000</v>
      </c>
      <c r="BV109" s="17"/>
      <c r="BW109" s="17"/>
      <c r="BX109" s="17"/>
      <c r="BY109" s="17"/>
      <c r="BZ109" s="17"/>
    </row>
    <row r="110" spans="1:84" s="397" customFormat="1" ht="15.75">
      <c r="A110" s="13">
        <f t="shared" si="104"/>
        <v>98</v>
      </c>
      <c r="B110" s="241">
        <v>1692</v>
      </c>
      <c r="C110" s="241" t="s">
        <v>25</v>
      </c>
      <c r="D110" s="14">
        <v>2000000</v>
      </c>
      <c r="E110" s="242">
        <v>2000000</v>
      </c>
      <c r="F110" s="242">
        <f t="shared" si="75"/>
        <v>0</v>
      </c>
      <c r="G110" s="242">
        <v>1439186</v>
      </c>
      <c r="H110" s="242">
        <v>224094.42</v>
      </c>
      <c r="I110" s="242">
        <v>144231.63</v>
      </c>
      <c r="J110" s="242">
        <v>15863.38</v>
      </c>
      <c r="K110" s="242">
        <f t="shared" si="76"/>
        <v>160095.01</v>
      </c>
      <c r="L110" s="242">
        <f t="shared" si="77"/>
        <v>384189.43000000005</v>
      </c>
      <c r="M110" s="14">
        <f t="shared" si="78"/>
        <v>1054996.5699999998</v>
      </c>
      <c r="N110" s="14"/>
      <c r="O110" s="14">
        <f t="shared" si="79"/>
        <v>560814</v>
      </c>
      <c r="P110" s="14">
        <f t="shared" si="80"/>
        <v>1054996.5699999998</v>
      </c>
      <c r="Q110" s="14"/>
      <c r="R110" s="14"/>
      <c r="S110" s="14">
        <f t="shared" si="81"/>
        <v>0</v>
      </c>
      <c r="T110" s="14">
        <f t="shared" si="82"/>
        <v>0</v>
      </c>
      <c r="U110" s="14">
        <f t="shared" si="83"/>
        <v>0</v>
      </c>
      <c r="V110" s="242">
        <f t="shared" si="84"/>
        <v>0</v>
      </c>
      <c r="W110" s="242"/>
      <c r="X110" s="242"/>
      <c r="Y110" s="242"/>
      <c r="Z110" s="242"/>
      <c r="AA110" s="242"/>
      <c r="AB110" s="242">
        <f t="shared" si="89"/>
        <v>0</v>
      </c>
      <c r="AC110" s="242"/>
      <c r="AD110" s="242"/>
      <c r="AE110" s="242">
        <f t="shared" si="90"/>
        <v>0</v>
      </c>
      <c r="AF110" s="242"/>
      <c r="AG110" s="242"/>
      <c r="AH110" s="242">
        <f t="shared" si="91"/>
        <v>0</v>
      </c>
      <c r="AI110" s="242"/>
      <c r="AJ110" s="242"/>
      <c r="AK110" s="242">
        <f t="shared" si="92"/>
        <v>0</v>
      </c>
      <c r="AL110" s="242"/>
      <c r="AM110" s="242"/>
      <c r="AN110" s="242">
        <f t="shared" si="93"/>
        <v>0</v>
      </c>
      <c r="AO110" s="242"/>
      <c r="AP110" s="242"/>
      <c r="AQ110" s="242">
        <f t="shared" si="94"/>
        <v>0</v>
      </c>
      <c r="AR110" s="242"/>
      <c r="AS110" s="242"/>
      <c r="AT110" s="242">
        <f t="shared" si="95"/>
        <v>0</v>
      </c>
      <c r="AU110" s="242"/>
      <c r="AV110" s="242"/>
      <c r="AW110" s="242">
        <f t="shared" si="96"/>
        <v>0</v>
      </c>
      <c r="AX110" s="242"/>
      <c r="AY110" s="242"/>
      <c r="AZ110" s="242">
        <f t="shared" si="97"/>
        <v>0</v>
      </c>
      <c r="BA110" s="242"/>
      <c r="BB110" s="242"/>
      <c r="BC110" s="242">
        <f t="shared" si="98"/>
        <v>0</v>
      </c>
      <c r="BD110" s="242"/>
      <c r="BE110" s="242"/>
      <c r="BF110" s="242">
        <f t="shared" si="99"/>
        <v>0</v>
      </c>
      <c r="BG110" s="242">
        <f t="shared" si="100"/>
        <v>0</v>
      </c>
      <c r="BH110" s="242"/>
      <c r="BI110" s="242">
        <f t="shared" si="101"/>
        <v>0</v>
      </c>
      <c r="BJ110" s="242">
        <f t="shared" si="85"/>
        <v>0</v>
      </c>
      <c r="BK110" s="242">
        <f t="shared" si="86"/>
        <v>0</v>
      </c>
      <c r="BL110" s="242">
        <f t="shared" si="87"/>
        <v>0</v>
      </c>
      <c r="BM110" s="242">
        <f t="shared" si="88"/>
        <v>0</v>
      </c>
      <c r="BN110" s="242">
        <f t="shared" si="102"/>
        <v>0</v>
      </c>
      <c r="BO110" s="241"/>
      <c r="BP110" s="241"/>
      <c r="BQ110" s="242">
        <f t="shared" si="103"/>
        <v>0</v>
      </c>
      <c r="BR110" s="241"/>
      <c r="BS110" s="241"/>
      <c r="BT110" s="241">
        <v>732000</v>
      </c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</row>
    <row r="111" spans="1:84" s="244" customFormat="1" ht="15.75" customHeight="1">
      <c r="A111" s="13">
        <f t="shared" si="104"/>
        <v>99</v>
      </c>
      <c r="B111" s="241">
        <v>1693</v>
      </c>
      <c r="C111" s="241" t="s">
        <v>260</v>
      </c>
      <c r="D111" s="14">
        <v>4500000</v>
      </c>
      <c r="E111" s="242">
        <v>4500000</v>
      </c>
      <c r="F111" s="242">
        <f t="shared" si="75"/>
        <v>0</v>
      </c>
      <c r="G111" s="242">
        <v>105000</v>
      </c>
      <c r="H111" s="242">
        <v>2000.01</v>
      </c>
      <c r="I111" s="242"/>
      <c r="J111" s="242">
        <v>96876</v>
      </c>
      <c r="K111" s="242">
        <f t="shared" si="76"/>
        <v>96876</v>
      </c>
      <c r="L111" s="242">
        <f t="shared" si="77"/>
        <v>98876.01</v>
      </c>
      <c r="M111" s="14">
        <f t="shared" si="78"/>
        <v>6123.9900000000052</v>
      </c>
      <c r="N111" s="14"/>
      <c r="O111" s="14">
        <f t="shared" si="79"/>
        <v>4395000</v>
      </c>
      <c r="P111" s="14">
        <f t="shared" si="80"/>
        <v>6123.9900000000052</v>
      </c>
      <c r="Q111" s="14"/>
      <c r="R111" s="14"/>
      <c r="S111" s="14">
        <f t="shared" si="81"/>
        <v>0</v>
      </c>
      <c r="T111" s="14">
        <f t="shared" si="82"/>
        <v>0</v>
      </c>
      <c r="U111" s="14">
        <f t="shared" si="83"/>
        <v>0</v>
      </c>
      <c r="V111" s="242">
        <f t="shared" si="84"/>
        <v>0</v>
      </c>
      <c r="W111" s="242"/>
      <c r="X111" s="242"/>
      <c r="Y111" s="242"/>
      <c r="Z111" s="242"/>
      <c r="AA111" s="242"/>
      <c r="AB111" s="242">
        <f t="shared" si="89"/>
        <v>0</v>
      </c>
      <c r="AC111" s="242"/>
      <c r="AD111" s="242"/>
      <c r="AE111" s="242">
        <f t="shared" si="90"/>
        <v>0</v>
      </c>
      <c r="AF111" s="242"/>
      <c r="AG111" s="242"/>
      <c r="AH111" s="242">
        <f t="shared" si="91"/>
        <v>0</v>
      </c>
      <c r="AI111" s="242"/>
      <c r="AJ111" s="242"/>
      <c r="AK111" s="242">
        <f t="shared" si="92"/>
        <v>0</v>
      </c>
      <c r="AL111" s="242"/>
      <c r="AM111" s="242"/>
      <c r="AN111" s="242">
        <f t="shared" si="93"/>
        <v>0</v>
      </c>
      <c r="AO111" s="242"/>
      <c r="AP111" s="242"/>
      <c r="AQ111" s="242">
        <f t="shared" si="94"/>
        <v>0</v>
      </c>
      <c r="AR111" s="242"/>
      <c r="AS111" s="242"/>
      <c r="AT111" s="242">
        <f t="shared" si="95"/>
        <v>0</v>
      </c>
      <c r="AU111" s="242"/>
      <c r="AV111" s="242"/>
      <c r="AW111" s="242">
        <f t="shared" si="96"/>
        <v>0</v>
      </c>
      <c r="AX111" s="242"/>
      <c r="AY111" s="242"/>
      <c r="AZ111" s="242">
        <f t="shared" si="97"/>
        <v>0</v>
      </c>
      <c r="BA111" s="242"/>
      <c r="BB111" s="242"/>
      <c r="BC111" s="242">
        <f t="shared" si="98"/>
        <v>0</v>
      </c>
      <c r="BD111" s="242"/>
      <c r="BE111" s="242"/>
      <c r="BF111" s="242">
        <f t="shared" si="99"/>
        <v>0</v>
      </c>
      <c r="BG111" s="242">
        <f t="shared" si="100"/>
        <v>0</v>
      </c>
      <c r="BH111" s="242"/>
      <c r="BI111" s="242">
        <f t="shared" si="101"/>
        <v>0</v>
      </c>
      <c r="BJ111" s="242">
        <f t="shared" si="85"/>
        <v>0</v>
      </c>
      <c r="BK111" s="242">
        <f t="shared" si="86"/>
        <v>0</v>
      </c>
      <c r="BL111" s="242">
        <f t="shared" si="87"/>
        <v>0</v>
      </c>
      <c r="BM111" s="242">
        <f t="shared" si="88"/>
        <v>0</v>
      </c>
      <c r="BN111" s="242">
        <f t="shared" si="102"/>
        <v>0</v>
      </c>
      <c r="BO111" s="241"/>
      <c r="BP111" s="241"/>
      <c r="BQ111" s="242">
        <f t="shared" si="103"/>
        <v>0</v>
      </c>
      <c r="BR111" s="241"/>
      <c r="BS111" s="241"/>
      <c r="BT111" s="241">
        <v>732000</v>
      </c>
    </row>
    <row r="112" spans="1:84" s="244" customFormat="1" ht="15" customHeight="1">
      <c r="A112" s="13">
        <f t="shared" si="104"/>
        <v>100</v>
      </c>
      <c r="B112" s="241">
        <v>1756</v>
      </c>
      <c r="C112" s="241" t="s">
        <v>27</v>
      </c>
      <c r="D112" s="14">
        <v>500000</v>
      </c>
      <c r="E112" s="242">
        <v>500000</v>
      </c>
      <c r="F112" s="242">
        <f t="shared" si="75"/>
        <v>0</v>
      </c>
      <c r="G112" s="242">
        <v>400000</v>
      </c>
      <c r="H112" s="242">
        <v>74786</v>
      </c>
      <c r="I112" s="242">
        <v>58452.480000000003</v>
      </c>
      <c r="J112" s="242">
        <v>100772</v>
      </c>
      <c r="K112" s="242">
        <f t="shared" si="76"/>
        <v>159224.48000000001</v>
      </c>
      <c r="L112" s="242">
        <f t="shared" si="77"/>
        <v>234010.48</v>
      </c>
      <c r="M112" s="14">
        <f t="shared" si="78"/>
        <v>165989.51999999999</v>
      </c>
      <c r="N112" s="14"/>
      <c r="O112" s="14">
        <f t="shared" si="79"/>
        <v>100000.00000000003</v>
      </c>
      <c r="P112" s="14">
        <f t="shared" si="80"/>
        <v>165989.51999999999</v>
      </c>
      <c r="Q112" s="14"/>
      <c r="R112" s="14"/>
      <c r="S112" s="14">
        <f t="shared" si="81"/>
        <v>0</v>
      </c>
      <c r="T112" s="14">
        <f t="shared" si="82"/>
        <v>0</v>
      </c>
      <c r="U112" s="14">
        <f t="shared" si="83"/>
        <v>0</v>
      </c>
      <c r="V112" s="242">
        <f t="shared" si="84"/>
        <v>0</v>
      </c>
      <c r="W112" s="242"/>
      <c r="X112" s="242"/>
      <c r="Y112" s="242"/>
      <c r="Z112" s="242"/>
      <c r="AA112" s="242"/>
      <c r="AB112" s="242">
        <f t="shared" si="89"/>
        <v>0</v>
      </c>
      <c r="AC112" s="242"/>
      <c r="AD112" s="242"/>
      <c r="AE112" s="242">
        <f t="shared" si="90"/>
        <v>0</v>
      </c>
      <c r="AF112" s="242"/>
      <c r="AG112" s="242"/>
      <c r="AH112" s="242">
        <f t="shared" si="91"/>
        <v>0</v>
      </c>
      <c r="AI112" s="242"/>
      <c r="AJ112" s="242"/>
      <c r="AK112" s="242">
        <f t="shared" si="92"/>
        <v>0</v>
      </c>
      <c r="AL112" s="242"/>
      <c r="AM112" s="242"/>
      <c r="AN112" s="242">
        <f t="shared" si="93"/>
        <v>0</v>
      </c>
      <c r="AO112" s="242"/>
      <c r="AP112" s="242"/>
      <c r="AQ112" s="242">
        <f t="shared" si="94"/>
        <v>0</v>
      </c>
      <c r="AR112" s="242"/>
      <c r="AS112" s="242"/>
      <c r="AT112" s="242">
        <f t="shared" si="95"/>
        <v>0</v>
      </c>
      <c r="AU112" s="242"/>
      <c r="AV112" s="242"/>
      <c r="AW112" s="242">
        <f t="shared" si="96"/>
        <v>0</v>
      </c>
      <c r="AX112" s="242"/>
      <c r="AY112" s="242"/>
      <c r="AZ112" s="242">
        <f t="shared" si="97"/>
        <v>0</v>
      </c>
      <c r="BA112" s="242"/>
      <c r="BB112" s="242"/>
      <c r="BC112" s="242">
        <f t="shared" si="98"/>
        <v>0</v>
      </c>
      <c r="BD112" s="242"/>
      <c r="BE112" s="242"/>
      <c r="BF112" s="242">
        <f t="shared" si="99"/>
        <v>0</v>
      </c>
      <c r="BG112" s="242">
        <f t="shared" si="100"/>
        <v>0</v>
      </c>
      <c r="BH112" s="242"/>
      <c r="BI112" s="242">
        <f t="shared" si="101"/>
        <v>0</v>
      </c>
      <c r="BJ112" s="242">
        <f t="shared" si="85"/>
        <v>0</v>
      </c>
      <c r="BK112" s="242">
        <f t="shared" si="86"/>
        <v>0</v>
      </c>
      <c r="BL112" s="242">
        <f t="shared" si="87"/>
        <v>0</v>
      </c>
      <c r="BM112" s="242">
        <f t="shared" si="88"/>
        <v>0</v>
      </c>
      <c r="BN112" s="242">
        <f t="shared" si="102"/>
        <v>0</v>
      </c>
      <c r="BO112" s="241"/>
      <c r="BP112" s="241"/>
      <c r="BQ112" s="242">
        <f t="shared" si="103"/>
        <v>0</v>
      </c>
      <c r="BR112" s="241"/>
      <c r="BS112" s="241"/>
      <c r="BT112" s="241">
        <v>732000</v>
      </c>
    </row>
    <row r="113" spans="1:72" s="244" customFormat="1">
      <c r="A113" s="13">
        <f t="shared" si="104"/>
        <v>101</v>
      </c>
      <c r="B113" s="241">
        <v>1757</v>
      </c>
      <c r="C113" s="241" t="s">
        <v>28</v>
      </c>
      <c r="D113" s="14">
        <v>300000</v>
      </c>
      <c r="E113" s="242">
        <v>300000</v>
      </c>
      <c r="F113" s="242">
        <f t="shared" si="75"/>
        <v>0</v>
      </c>
      <c r="G113" s="242">
        <v>300000</v>
      </c>
      <c r="H113" s="242">
        <v>0</v>
      </c>
      <c r="I113" s="242"/>
      <c r="J113" s="242">
        <v>11817</v>
      </c>
      <c r="K113" s="242">
        <f t="shared" si="76"/>
        <v>11817</v>
      </c>
      <c r="L113" s="242">
        <f t="shared" si="77"/>
        <v>11817</v>
      </c>
      <c r="M113" s="14">
        <f>P113+S113-190000</f>
        <v>98183</v>
      </c>
      <c r="N113" s="14"/>
      <c r="O113" s="14">
        <f t="shared" si="79"/>
        <v>190000</v>
      </c>
      <c r="P113" s="14">
        <f t="shared" si="80"/>
        <v>288183</v>
      </c>
      <c r="Q113" s="14"/>
      <c r="R113" s="14"/>
      <c r="S113" s="14">
        <f t="shared" si="81"/>
        <v>0</v>
      </c>
      <c r="T113" s="14">
        <f t="shared" si="82"/>
        <v>190000</v>
      </c>
      <c r="U113" s="14">
        <f t="shared" si="83"/>
        <v>-190000</v>
      </c>
      <c r="V113" s="242">
        <f t="shared" si="84"/>
        <v>-190000</v>
      </c>
      <c r="W113" s="242"/>
      <c r="X113" s="242"/>
      <c r="Y113" s="242"/>
      <c r="Z113" s="242"/>
      <c r="AA113" s="242">
        <v>-190000</v>
      </c>
      <c r="AB113" s="242">
        <f t="shared" si="89"/>
        <v>-190000</v>
      </c>
      <c r="AC113" s="242"/>
      <c r="AD113" s="242"/>
      <c r="AE113" s="242">
        <f t="shared" si="90"/>
        <v>0</v>
      </c>
      <c r="AF113" s="242"/>
      <c r="AG113" s="242"/>
      <c r="AH113" s="242">
        <f t="shared" si="91"/>
        <v>0</v>
      </c>
      <c r="AI113" s="242"/>
      <c r="AJ113" s="242"/>
      <c r="AK113" s="242">
        <f t="shared" si="92"/>
        <v>0</v>
      </c>
      <c r="AL113" s="242"/>
      <c r="AM113" s="242"/>
      <c r="AN113" s="242">
        <f t="shared" si="93"/>
        <v>0</v>
      </c>
      <c r="AO113" s="242"/>
      <c r="AP113" s="242"/>
      <c r="AQ113" s="242">
        <f t="shared" si="94"/>
        <v>0</v>
      </c>
      <c r="AR113" s="242"/>
      <c r="AS113" s="242"/>
      <c r="AT113" s="242">
        <f t="shared" si="95"/>
        <v>0</v>
      </c>
      <c r="AU113" s="242"/>
      <c r="AV113" s="242"/>
      <c r="AW113" s="242">
        <f t="shared" si="96"/>
        <v>0</v>
      </c>
      <c r="AX113" s="242"/>
      <c r="AY113" s="242"/>
      <c r="AZ113" s="242">
        <f t="shared" si="97"/>
        <v>0</v>
      </c>
      <c r="BA113" s="242"/>
      <c r="BB113" s="242"/>
      <c r="BC113" s="242">
        <f t="shared" si="98"/>
        <v>0</v>
      </c>
      <c r="BD113" s="242"/>
      <c r="BE113" s="242"/>
      <c r="BF113" s="242">
        <f t="shared" si="99"/>
        <v>0</v>
      </c>
      <c r="BG113" s="242">
        <f t="shared" si="100"/>
        <v>-190000</v>
      </c>
      <c r="BH113" s="242"/>
      <c r="BI113" s="242">
        <f t="shared" si="101"/>
        <v>-190000</v>
      </c>
      <c r="BJ113" s="242">
        <f t="shared" si="85"/>
        <v>0</v>
      </c>
      <c r="BK113" s="242">
        <f t="shared" si="86"/>
        <v>-190000</v>
      </c>
      <c r="BL113" s="242">
        <f t="shared" si="87"/>
        <v>0</v>
      </c>
      <c r="BM113" s="242">
        <f t="shared" si="88"/>
        <v>0</v>
      </c>
      <c r="BN113" s="242">
        <f t="shared" si="102"/>
        <v>0</v>
      </c>
      <c r="BO113" s="241"/>
      <c r="BP113" s="241"/>
      <c r="BQ113" s="242">
        <f t="shared" si="103"/>
        <v>0</v>
      </c>
      <c r="BR113" s="241"/>
      <c r="BS113" s="241"/>
      <c r="BT113" s="241">
        <v>732000</v>
      </c>
    </row>
    <row r="114" spans="1:72" s="244" customFormat="1">
      <c r="A114" s="13">
        <f t="shared" si="104"/>
        <v>102</v>
      </c>
      <c r="B114" s="241">
        <v>1758</v>
      </c>
      <c r="C114" s="241" t="s">
        <v>213</v>
      </c>
      <c r="D114" s="14">
        <v>300000</v>
      </c>
      <c r="E114" s="242">
        <v>300000</v>
      </c>
      <c r="F114" s="242">
        <f t="shared" si="75"/>
        <v>0</v>
      </c>
      <c r="G114" s="242">
        <v>300000</v>
      </c>
      <c r="H114" s="242">
        <v>0</v>
      </c>
      <c r="I114" s="242">
        <v>380.25</v>
      </c>
      <c r="J114" s="242">
        <v>15736.5</v>
      </c>
      <c r="K114" s="242">
        <f t="shared" si="76"/>
        <v>16116.75</v>
      </c>
      <c r="L114" s="242">
        <f t="shared" si="77"/>
        <v>16116.75</v>
      </c>
      <c r="M114" s="14">
        <f>P114+S114-180000</f>
        <v>103883.25</v>
      </c>
      <c r="N114" s="14"/>
      <c r="O114" s="14">
        <f t="shared" si="79"/>
        <v>180000</v>
      </c>
      <c r="P114" s="14">
        <f t="shared" si="80"/>
        <v>283883.25</v>
      </c>
      <c r="Q114" s="14"/>
      <c r="R114" s="14"/>
      <c r="S114" s="14">
        <f t="shared" si="81"/>
        <v>0</v>
      </c>
      <c r="T114" s="14">
        <f t="shared" si="82"/>
        <v>180000</v>
      </c>
      <c r="U114" s="14">
        <f t="shared" si="83"/>
        <v>-180000</v>
      </c>
      <c r="V114" s="242">
        <f t="shared" si="84"/>
        <v>-180000</v>
      </c>
      <c r="W114" s="242"/>
      <c r="X114" s="242"/>
      <c r="Y114" s="242"/>
      <c r="Z114" s="242"/>
      <c r="AA114" s="242">
        <v>-180000</v>
      </c>
      <c r="AB114" s="242">
        <f t="shared" si="89"/>
        <v>-180000</v>
      </c>
      <c r="AC114" s="242"/>
      <c r="AD114" s="242"/>
      <c r="AE114" s="242">
        <f t="shared" si="90"/>
        <v>0</v>
      </c>
      <c r="AF114" s="242"/>
      <c r="AG114" s="242"/>
      <c r="AH114" s="242">
        <f t="shared" si="91"/>
        <v>0</v>
      </c>
      <c r="AI114" s="242"/>
      <c r="AJ114" s="242"/>
      <c r="AK114" s="242">
        <f t="shared" si="92"/>
        <v>0</v>
      </c>
      <c r="AL114" s="242"/>
      <c r="AM114" s="242"/>
      <c r="AN114" s="242">
        <f t="shared" si="93"/>
        <v>0</v>
      </c>
      <c r="AO114" s="242"/>
      <c r="AP114" s="242"/>
      <c r="AQ114" s="242">
        <f t="shared" si="94"/>
        <v>0</v>
      </c>
      <c r="AR114" s="242"/>
      <c r="AS114" s="242"/>
      <c r="AT114" s="242">
        <f t="shared" si="95"/>
        <v>0</v>
      </c>
      <c r="AU114" s="242"/>
      <c r="AV114" s="242"/>
      <c r="AW114" s="242">
        <f t="shared" si="96"/>
        <v>0</v>
      </c>
      <c r="AX114" s="242"/>
      <c r="AY114" s="242"/>
      <c r="AZ114" s="242">
        <f t="shared" si="97"/>
        <v>0</v>
      </c>
      <c r="BA114" s="242"/>
      <c r="BB114" s="242"/>
      <c r="BC114" s="242">
        <f t="shared" si="98"/>
        <v>0</v>
      </c>
      <c r="BD114" s="242"/>
      <c r="BE114" s="242"/>
      <c r="BF114" s="242">
        <f t="shared" si="99"/>
        <v>0</v>
      </c>
      <c r="BG114" s="242">
        <f t="shared" si="100"/>
        <v>-180000</v>
      </c>
      <c r="BH114" s="242"/>
      <c r="BI114" s="242">
        <f t="shared" si="101"/>
        <v>-180000</v>
      </c>
      <c r="BJ114" s="242">
        <f t="shared" si="85"/>
        <v>0</v>
      </c>
      <c r="BK114" s="242">
        <f t="shared" si="86"/>
        <v>-180000</v>
      </c>
      <c r="BL114" s="242">
        <f t="shared" si="87"/>
        <v>0</v>
      </c>
      <c r="BM114" s="242">
        <f t="shared" si="88"/>
        <v>0</v>
      </c>
      <c r="BN114" s="242">
        <f t="shared" si="102"/>
        <v>0</v>
      </c>
      <c r="BO114" s="241"/>
      <c r="BP114" s="241"/>
      <c r="BQ114" s="242">
        <f t="shared" si="103"/>
        <v>0</v>
      </c>
      <c r="BR114" s="241"/>
      <c r="BS114" s="241"/>
      <c r="BT114" s="241">
        <v>732000</v>
      </c>
    </row>
    <row r="115" spans="1:72" s="244" customFormat="1">
      <c r="A115" s="13">
        <f t="shared" si="104"/>
        <v>103</v>
      </c>
      <c r="B115" s="241">
        <v>1759</v>
      </c>
      <c r="C115" s="241" t="s">
        <v>29</v>
      </c>
      <c r="D115" s="14">
        <v>600000</v>
      </c>
      <c r="E115" s="242">
        <v>600000</v>
      </c>
      <c r="F115" s="242">
        <f t="shared" si="75"/>
        <v>0</v>
      </c>
      <c r="G115" s="242">
        <v>500000</v>
      </c>
      <c r="H115" s="242">
        <v>432445</v>
      </c>
      <c r="I115" s="242">
        <v>17151.75</v>
      </c>
      <c r="J115" s="242">
        <v>47210</v>
      </c>
      <c r="K115" s="242">
        <f t="shared" si="76"/>
        <v>64361.75</v>
      </c>
      <c r="L115" s="242">
        <f t="shared" si="77"/>
        <v>496806.75</v>
      </c>
      <c r="M115" s="14">
        <f t="shared" si="78"/>
        <v>3193.25</v>
      </c>
      <c r="N115" s="14"/>
      <c r="O115" s="14">
        <f t="shared" si="79"/>
        <v>100000</v>
      </c>
      <c r="P115" s="14">
        <f t="shared" si="80"/>
        <v>3193.25</v>
      </c>
      <c r="Q115" s="14"/>
      <c r="R115" s="14"/>
      <c r="S115" s="14">
        <f t="shared" si="81"/>
        <v>0</v>
      </c>
      <c r="T115" s="14">
        <f t="shared" si="82"/>
        <v>0</v>
      </c>
      <c r="U115" s="14">
        <f t="shared" si="83"/>
        <v>0</v>
      </c>
      <c r="V115" s="242">
        <f t="shared" si="84"/>
        <v>0</v>
      </c>
      <c r="W115" s="242"/>
      <c r="X115" s="242"/>
      <c r="Y115" s="241"/>
      <c r="Z115" s="242"/>
      <c r="AA115" s="242"/>
      <c r="AB115" s="242">
        <f t="shared" si="89"/>
        <v>0</v>
      </c>
      <c r="AC115" s="242"/>
      <c r="AD115" s="242"/>
      <c r="AE115" s="242">
        <f t="shared" si="90"/>
        <v>0</v>
      </c>
      <c r="AF115" s="242"/>
      <c r="AG115" s="242"/>
      <c r="AH115" s="242">
        <f t="shared" si="91"/>
        <v>0</v>
      </c>
      <c r="AI115" s="242"/>
      <c r="AJ115" s="242"/>
      <c r="AK115" s="242">
        <f t="shared" si="92"/>
        <v>0</v>
      </c>
      <c r="AL115" s="242"/>
      <c r="AM115" s="242"/>
      <c r="AN115" s="242">
        <f t="shared" si="93"/>
        <v>0</v>
      </c>
      <c r="AO115" s="242"/>
      <c r="AP115" s="242"/>
      <c r="AQ115" s="242">
        <f t="shared" si="94"/>
        <v>0</v>
      </c>
      <c r="AR115" s="242"/>
      <c r="AS115" s="242"/>
      <c r="AT115" s="242">
        <f t="shared" si="95"/>
        <v>0</v>
      </c>
      <c r="AU115" s="242"/>
      <c r="AV115" s="242"/>
      <c r="AW115" s="242">
        <f t="shared" si="96"/>
        <v>0</v>
      </c>
      <c r="AX115" s="242"/>
      <c r="AY115" s="242"/>
      <c r="AZ115" s="242">
        <f t="shared" si="97"/>
        <v>0</v>
      </c>
      <c r="BA115" s="242"/>
      <c r="BB115" s="242"/>
      <c r="BC115" s="242">
        <f t="shared" si="98"/>
        <v>0</v>
      </c>
      <c r="BD115" s="242"/>
      <c r="BE115" s="242"/>
      <c r="BF115" s="242">
        <f t="shared" si="99"/>
        <v>0</v>
      </c>
      <c r="BG115" s="242">
        <f t="shared" si="100"/>
        <v>0</v>
      </c>
      <c r="BH115" s="242"/>
      <c r="BI115" s="242">
        <f t="shared" si="101"/>
        <v>0</v>
      </c>
      <c r="BJ115" s="242">
        <f t="shared" si="85"/>
        <v>0</v>
      </c>
      <c r="BK115" s="242">
        <f t="shared" si="86"/>
        <v>0</v>
      </c>
      <c r="BL115" s="242">
        <f t="shared" si="87"/>
        <v>0</v>
      </c>
      <c r="BM115" s="242">
        <f t="shared" si="88"/>
        <v>0</v>
      </c>
      <c r="BN115" s="242">
        <f t="shared" si="102"/>
        <v>0</v>
      </c>
      <c r="BO115" s="241"/>
      <c r="BP115" s="241"/>
      <c r="BQ115" s="242">
        <f t="shared" si="103"/>
        <v>0</v>
      </c>
      <c r="BR115" s="241"/>
      <c r="BS115" s="241"/>
      <c r="BT115" s="241">
        <v>732000</v>
      </c>
    </row>
    <row r="116" spans="1:72" s="244" customFormat="1" ht="30">
      <c r="A116" s="13">
        <f t="shared" si="104"/>
        <v>104</v>
      </c>
      <c r="B116" s="241">
        <v>1761</v>
      </c>
      <c r="C116" s="241" t="s">
        <v>31</v>
      </c>
      <c r="D116" s="14">
        <v>400000</v>
      </c>
      <c r="E116" s="242">
        <v>400000</v>
      </c>
      <c r="F116" s="242">
        <f t="shared" si="75"/>
        <v>0</v>
      </c>
      <c r="G116" s="242">
        <v>150000</v>
      </c>
      <c r="H116" s="242">
        <v>0</v>
      </c>
      <c r="I116" s="242"/>
      <c r="J116" s="242"/>
      <c r="K116" s="242">
        <f t="shared" si="76"/>
        <v>0</v>
      </c>
      <c r="L116" s="242">
        <f t="shared" si="77"/>
        <v>0</v>
      </c>
      <c r="M116" s="14">
        <f t="shared" si="78"/>
        <v>150000</v>
      </c>
      <c r="N116" s="14"/>
      <c r="O116" s="14">
        <f t="shared" si="79"/>
        <v>250000</v>
      </c>
      <c r="P116" s="14">
        <f t="shared" si="80"/>
        <v>150000</v>
      </c>
      <c r="Q116" s="14"/>
      <c r="R116" s="14"/>
      <c r="S116" s="14">
        <f t="shared" si="81"/>
        <v>0</v>
      </c>
      <c r="T116" s="14">
        <f t="shared" si="82"/>
        <v>0</v>
      </c>
      <c r="U116" s="14">
        <f t="shared" si="83"/>
        <v>0</v>
      </c>
      <c r="V116" s="242">
        <f t="shared" si="84"/>
        <v>0</v>
      </c>
      <c r="W116" s="242"/>
      <c r="X116" s="242"/>
      <c r="Y116" s="241"/>
      <c r="Z116" s="242"/>
      <c r="AA116" s="242"/>
      <c r="AB116" s="242">
        <f t="shared" si="89"/>
        <v>0</v>
      </c>
      <c r="AC116" s="242"/>
      <c r="AD116" s="242"/>
      <c r="AE116" s="242">
        <f t="shared" si="90"/>
        <v>0</v>
      </c>
      <c r="AF116" s="242"/>
      <c r="AG116" s="242"/>
      <c r="AH116" s="242">
        <f t="shared" si="91"/>
        <v>0</v>
      </c>
      <c r="AI116" s="242"/>
      <c r="AJ116" s="242"/>
      <c r="AK116" s="242">
        <f t="shared" si="92"/>
        <v>0</v>
      </c>
      <c r="AL116" s="242"/>
      <c r="AM116" s="242"/>
      <c r="AN116" s="242">
        <f t="shared" si="93"/>
        <v>0</v>
      </c>
      <c r="AO116" s="242"/>
      <c r="AP116" s="242"/>
      <c r="AQ116" s="242">
        <f t="shared" si="94"/>
        <v>0</v>
      </c>
      <c r="AR116" s="242"/>
      <c r="AS116" s="242"/>
      <c r="AT116" s="242">
        <f t="shared" si="95"/>
        <v>0</v>
      </c>
      <c r="AU116" s="242"/>
      <c r="AV116" s="242"/>
      <c r="AW116" s="242">
        <f t="shared" si="96"/>
        <v>0</v>
      </c>
      <c r="AX116" s="242"/>
      <c r="AY116" s="242"/>
      <c r="AZ116" s="242">
        <f t="shared" si="97"/>
        <v>0</v>
      </c>
      <c r="BA116" s="242"/>
      <c r="BB116" s="242"/>
      <c r="BC116" s="242">
        <f t="shared" si="98"/>
        <v>0</v>
      </c>
      <c r="BD116" s="242"/>
      <c r="BE116" s="242"/>
      <c r="BF116" s="242">
        <f t="shared" si="99"/>
        <v>0</v>
      </c>
      <c r="BG116" s="242">
        <f t="shared" si="100"/>
        <v>0</v>
      </c>
      <c r="BH116" s="242"/>
      <c r="BI116" s="242">
        <f t="shared" si="101"/>
        <v>0</v>
      </c>
      <c r="BJ116" s="242">
        <f t="shared" si="85"/>
        <v>0</v>
      </c>
      <c r="BK116" s="242">
        <f t="shared" si="86"/>
        <v>0</v>
      </c>
      <c r="BL116" s="242">
        <f t="shared" si="87"/>
        <v>0</v>
      </c>
      <c r="BM116" s="242">
        <f t="shared" si="88"/>
        <v>0</v>
      </c>
      <c r="BN116" s="242">
        <f t="shared" si="102"/>
        <v>0</v>
      </c>
      <c r="BO116" s="241"/>
      <c r="BP116" s="241"/>
      <c r="BQ116" s="242">
        <f t="shared" si="103"/>
        <v>0</v>
      </c>
      <c r="BR116" s="241"/>
      <c r="BS116" s="241"/>
      <c r="BT116" s="241">
        <v>732000</v>
      </c>
    </row>
    <row r="117" spans="1:72" s="244" customFormat="1">
      <c r="A117" s="13">
        <f t="shared" si="104"/>
        <v>105</v>
      </c>
      <c r="B117" s="241">
        <v>1811</v>
      </c>
      <c r="C117" s="241" t="s">
        <v>237</v>
      </c>
      <c r="D117" s="14">
        <v>250000</v>
      </c>
      <c r="E117" s="242">
        <v>250000</v>
      </c>
      <c r="F117" s="242">
        <f t="shared" si="75"/>
        <v>0</v>
      </c>
      <c r="G117" s="242">
        <v>250000</v>
      </c>
      <c r="H117" s="242">
        <v>0</v>
      </c>
      <c r="I117" s="242"/>
      <c r="J117" s="242"/>
      <c r="K117" s="242">
        <f t="shared" si="76"/>
        <v>0</v>
      </c>
      <c r="L117" s="242">
        <f t="shared" si="77"/>
        <v>0</v>
      </c>
      <c r="M117" s="14">
        <f t="shared" si="78"/>
        <v>250000</v>
      </c>
      <c r="N117" s="14"/>
      <c r="O117" s="14">
        <f t="shared" si="79"/>
        <v>0</v>
      </c>
      <c r="P117" s="14">
        <f t="shared" si="80"/>
        <v>250000</v>
      </c>
      <c r="Q117" s="14"/>
      <c r="R117" s="14"/>
      <c r="S117" s="14">
        <f t="shared" si="81"/>
        <v>0</v>
      </c>
      <c r="T117" s="14">
        <f t="shared" si="82"/>
        <v>0</v>
      </c>
      <c r="U117" s="14">
        <f t="shared" si="83"/>
        <v>0</v>
      </c>
      <c r="V117" s="242">
        <f t="shared" si="84"/>
        <v>0</v>
      </c>
      <c r="W117" s="242"/>
      <c r="X117" s="242"/>
      <c r="Y117" s="242"/>
      <c r="Z117" s="242"/>
      <c r="AA117" s="242"/>
      <c r="AB117" s="242">
        <f t="shared" si="89"/>
        <v>0</v>
      </c>
      <c r="AC117" s="242"/>
      <c r="AD117" s="242"/>
      <c r="AE117" s="242">
        <f t="shared" si="90"/>
        <v>0</v>
      </c>
      <c r="AF117" s="242"/>
      <c r="AG117" s="242"/>
      <c r="AH117" s="242">
        <f t="shared" si="91"/>
        <v>0</v>
      </c>
      <c r="AI117" s="242"/>
      <c r="AJ117" s="242"/>
      <c r="AK117" s="242">
        <f t="shared" si="92"/>
        <v>0</v>
      </c>
      <c r="AL117" s="242"/>
      <c r="AM117" s="242"/>
      <c r="AN117" s="242">
        <f t="shared" si="93"/>
        <v>0</v>
      </c>
      <c r="AO117" s="242"/>
      <c r="AP117" s="242"/>
      <c r="AQ117" s="242">
        <f t="shared" si="94"/>
        <v>0</v>
      </c>
      <c r="AR117" s="242"/>
      <c r="AS117" s="242"/>
      <c r="AT117" s="242">
        <f t="shared" si="95"/>
        <v>0</v>
      </c>
      <c r="AU117" s="242"/>
      <c r="AV117" s="242"/>
      <c r="AW117" s="242">
        <f t="shared" si="96"/>
        <v>0</v>
      </c>
      <c r="AX117" s="242"/>
      <c r="AY117" s="242"/>
      <c r="AZ117" s="242">
        <f t="shared" si="97"/>
        <v>0</v>
      </c>
      <c r="BA117" s="242"/>
      <c r="BB117" s="242"/>
      <c r="BC117" s="242">
        <f t="shared" si="98"/>
        <v>0</v>
      </c>
      <c r="BD117" s="242"/>
      <c r="BE117" s="242"/>
      <c r="BF117" s="242">
        <f t="shared" si="99"/>
        <v>0</v>
      </c>
      <c r="BG117" s="242">
        <f t="shared" si="100"/>
        <v>0</v>
      </c>
      <c r="BH117" s="242"/>
      <c r="BI117" s="242">
        <f t="shared" si="101"/>
        <v>0</v>
      </c>
      <c r="BJ117" s="242">
        <f t="shared" si="85"/>
        <v>0</v>
      </c>
      <c r="BK117" s="242">
        <f t="shared" si="86"/>
        <v>0</v>
      </c>
      <c r="BL117" s="242">
        <f t="shared" si="87"/>
        <v>0</v>
      </c>
      <c r="BM117" s="242">
        <f t="shared" si="88"/>
        <v>0</v>
      </c>
      <c r="BN117" s="242">
        <f t="shared" si="102"/>
        <v>0</v>
      </c>
      <c r="BO117" s="241"/>
      <c r="BP117" s="241"/>
      <c r="BQ117" s="242">
        <f t="shared" si="103"/>
        <v>0</v>
      </c>
      <c r="BR117" s="241"/>
      <c r="BS117" s="241"/>
      <c r="BT117" s="241">
        <v>732000</v>
      </c>
    </row>
    <row r="118" spans="1:72" s="244" customFormat="1">
      <c r="A118" s="13">
        <f t="shared" si="104"/>
        <v>106</v>
      </c>
      <c r="B118" s="241">
        <v>1843</v>
      </c>
      <c r="C118" s="241" t="s">
        <v>254</v>
      </c>
      <c r="D118" s="14">
        <v>70000</v>
      </c>
      <c r="E118" s="242">
        <v>70000</v>
      </c>
      <c r="F118" s="242"/>
      <c r="G118" s="242">
        <v>70000</v>
      </c>
      <c r="H118" s="242">
        <v>0</v>
      </c>
      <c r="I118" s="242"/>
      <c r="J118" s="242">
        <v>1.17</v>
      </c>
      <c r="K118" s="242">
        <f t="shared" si="76"/>
        <v>1.17</v>
      </c>
      <c r="L118" s="242">
        <f t="shared" si="77"/>
        <v>1.17</v>
      </c>
      <c r="M118" s="14">
        <f t="shared" si="78"/>
        <v>69998.83</v>
      </c>
      <c r="N118" s="14"/>
      <c r="O118" s="14">
        <f t="shared" si="79"/>
        <v>0</v>
      </c>
      <c r="P118" s="14">
        <f t="shared" si="80"/>
        <v>69998.83</v>
      </c>
      <c r="Q118" s="14"/>
      <c r="R118" s="14"/>
      <c r="S118" s="14">
        <f t="shared" si="81"/>
        <v>0</v>
      </c>
      <c r="T118" s="14">
        <f t="shared" si="82"/>
        <v>0</v>
      </c>
      <c r="U118" s="14">
        <f t="shared" si="83"/>
        <v>0</v>
      </c>
      <c r="V118" s="242">
        <f t="shared" si="84"/>
        <v>0</v>
      </c>
      <c r="W118" s="242"/>
      <c r="X118" s="242"/>
      <c r="Y118" s="241"/>
      <c r="Z118" s="242"/>
      <c r="AA118" s="242"/>
      <c r="AB118" s="242">
        <f t="shared" si="89"/>
        <v>0</v>
      </c>
      <c r="AC118" s="242"/>
      <c r="AD118" s="242"/>
      <c r="AE118" s="242">
        <f t="shared" si="90"/>
        <v>0</v>
      </c>
      <c r="AF118" s="242"/>
      <c r="AG118" s="242"/>
      <c r="AH118" s="242">
        <f t="shared" si="91"/>
        <v>0</v>
      </c>
      <c r="AI118" s="242"/>
      <c r="AJ118" s="242"/>
      <c r="AK118" s="242">
        <f t="shared" si="92"/>
        <v>0</v>
      </c>
      <c r="AL118" s="242"/>
      <c r="AM118" s="242"/>
      <c r="AN118" s="242">
        <f t="shared" si="93"/>
        <v>0</v>
      </c>
      <c r="AO118" s="242"/>
      <c r="AP118" s="242"/>
      <c r="AQ118" s="242">
        <f t="shared" si="94"/>
        <v>0</v>
      </c>
      <c r="AR118" s="242"/>
      <c r="AS118" s="242"/>
      <c r="AT118" s="242">
        <f t="shared" si="95"/>
        <v>0</v>
      </c>
      <c r="AU118" s="242"/>
      <c r="AV118" s="242"/>
      <c r="AW118" s="242">
        <f t="shared" si="96"/>
        <v>0</v>
      </c>
      <c r="AX118" s="242"/>
      <c r="AY118" s="242"/>
      <c r="AZ118" s="242">
        <f t="shared" si="97"/>
        <v>0</v>
      </c>
      <c r="BA118" s="242"/>
      <c r="BB118" s="242"/>
      <c r="BC118" s="242">
        <f t="shared" si="98"/>
        <v>0</v>
      </c>
      <c r="BD118" s="242"/>
      <c r="BE118" s="242"/>
      <c r="BF118" s="242">
        <f t="shared" si="99"/>
        <v>0</v>
      </c>
      <c r="BG118" s="242">
        <f t="shared" si="100"/>
        <v>0</v>
      </c>
      <c r="BH118" s="242"/>
      <c r="BI118" s="242">
        <f t="shared" si="101"/>
        <v>0</v>
      </c>
      <c r="BJ118" s="242">
        <f t="shared" si="85"/>
        <v>0</v>
      </c>
      <c r="BK118" s="242">
        <f t="shared" si="86"/>
        <v>0</v>
      </c>
      <c r="BL118" s="242">
        <f t="shared" si="87"/>
        <v>0</v>
      </c>
      <c r="BM118" s="242">
        <f t="shared" si="88"/>
        <v>0</v>
      </c>
      <c r="BN118" s="242">
        <f t="shared" si="102"/>
        <v>0</v>
      </c>
      <c r="BO118" s="241"/>
      <c r="BP118" s="241"/>
      <c r="BQ118" s="242">
        <f t="shared" si="103"/>
        <v>0</v>
      </c>
      <c r="BR118" s="241"/>
      <c r="BS118" s="241"/>
      <c r="BT118" s="241">
        <v>732000</v>
      </c>
    </row>
    <row r="119" spans="1:72" s="244" customFormat="1">
      <c r="A119" s="13">
        <f t="shared" si="104"/>
        <v>107</v>
      </c>
      <c r="B119" s="241">
        <v>1844</v>
      </c>
      <c r="C119" s="241" t="s">
        <v>255</v>
      </c>
      <c r="D119" s="14">
        <v>732000</v>
      </c>
      <c r="E119" s="242">
        <v>732000</v>
      </c>
      <c r="F119" s="242"/>
      <c r="G119" s="242">
        <v>70000</v>
      </c>
      <c r="H119" s="242">
        <v>0</v>
      </c>
      <c r="I119" s="242"/>
      <c r="J119" s="242">
        <v>1.17</v>
      </c>
      <c r="K119" s="242">
        <f t="shared" si="76"/>
        <v>1.17</v>
      </c>
      <c r="L119" s="242">
        <f t="shared" si="77"/>
        <v>1.17</v>
      </c>
      <c r="M119" s="14">
        <f t="shared" si="78"/>
        <v>69998.83</v>
      </c>
      <c r="N119" s="14"/>
      <c r="O119" s="14">
        <f t="shared" si="79"/>
        <v>662000</v>
      </c>
      <c r="P119" s="14">
        <f t="shared" si="80"/>
        <v>69998.83</v>
      </c>
      <c r="Q119" s="14"/>
      <c r="R119" s="14"/>
      <c r="S119" s="14">
        <f t="shared" si="81"/>
        <v>0</v>
      </c>
      <c r="T119" s="14">
        <f t="shared" si="82"/>
        <v>0</v>
      </c>
      <c r="U119" s="14">
        <f t="shared" si="83"/>
        <v>0</v>
      </c>
      <c r="V119" s="242">
        <f t="shared" si="84"/>
        <v>0</v>
      </c>
      <c r="W119" s="242"/>
      <c r="X119" s="242"/>
      <c r="Y119" s="241"/>
      <c r="Z119" s="242"/>
      <c r="AA119" s="242"/>
      <c r="AB119" s="242">
        <f t="shared" si="89"/>
        <v>0</v>
      </c>
      <c r="AC119" s="242"/>
      <c r="AD119" s="242"/>
      <c r="AE119" s="242">
        <f t="shared" si="90"/>
        <v>0</v>
      </c>
      <c r="AF119" s="242"/>
      <c r="AG119" s="242"/>
      <c r="AH119" s="242">
        <f t="shared" si="91"/>
        <v>0</v>
      </c>
      <c r="AI119" s="242"/>
      <c r="AJ119" s="242"/>
      <c r="AK119" s="242">
        <f t="shared" si="92"/>
        <v>0</v>
      </c>
      <c r="AL119" s="242"/>
      <c r="AM119" s="242"/>
      <c r="AN119" s="242">
        <f t="shared" si="93"/>
        <v>0</v>
      </c>
      <c r="AO119" s="242"/>
      <c r="AP119" s="242"/>
      <c r="AQ119" s="242">
        <f t="shared" si="94"/>
        <v>0</v>
      </c>
      <c r="AR119" s="242"/>
      <c r="AS119" s="242"/>
      <c r="AT119" s="242">
        <f t="shared" si="95"/>
        <v>0</v>
      </c>
      <c r="AU119" s="242"/>
      <c r="AV119" s="242"/>
      <c r="AW119" s="242">
        <f t="shared" si="96"/>
        <v>0</v>
      </c>
      <c r="AX119" s="242"/>
      <c r="AY119" s="242"/>
      <c r="AZ119" s="242">
        <f t="shared" si="97"/>
        <v>0</v>
      </c>
      <c r="BA119" s="242"/>
      <c r="BB119" s="242"/>
      <c r="BC119" s="242">
        <f t="shared" si="98"/>
        <v>0</v>
      </c>
      <c r="BD119" s="242"/>
      <c r="BE119" s="242"/>
      <c r="BF119" s="242">
        <f t="shared" si="99"/>
        <v>0</v>
      </c>
      <c r="BG119" s="242">
        <f t="shared" si="100"/>
        <v>0</v>
      </c>
      <c r="BH119" s="242"/>
      <c r="BI119" s="242">
        <f t="shared" si="101"/>
        <v>0</v>
      </c>
      <c r="BJ119" s="242">
        <f t="shared" si="85"/>
        <v>0</v>
      </c>
      <c r="BK119" s="242">
        <f t="shared" si="86"/>
        <v>0</v>
      </c>
      <c r="BL119" s="242">
        <f t="shared" si="87"/>
        <v>0</v>
      </c>
      <c r="BM119" s="242">
        <f t="shared" si="88"/>
        <v>0</v>
      </c>
      <c r="BN119" s="242">
        <f t="shared" si="102"/>
        <v>0</v>
      </c>
      <c r="BO119" s="241"/>
      <c r="BP119" s="241"/>
      <c r="BQ119" s="242">
        <f t="shared" si="103"/>
        <v>0</v>
      </c>
      <c r="BR119" s="241"/>
      <c r="BS119" s="241"/>
      <c r="BT119" s="241">
        <v>732000</v>
      </c>
    </row>
    <row r="120" spans="1:72" s="246" customFormat="1">
      <c r="A120" s="19"/>
      <c r="B120" s="233"/>
      <c r="C120" s="233" t="s">
        <v>346</v>
      </c>
      <c r="D120" s="20">
        <f t="shared" ref="D120:BS120" si="105">SUM(D104:D119)</f>
        <v>22402000</v>
      </c>
      <c r="E120" s="245">
        <f t="shared" si="105"/>
        <v>21502000</v>
      </c>
      <c r="F120" s="245">
        <f t="shared" si="105"/>
        <v>900000</v>
      </c>
      <c r="G120" s="245">
        <f t="shared" si="105"/>
        <v>13184186</v>
      </c>
      <c r="H120" s="245">
        <f t="shared" si="105"/>
        <v>5288578.7699999996</v>
      </c>
      <c r="I120" s="245">
        <f t="shared" si="105"/>
        <v>728968.36</v>
      </c>
      <c r="J120" s="245">
        <f t="shared" si="105"/>
        <v>1818190.0699999996</v>
      </c>
      <c r="K120" s="245">
        <f t="shared" si="105"/>
        <v>2547158.4300000002</v>
      </c>
      <c r="L120" s="245">
        <f t="shared" si="105"/>
        <v>7835737.2000000002</v>
      </c>
      <c r="M120" s="20">
        <f t="shared" si="105"/>
        <v>4278448.8</v>
      </c>
      <c r="N120" s="20">
        <f t="shared" si="105"/>
        <v>600000</v>
      </c>
      <c r="O120" s="20">
        <f t="shared" si="105"/>
        <v>9687814</v>
      </c>
      <c r="P120" s="20">
        <f t="shared" si="105"/>
        <v>5348448.8</v>
      </c>
      <c r="Q120" s="20">
        <f t="shared" si="105"/>
        <v>300000</v>
      </c>
      <c r="R120" s="20">
        <f t="shared" si="105"/>
        <v>0</v>
      </c>
      <c r="S120" s="20">
        <f t="shared" si="105"/>
        <v>300000</v>
      </c>
      <c r="T120" s="20">
        <f t="shared" si="105"/>
        <v>1370000</v>
      </c>
      <c r="U120" s="20">
        <f t="shared" si="105"/>
        <v>-770000</v>
      </c>
      <c r="V120" s="245">
        <f t="shared" si="105"/>
        <v>-770000</v>
      </c>
      <c r="W120" s="245">
        <f t="shared" si="105"/>
        <v>0</v>
      </c>
      <c r="X120" s="245">
        <f t="shared" si="105"/>
        <v>0</v>
      </c>
      <c r="Y120" s="245">
        <f t="shared" si="105"/>
        <v>0</v>
      </c>
      <c r="Z120" s="245">
        <f t="shared" si="105"/>
        <v>0</v>
      </c>
      <c r="AA120" s="245">
        <f t="shared" si="105"/>
        <v>-1370000</v>
      </c>
      <c r="AB120" s="245">
        <f t="shared" si="105"/>
        <v>-1370000</v>
      </c>
      <c r="AC120" s="245">
        <f t="shared" si="105"/>
        <v>0</v>
      </c>
      <c r="AD120" s="245">
        <f t="shared" si="105"/>
        <v>0</v>
      </c>
      <c r="AE120" s="245">
        <f t="shared" si="105"/>
        <v>0</v>
      </c>
      <c r="AF120" s="245">
        <f t="shared" si="105"/>
        <v>0</v>
      </c>
      <c r="AG120" s="245">
        <f t="shared" si="105"/>
        <v>0</v>
      </c>
      <c r="AH120" s="245">
        <f t="shared" si="105"/>
        <v>0</v>
      </c>
      <c r="AI120" s="245">
        <f t="shared" si="105"/>
        <v>0</v>
      </c>
      <c r="AJ120" s="245">
        <f t="shared" si="105"/>
        <v>0</v>
      </c>
      <c r="AK120" s="245">
        <f t="shared" si="105"/>
        <v>0</v>
      </c>
      <c r="AL120" s="245">
        <f t="shared" si="105"/>
        <v>0</v>
      </c>
      <c r="AM120" s="245">
        <f t="shared" si="105"/>
        <v>0</v>
      </c>
      <c r="AN120" s="245">
        <f t="shared" si="105"/>
        <v>0</v>
      </c>
      <c r="AO120" s="245">
        <f t="shared" si="105"/>
        <v>0</v>
      </c>
      <c r="AP120" s="245">
        <f t="shared" si="105"/>
        <v>0</v>
      </c>
      <c r="AQ120" s="245">
        <f t="shared" si="105"/>
        <v>0</v>
      </c>
      <c r="AR120" s="245">
        <f t="shared" si="105"/>
        <v>0</v>
      </c>
      <c r="AS120" s="245">
        <f t="shared" si="105"/>
        <v>0</v>
      </c>
      <c r="AT120" s="245">
        <f t="shared" si="105"/>
        <v>0</v>
      </c>
      <c r="AU120" s="245">
        <f t="shared" si="105"/>
        <v>0</v>
      </c>
      <c r="AV120" s="245">
        <f t="shared" si="105"/>
        <v>0</v>
      </c>
      <c r="AW120" s="245">
        <f t="shared" si="105"/>
        <v>0</v>
      </c>
      <c r="AX120" s="245">
        <f t="shared" si="105"/>
        <v>0</v>
      </c>
      <c r="AY120" s="245">
        <f t="shared" si="105"/>
        <v>0</v>
      </c>
      <c r="AZ120" s="245">
        <f t="shared" si="105"/>
        <v>0</v>
      </c>
      <c r="BA120" s="245">
        <f t="shared" si="105"/>
        <v>0</v>
      </c>
      <c r="BB120" s="245">
        <f t="shared" si="105"/>
        <v>0</v>
      </c>
      <c r="BC120" s="245">
        <f t="shared" si="105"/>
        <v>0</v>
      </c>
      <c r="BD120" s="245">
        <f t="shared" si="105"/>
        <v>0</v>
      </c>
      <c r="BE120" s="245">
        <f t="shared" si="105"/>
        <v>0</v>
      </c>
      <c r="BF120" s="245">
        <f t="shared" si="105"/>
        <v>0</v>
      </c>
      <c r="BG120" s="245">
        <f t="shared" si="105"/>
        <v>-1370000</v>
      </c>
      <c r="BH120" s="245">
        <f>SUM(BH104:BH119)</f>
        <v>0</v>
      </c>
      <c r="BI120" s="245">
        <f>SUM(BI104:BI119)</f>
        <v>-1370000</v>
      </c>
      <c r="BJ120" s="245">
        <f t="shared" si="105"/>
        <v>600000</v>
      </c>
      <c r="BK120" s="245">
        <f>SUM(BK104:BK119)</f>
        <v>-1370000</v>
      </c>
      <c r="BL120" s="245">
        <f>SUM(BL104:BL119)</f>
        <v>0</v>
      </c>
      <c r="BM120" s="245">
        <f t="shared" si="105"/>
        <v>0</v>
      </c>
      <c r="BN120" s="245">
        <f>SUM(BN104:BN119)</f>
        <v>0</v>
      </c>
      <c r="BO120" s="245">
        <f>SUM(BO104:BO119)</f>
        <v>0</v>
      </c>
      <c r="BP120" s="245">
        <f>SUM(BP104:BP119)</f>
        <v>0</v>
      </c>
      <c r="BQ120" s="245">
        <f t="shared" si="105"/>
        <v>600000</v>
      </c>
      <c r="BR120" s="245">
        <f>SUM(BR104:BR119)</f>
        <v>0</v>
      </c>
      <c r="BS120" s="245">
        <f t="shared" si="105"/>
        <v>0</v>
      </c>
      <c r="BT120" s="245"/>
    </row>
    <row r="121" spans="1:72" s="244" customFormat="1">
      <c r="A121" s="241"/>
      <c r="B121" s="241"/>
      <c r="C121" s="241"/>
      <c r="D121" s="14"/>
      <c r="E121" s="242"/>
      <c r="F121" s="242"/>
      <c r="G121" s="242"/>
      <c r="H121" s="242"/>
      <c r="I121" s="242"/>
      <c r="J121" s="242"/>
      <c r="K121" s="242"/>
      <c r="L121" s="242"/>
      <c r="M121" s="14"/>
      <c r="N121" s="14"/>
      <c r="O121" s="14"/>
      <c r="P121" s="14"/>
      <c r="Q121" s="14"/>
      <c r="R121" s="14"/>
      <c r="S121" s="14"/>
      <c r="T121" s="14"/>
      <c r="U121" s="14"/>
      <c r="V121" s="242"/>
      <c r="W121" s="242"/>
      <c r="X121" s="242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</row>
    <row r="122" spans="1:72" s="399" customFormat="1" ht="15.75">
      <c r="A122" s="249">
        <f>A119</f>
        <v>107</v>
      </c>
      <c r="B122" s="249"/>
      <c r="C122" s="398" t="s">
        <v>83</v>
      </c>
      <c r="D122" s="27">
        <f t="shared" ref="D122:BS122" si="106">D120+D101+D73</f>
        <v>693014769</v>
      </c>
      <c r="E122" s="27">
        <f t="shared" si="106"/>
        <v>596043468</v>
      </c>
      <c r="F122" s="27">
        <f t="shared" si="106"/>
        <v>96971301</v>
      </c>
      <c r="G122" s="27">
        <f t="shared" si="106"/>
        <v>404262285</v>
      </c>
      <c r="H122" s="27">
        <f t="shared" si="106"/>
        <v>325615379.21999997</v>
      </c>
      <c r="I122" s="27">
        <f t="shared" si="106"/>
        <v>10485657.759999998</v>
      </c>
      <c r="J122" s="27">
        <f t="shared" si="106"/>
        <v>9127528.2300000004</v>
      </c>
      <c r="K122" s="27">
        <f t="shared" si="106"/>
        <v>19613185.990000002</v>
      </c>
      <c r="L122" s="27">
        <f t="shared" si="106"/>
        <v>345228565.20999992</v>
      </c>
      <c r="M122" s="27">
        <f t="shared" si="106"/>
        <v>60905719.790000007</v>
      </c>
      <c r="N122" s="27">
        <f t="shared" si="106"/>
        <v>33487931</v>
      </c>
      <c r="O122" s="27">
        <f t="shared" si="106"/>
        <v>253392553</v>
      </c>
      <c r="P122" s="27">
        <f t="shared" si="106"/>
        <v>59033719.789999999</v>
      </c>
      <c r="Q122" s="27">
        <f t="shared" si="106"/>
        <v>7715000</v>
      </c>
      <c r="R122" s="27">
        <f t="shared" si="106"/>
        <v>10150000</v>
      </c>
      <c r="S122" s="27">
        <f t="shared" si="106"/>
        <v>17865000</v>
      </c>
      <c r="T122" s="27">
        <f t="shared" si="106"/>
        <v>15993000</v>
      </c>
      <c r="U122" s="27">
        <f t="shared" si="106"/>
        <v>17494931</v>
      </c>
      <c r="V122" s="27">
        <f t="shared" si="106"/>
        <v>-14023000</v>
      </c>
      <c r="W122" s="27">
        <f t="shared" si="106"/>
        <v>0</v>
      </c>
      <c r="X122" s="27">
        <f t="shared" si="106"/>
        <v>0</v>
      </c>
      <c r="Y122" s="27">
        <f t="shared" si="106"/>
        <v>31517931</v>
      </c>
      <c r="Z122" s="27">
        <f t="shared" si="106"/>
        <v>-11409000</v>
      </c>
      <c r="AA122" s="27">
        <f t="shared" si="106"/>
        <v>-4310000</v>
      </c>
      <c r="AB122" s="27">
        <f t="shared" si="106"/>
        <v>-15719000</v>
      </c>
      <c r="AC122" s="27">
        <f t="shared" si="106"/>
        <v>0</v>
      </c>
      <c r="AD122" s="27">
        <f t="shared" si="106"/>
        <v>0</v>
      </c>
      <c r="AE122" s="27">
        <f t="shared" si="106"/>
        <v>0</v>
      </c>
      <c r="AF122" s="27">
        <f t="shared" si="106"/>
        <v>0</v>
      </c>
      <c r="AG122" s="27">
        <f t="shared" si="106"/>
        <v>0</v>
      </c>
      <c r="AH122" s="27">
        <f t="shared" si="106"/>
        <v>0</v>
      </c>
      <c r="AI122" s="27">
        <f t="shared" si="106"/>
        <v>-1970</v>
      </c>
      <c r="AJ122" s="27">
        <f t="shared" si="106"/>
        <v>-2030</v>
      </c>
      <c r="AK122" s="27">
        <f t="shared" si="106"/>
        <v>-4000</v>
      </c>
      <c r="AL122" s="27">
        <f t="shared" si="106"/>
        <v>0</v>
      </c>
      <c r="AM122" s="27">
        <f t="shared" si="106"/>
        <v>160000</v>
      </c>
      <c r="AN122" s="27">
        <f t="shared" si="106"/>
        <v>160000</v>
      </c>
      <c r="AO122" s="27">
        <f t="shared" si="106"/>
        <v>700000</v>
      </c>
      <c r="AP122" s="27">
        <f t="shared" si="106"/>
        <v>0</v>
      </c>
      <c r="AQ122" s="27">
        <f t="shared" si="106"/>
        <v>700000</v>
      </c>
      <c r="AR122" s="27">
        <f t="shared" si="106"/>
        <v>20387931</v>
      </c>
      <c r="AS122" s="27">
        <f t="shared" si="106"/>
        <v>0</v>
      </c>
      <c r="AT122" s="27">
        <f t="shared" si="106"/>
        <v>20387931</v>
      </c>
      <c r="AU122" s="27">
        <f t="shared" si="106"/>
        <v>0</v>
      </c>
      <c r="AV122" s="27">
        <f t="shared" si="106"/>
        <v>0</v>
      </c>
      <c r="AW122" s="27">
        <f t="shared" si="106"/>
        <v>0</v>
      </c>
      <c r="AX122" s="27">
        <f t="shared" si="106"/>
        <v>500000</v>
      </c>
      <c r="AY122" s="27">
        <f t="shared" si="106"/>
        <v>0</v>
      </c>
      <c r="AZ122" s="27">
        <f t="shared" si="106"/>
        <v>500000</v>
      </c>
      <c r="BA122" s="27">
        <f t="shared" si="106"/>
        <v>500000</v>
      </c>
      <c r="BB122" s="27">
        <f t="shared" si="106"/>
        <v>0</v>
      </c>
      <c r="BC122" s="27">
        <f t="shared" si="106"/>
        <v>500000</v>
      </c>
      <c r="BD122" s="27">
        <f t="shared" si="106"/>
        <v>690000</v>
      </c>
      <c r="BE122" s="27">
        <f t="shared" si="106"/>
        <v>0</v>
      </c>
      <c r="BF122" s="27">
        <f t="shared" si="106"/>
        <v>690000</v>
      </c>
      <c r="BG122" s="27">
        <f t="shared" si="106"/>
        <v>7214931</v>
      </c>
      <c r="BH122" s="27">
        <f>BH120+BH101+BH73</f>
        <v>0</v>
      </c>
      <c r="BI122" s="27">
        <f>BI120+BI101+BI73</f>
        <v>7214931</v>
      </c>
      <c r="BJ122" s="27">
        <f t="shared" si="106"/>
        <v>10280000</v>
      </c>
      <c r="BK122" s="27">
        <f>BK120+BK101+BK73</f>
        <v>-23303000</v>
      </c>
      <c r="BL122" s="27">
        <f>BL120+BL101+BL73</f>
        <v>5740127</v>
      </c>
      <c r="BM122" s="27">
        <f t="shared" si="106"/>
        <v>24777804</v>
      </c>
      <c r="BN122" s="27">
        <f>BN120+BN101+BN73</f>
        <v>0</v>
      </c>
      <c r="BO122" s="27">
        <f>BO120+BO101+BO73</f>
        <v>0</v>
      </c>
      <c r="BP122" s="27">
        <f>BP120+BP101+BP73</f>
        <v>0</v>
      </c>
      <c r="BQ122" s="27">
        <f t="shared" si="106"/>
        <v>3539873</v>
      </c>
      <c r="BR122" s="27">
        <f>BR120+BR101+BR73</f>
        <v>0</v>
      </c>
      <c r="BS122" s="27">
        <f t="shared" si="106"/>
        <v>6740127</v>
      </c>
      <c r="BT122" s="249"/>
    </row>
    <row r="123" spans="1:72" s="399" customFormat="1" ht="15.75">
      <c r="A123" s="249"/>
      <c r="B123" s="249"/>
      <c r="C123" s="398"/>
      <c r="D123" s="44"/>
      <c r="E123" s="249"/>
      <c r="F123" s="249"/>
      <c r="G123" s="249"/>
      <c r="H123" s="249"/>
      <c r="I123" s="249"/>
      <c r="J123" s="249"/>
      <c r="K123" s="249"/>
      <c r="L123" s="249"/>
      <c r="M123" s="27"/>
      <c r="N123" s="27"/>
      <c r="O123" s="27"/>
      <c r="P123" s="27"/>
      <c r="Q123" s="27"/>
      <c r="R123" s="27"/>
      <c r="S123" s="27"/>
      <c r="T123" s="27"/>
      <c r="U123" s="27"/>
      <c r="V123" s="249"/>
      <c r="W123" s="249"/>
      <c r="X123" s="249"/>
      <c r="Y123" s="249"/>
      <c r="Z123" s="249"/>
      <c r="AA123" s="249"/>
      <c r="AB123" s="249"/>
      <c r="AC123" s="249"/>
      <c r="AD123" s="249"/>
      <c r="AE123" s="249"/>
      <c r="AF123" s="249"/>
      <c r="AG123" s="249"/>
      <c r="AH123" s="249"/>
      <c r="AI123" s="249"/>
      <c r="AJ123" s="249"/>
      <c r="AK123" s="249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49"/>
      <c r="BK123" s="249"/>
      <c r="BL123" s="249"/>
      <c r="BM123" s="249"/>
      <c r="BN123" s="249"/>
      <c r="BO123" s="249"/>
      <c r="BP123" s="249"/>
      <c r="BQ123" s="249"/>
      <c r="BR123" s="249"/>
      <c r="BS123" s="249"/>
      <c r="BT123" s="249"/>
    </row>
    <row r="125" spans="1:72">
      <c r="L125" s="215">
        <f>H122+K122</f>
        <v>345228565.20999998</v>
      </c>
      <c r="M125" s="45">
        <f>P122+S122-T122</f>
        <v>60905719.789999992</v>
      </c>
      <c r="P125" s="45">
        <f>G122-L122</f>
        <v>59033719.790000081</v>
      </c>
    </row>
    <row r="126" spans="1:72">
      <c r="U126" s="31"/>
    </row>
    <row r="127" spans="1:72" hidden="1">
      <c r="N127" s="31" t="s">
        <v>682</v>
      </c>
      <c r="O127" s="31" t="s">
        <v>683</v>
      </c>
      <c r="P127" s="29" t="s">
        <v>684</v>
      </c>
      <c r="Q127" s="45">
        <f>'[2]הנדסה '!$AZ$209</f>
        <v>7715000</v>
      </c>
    </row>
    <row r="128" spans="1:72" hidden="1">
      <c r="N128" s="31" t="s">
        <v>685</v>
      </c>
      <c r="P128" s="29"/>
      <c r="Q128" s="52">
        <f>'[5]הנדסה '!$BA$178</f>
        <v>6915000</v>
      </c>
    </row>
    <row r="129" spans="14:18" hidden="1">
      <c r="P129" s="29"/>
      <c r="Q129" s="52">
        <f>Q127-Q128</f>
        <v>800000</v>
      </c>
    </row>
    <row r="130" spans="14:18" hidden="1">
      <c r="N130" s="31" t="s">
        <v>686</v>
      </c>
      <c r="O130" s="31" t="s">
        <v>687</v>
      </c>
      <c r="P130" s="52">
        <v>300000</v>
      </c>
      <c r="Q130" s="52"/>
    </row>
    <row r="131" spans="14:18" hidden="1">
      <c r="N131" s="31" t="s">
        <v>688</v>
      </c>
      <c r="P131" s="31">
        <v>500000</v>
      </c>
      <c r="Q131" s="31">
        <f>SUM(P130:P131)</f>
        <v>800000</v>
      </c>
    </row>
    <row r="132" spans="14:18" hidden="1">
      <c r="N132" s="31" t="s">
        <v>689</v>
      </c>
      <c r="P132" s="29" t="s">
        <v>684</v>
      </c>
      <c r="R132" s="31">
        <f>'[2]ריכוז תקציבים מעבר לתוכנית 31.8'!$AD$24</f>
        <v>12650000</v>
      </c>
    </row>
    <row r="133" spans="14:18" hidden="1">
      <c r="N133" s="31" t="s">
        <v>690</v>
      </c>
      <c r="R133" s="31">
        <f>'פרוט החב. לפיתוח 2017'!$R$136</f>
        <v>2500000</v>
      </c>
    </row>
    <row r="134" spans="14:18" hidden="1">
      <c r="R134" s="45">
        <f>R132-R133</f>
        <v>10150000</v>
      </c>
    </row>
    <row r="135" spans="14:18" hidden="1"/>
    <row r="136" spans="14:18" hidden="1"/>
    <row r="137" spans="14:18" hidden="1">
      <c r="Q137" s="31" t="s">
        <v>691</v>
      </c>
      <c r="R137" s="31">
        <v>1450000</v>
      </c>
    </row>
    <row r="138" spans="14:18" hidden="1"/>
    <row r="139" spans="14:18" hidden="1">
      <c r="R139" s="31">
        <f>R134-R137</f>
        <v>8700000</v>
      </c>
    </row>
    <row r="140" spans="14:18" hidden="1"/>
    <row r="141" spans="14:18" hidden="1">
      <c r="P141" s="31" t="s">
        <v>692</v>
      </c>
      <c r="Q141" s="53">
        <v>1744</v>
      </c>
      <c r="R141" s="31">
        <v>6200000</v>
      </c>
    </row>
    <row r="142" spans="14:18" hidden="1">
      <c r="P142" s="31" t="s">
        <v>692</v>
      </c>
      <c r="Q142" s="53">
        <v>1943</v>
      </c>
      <c r="R142" s="31">
        <v>2500000</v>
      </c>
    </row>
    <row r="143" spans="14:18" hidden="1">
      <c r="R143" s="31">
        <f>SUM(R141:R142)</f>
        <v>8700000</v>
      </c>
    </row>
    <row r="144" spans="14:18" hidden="1"/>
  </sheetData>
  <sheetProtection formatCells="0" formatColumns="0" formatRows="0" insertColumns="0" insertRows="0" insertHyperlinks="0" deleteColumns="0" deleteRows="0" sort="0" autoFilter="0" pivotTables="0"/>
  <mergeCells count="26">
    <mergeCell ref="AI3:AK3"/>
    <mergeCell ref="T3:Y3"/>
    <mergeCell ref="Z3:AB3"/>
    <mergeCell ref="AC3:AE3"/>
    <mergeCell ref="AF3:AH3"/>
    <mergeCell ref="BQ3:BS3"/>
    <mergeCell ref="BD3:BF3"/>
    <mergeCell ref="AX3:AZ3"/>
    <mergeCell ref="BA3:BC3"/>
    <mergeCell ref="Z4:AB4"/>
    <mergeCell ref="AC4:AE4"/>
    <mergeCell ref="AF4:AH4"/>
    <mergeCell ref="AI4:AK4"/>
    <mergeCell ref="AL4:AN4"/>
    <mergeCell ref="AO4:AQ4"/>
    <mergeCell ref="AR4:AT4"/>
    <mergeCell ref="AU4:AW4"/>
    <mergeCell ref="AL3:AN3"/>
    <mergeCell ref="AO3:AQ3"/>
    <mergeCell ref="AR3:AT3"/>
    <mergeCell ref="AU3:AW3"/>
    <mergeCell ref="BN3:BP3"/>
    <mergeCell ref="AX4:AZ4"/>
    <mergeCell ref="BA4:BC4"/>
    <mergeCell ref="BD4:BF4"/>
    <mergeCell ref="BG3:BI3"/>
  </mergeCells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G152"/>
  <sheetViews>
    <sheetView showZeros="0" rightToLeft="1" zoomScaleNormal="100" workbookViewId="0">
      <pane xSplit="19" ySplit="5" topLeftCell="T33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402" customWidth="1"/>
    <col min="2" max="2" width="6.7109375" style="400" customWidth="1"/>
    <col min="3" max="3" width="28.7109375" style="403" customWidth="1"/>
    <col min="4" max="4" width="12.5703125" style="404" hidden="1" customWidth="1"/>
    <col min="5" max="5" width="12.85546875" style="405" hidden="1" customWidth="1"/>
    <col min="6" max="6" width="11.140625" style="405" hidden="1" customWidth="1"/>
    <col min="7" max="10" width="12.7109375" style="405" hidden="1" customWidth="1"/>
    <col min="11" max="12" width="11.28515625" style="405" hidden="1" customWidth="1"/>
    <col min="13" max="14" width="11.140625" style="404" hidden="1" customWidth="1"/>
    <col min="15" max="17" width="11.140625" style="405" hidden="1" customWidth="1"/>
    <col min="18" max="19" width="12" style="405" hidden="1" customWidth="1"/>
    <col min="20" max="20" width="9.5703125" style="404" customWidth="1"/>
    <col min="21" max="21" width="10.85546875" style="403" customWidth="1"/>
    <col min="22" max="22" width="11.140625" style="403" customWidth="1"/>
    <col min="23" max="23" width="9" style="400" customWidth="1"/>
    <col min="24" max="24" width="11.85546875" style="400" hidden="1" customWidth="1"/>
    <col min="25" max="25" width="11" style="403" customWidth="1"/>
    <col min="26" max="59" width="10" style="239" hidden="1" customWidth="1"/>
    <col min="60" max="60" width="11.140625" style="239" hidden="1" customWidth="1"/>
    <col min="61" max="61" width="12.42578125" style="239" customWidth="1"/>
    <col min="62" max="62" width="11.140625" style="239" bestFit="1" customWidth="1"/>
    <col min="63" max="63" width="12.7109375" style="239" customWidth="1"/>
    <col min="64" max="64" width="11.5703125" style="239" customWidth="1"/>
    <col min="65" max="65" width="12.7109375" style="239" customWidth="1"/>
    <col min="66" max="68" width="10" style="239" hidden="1" customWidth="1"/>
    <col min="69" max="69" width="11.140625" style="239" hidden="1" customWidth="1"/>
    <col min="70" max="70" width="10" style="239" hidden="1" customWidth="1"/>
    <col min="71" max="71" width="11.140625" style="239" hidden="1" customWidth="1"/>
    <col min="72" max="72" width="7.85546875" style="400" hidden="1" customWidth="1"/>
    <col min="73" max="74" width="9.140625" style="400" customWidth="1"/>
    <col min="75" max="75" width="11.140625" style="400" customWidth="1"/>
    <col min="76" max="77" width="9.140625" style="400" customWidth="1"/>
    <col min="78" max="78" width="1.5703125" style="400" hidden="1" customWidth="1"/>
    <col min="79" max="79" width="10.5703125" style="400" hidden="1" customWidth="1"/>
    <col min="80" max="80" width="11.42578125" style="400" hidden="1" customWidth="1"/>
    <col min="81" max="81" width="9.140625" style="400" customWidth="1"/>
    <col min="82" max="82" width="9.140625" style="400"/>
    <col min="83" max="83" width="10.140625" style="400" customWidth="1"/>
    <col min="84" max="85" width="9.140625" style="400" customWidth="1"/>
    <col min="86" max="16384" width="9.140625" style="400"/>
  </cols>
  <sheetData>
    <row r="1" spans="1:80" ht="18.75">
      <c r="A1" s="777" t="s">
        <v>943</v>
      </c>
    </row>
    <row r="2" spans="1:80" ht="18.75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4"/>
      <c r="BO2" s="644"/>
      <c r="BP2" s="644"/>
      <c r="BQ2" s="388"/>
      <c r="BR2" s="388"/>
      <c r="BS2" s="388"/>
    </row>
    <row r="3" spans="1:80">
      <c r="T3" s="826" t="s">
        <v>658</v>
      </c>
      <c r="U3" s="827"/>
      <c r="V3" s="827"/>
      <c r="W3" s="827"/>
      <c r="X3" s="827"/>
      <c r="Y3" s="828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8"/>
      <c r="BJ3" s="621"/>
      <c r="BK3" s="621" t="s">
        <v>1092</v>
      </c>
      <c r="BL3" s="621"/>
      <c r="BM3" s="621"/>
      <c r="BN3" s="817" t="s">
        <v>935</v>
      </c>
      <c r="BO3" s="818"/>
      <c r="BP3" s="819"/>
      <c r="BQ3" s="817" t="s">
        <v>934</v>
      </c>
      <c r="BR3" s="818"/>
      <c r="BS3" s="819"/>
    </row>
    <row r="4" spans="1:80" s="408" customFormat="1" ht="86.25" customHeight="1">
      <c r="A4" s="406" t="s">
        <v>659</v>
      </c>
      <c r="B4" s="406" t="s">
        <v>1</v>
      </c>
      <c r="C4" s="407" t="s">
        <v>2</v>
      </c>
      <c r="D4" s="407" t="s">
        <v>3</v>
      </c>
      <c r="E4" s="406" t="s">
        <v>4</v>
      </c>
      <c r="F4" s="406" t="s">
        <v>5</v>
      </c>
      <c r="G4" s="406" t="s">
        <v>6</v>
      </c>
      <c r="H4" s="406" t="s">
        <v>7</v>
      </c>
      <c r="I4" s="406" t="s">
        <v>8</v>
      </c>
      <c r="J4" s="406" t="s">
        <v>9</v>
      </c>
      <c r="K4" s="406" t="s">
        <v>10</v>
      </c>
      <c r="L4" s="406" t="s">
        <v>11</v>
      </c>
      <c r="M4" s="21" t="s">
        <v>637</v>
      </c>
      <c r="N4" s="407" t="s">
        <v>638</v>
      </c>
      <c r="O4" s="406" t="s">
        <v>639</v>
      </c>
      <c r="P4" s="406" t="s">
        <v>12</v>
      </c>
      <c r="Q4" s="406" t="s">
        <v>640</v>
      </c>
      <c r="R4" s="406" t="s">
        <v>641</v>
      </c>
      <c r="S4" s="406" t="s">
        <v>642</v>
      </c>
      <c r="T4" s="407" t="s">
        <v>643</v>
      </c>
      <c r="U4" s="407" t="s">
        <v>644</v>
      </c>
      <c r="V4" s="407" t="s">
        <v>13</v>
      </c>
      <c r="W4" s="406" t="s">
        <v>14</v>
      </c>
      <c r="X4" s="406" t="s">
        <v>15</v>
      </c>
      <c r="Y4" s="407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12" t="s">
        <v>184</v>
      </c>
      <c r="BQ4" s="12" t="s">
        <v>13</v>
      </c>
      <c r="BR4" s="12" t="s">
        <v>14</v>
      </c>
      <c r="BS4" s="12" t="s">
        <v>184</v>
      </c>
      <c r="BT4" s="406" t="s">
        <v>16</v>
      </c>
      <c r="BZ4" s="18"/>
      <c r="CA4" s="18" t="s">
        <v>406</v>
      </c>
      <c r="CB4" s="18" t="s">
        <v>407</v>
      </c>
    </row>
    <row r="5" spans="1:80" s="413" customFormat="1">
      <c r="A5" s="409"/>
      <c r="B5" s="409"/>
      <c r="C5" s="410"/>
      <c r="D5" s="411"/>
      <c r="E5" s="412"/>
      <c r="F5" s="412"/>
      <c r="G5" s="412"/>
      <c r="H5" s="412"/>
      <c r="I5" s="412"/>
      <c r="J5" s="412"/>
      <c r="K5" s="412"/>
      <c r="L5" s="412"/>
      <c r="M5" s="411"/>
      <c r="N5" s="411"/>
      <c r="O5" s="412"/>
      <c r="P5" s="412"/>
      <c r="Q5" s="412"/>
      <c r="R5" s="412"/>
      <c r="S5" s="412"/>
      <c r="T5" s="411"/>
      <c r="U5" s="411"/>
      <c r="V5" s="411"/>
      <c r="W5" s="412"/>
      <c r="X5" s="412"/>
      <c r="Y5" s="410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409"/>
      <c r="BZ5" s="414"/>
      <c r="CA5" s="414"/>
      <c r="CB5" s="414"/>
    </row>
    <row r="6" spans="1:80" s="413" customFormat="1" ht="30">
      <c r="A6" s="414">
        <f>A5+1</f>
        <v>1</v>
      </c>
      <c r="B6" s="414">
        <v>382</v>
      </c>
      <c r="C6" s="415" t="s">
        <v>693</v>
      </c>
      <c r="D6" s="416">
        <f>39881930+4400000+1500000</f>
        <v>45781930</v>
      </c>
      <c r="E6" s="337">
        <v>39881930</v>
      </c>
      <c r="F6" s="337">
        <f t="shared" ref="F6:F69" si="0">D6-E6</f>
        <v>5900000</v>
      </c>
      <c r="G6" s="337">
        <v>32181330</v>
      </c>
      <c r="H6" s="337">
        <v>29672522.18</v>
      </c>
      <c r="I6" s="337">
        <v>1028474.32</v>
      </c>
      <c r="J6" s="337"/>
      <c r="K6" s="337">
        <f>SUM(I6:J6)</f>
        <v>1028474.32</v>
      </c>
      <c r="L6" s="337">
        <f>H6+K6</f>
        <v>30700996.5</v>
      </c>
      <c r="M6" s="416">
        <f>P6+S6</f>
        <v>6180333.5</v>
      </c>
      <c r="N6" s="416">
        <f>7400600+1500000</f>
        <v>8900600</v>
      </c>
      <c r="O6" s="337">
        <f>D6-L6-M6-N6</f>
        <v>0</v>
      </c>
      <c r="P6" s="337">
        <f>G6-L6</f>
        <v>1480333.5</v>
      </c>
      <c r="Q6" s="337"/>
      <c r="R6" s="417">
        <v>4700000</v>
      </c>
      <c r="S6" s="337">
        <f>SUM(Q6:R6)</f>
        <v>4700000</v>
      </c>
      <c r="T6" s="416">
        <f>P6-M6+S6</f>
        <v>0</v>
      </c>
      <c r="U6" s="416">
        <f>N6-T6</f>
        <v>8900600</v>
      </c>
      <c r="V6" s="416">
        <f>U6-W6-X6-Y6</f>
        <v>8900600</v>
      </c>
      <c r="W6" s="337"/>
      <c r="X6" s="337"/>
      <c r="Y6" s="415"/>
      <c r="Z6" s="241"/>
      <c r="AA6" s="241"/>
      <c r="AB6" s="241">
        <f>SUM(Z6:AA6)</f>
        <v>0</v>
      </c>
      <c r="AC6" s="241"/>
      <c r="AD6" s="241"/>
      <c r="AE6" s="241">
        <f>SUM(AC6:AD6)</f>
        <v>0</v>
      </c>
      <c r="AF6" s="241"/>
      <c r="AG6" s="241"/>
      <c r="AH6" s="241">
        <f>SUM(AF6:AG6)</f>
        <v>0</v>
      </c>
      <c r="AI6" s="241"/>
      <c r="AJ6" s="242">
        <v>250000</v>
      </c>
      <c r="AK6" s="242">
        <f>SUM(AI6:AJ6)</f>
        <v>250000</v>
      </c>
      <c r="AL6" s="241"/>
      <c r="AM6" s="242">
        <v>-250000</v>
      </c>
      <c r="AN6" s="242">
        <f>SUM(AL6:AM6)</f>
        <v>-250000</v>
      </c>
      <c r="AO6" s="241"/>
      <c r="AP6" s="242"/>
      <c r="AQ6" s="242">
        <f>SUM(AO6:AP6)</f>
        <v>0</v>
      </c>
      <c r="AR6" s="241"/>
      <c r="AS6" s="242"/>
      <c r="AT6" s="242">
        <f>SUM(AR6:AS6)</f>
        <v>0</v>
      </c>
      <c r="AU6" s="241"/>
      <c r="AV6" s="242"/>
      <c r="AW6" s="242">
        <f>SUM(AU6:AV6)</f>
        <v>0</v>
      </c>
      <c r="AX6" s="241"/>
      <c r="AY6" s="242"/>
      <c r="AZ6" s="242">
        <f>SUM(AX6:AY6)</f>
        <v>0</v>
      </c>
      <c r="BA6" s="241"/>
      <c r="BB6" s="242"/>
      <c r="BC6" s="242">
        <f>SUM(BA6:BB6)</f>
        <v>0</v>
      </c>
      <c r="BD6" s="241"/>
      <c r="BE6" s="242"/>
      <c r="BF6" s="242">
        <f>SUM(BD6:BE6)</f>
        <v>0</v>
      </c>
      <c r="BG6" s="242">
        <f>BF6+AB6+AE6+AH6+AK6+AN6+AQ6+AT6+AW6+AZ6+BC6</f>
        <v>0</v>
      </c>
      <c r="BH6" s="242"/>
      <c r="BI6" s="242">
        <f>BG6+BH6</f>
        <v>0</v>
      </c>
      <c r="BJ6" s="242">
        <f>U6-BI6</f>
        <v>8900600</v>
      </c>
      <c r="BK6" s="242">
        <f>BI6-BL6-BM6</f>
        <v>0</v>
      </c>
      <c r="BL6" s="242"/>
      <c r="BM6" s="242"/>
      <c r="BN6" s="242">
        <f>BH6-BO6-BP6</f>
        <v>0</v>
      </c>
      <c r="BO6" s="242"/>
      <c r="BP6" s="242"/>
      <c r="BQ6" s="242">
        <f>BJ6-BR6-BS6</f>
        <v>8900600</v>
      </c>
      <c r="BR6" s="242"/>
      <c r="BS6" s="242"/>
      <c r="BT6" s="414">
        <v>742000</v>
      </c>
      <c r="BZ6" s="414"/>
      <c r="CA6" s="414"/>
      <c r="CB6" s="337">
        <f t="shared" ref="CB6:CB69" si="1">V6-CA6</f>
        <v>8900600</v>
      </c>
    </row>
    <row r="7" spans="1:80" s="413" customFormat="1">
      <c r="A7" s="414">
        <f>A6+1</f>
        <v>2</v>
      </c>
      <c r="B7" s="414">
        <v>437</v>
      </c>
      <c r="C7" s="415" t="s">
        <v>164</v>
      </c>
      <c r="D7" s="416">
        <v>11000000</v>
      </c>
      <c r="E7" s="337">
        <v>11000000</v>
      </c>
      <c r="F7" s="337">
        <f t="shared" si="0"/>
        <v>0</v>
      </c>
      <c r="G7" s="337">
        <v>9595000</v>
      </c>
      <c r="H7" s="337">
        <v>9356216.4100000001</v>
      </c>
      <c r="I7" s="337"/>
      <c r="J7" s="337"/>
      <c r="K7" s="337">
        <f t="shared" ref="K7:K24" si="2">SUM(I7:J7)</f>
        <v>0</v>
      </c>
      <c r="L7" s="337">
        <f t="shared" ref="L7:L70" si="3">H7+K7</f>
        <v>9356216.4100000001</v>
      </c>
      <c r="M7" s="416">
        <f t="shared" ref="M7:M70" si="4">P7+S7</f>
        <v>1643783.5899999999</v>
      </c>
      <c r="N7" s="416"/>
      <c r="O7" s="337">
        <f t="shared" ref="O7:O70" si="5">D7-L7-M7-N7</f>
        <v>0</v>
      </c>
      <c r="P7" s="337">
        <f t="shared" ref="P7:P70" si="6">G7-L7</f>
        <v>238783.58999999985</v>
      </c>
      <c r="Q7" s="417">
        <v>1405000</v>
      </c>
      <c r="R7" s="416"/>
      <c r="S7" s="337">
        <f t="shared" ref="S7:S18" si="7">SUM(Q7:R7)</f>
        <v>1405000</v>
      </c>
      <c r="T7" s="416">
        <f t="shared" ref="T7:T70" si="8">P7-M7+S7</f>
        <v>0</v>
      </c>
      <c r="U7" s="416">
        <f t="shared" ref="U7:U17" si="9">N7-T7</f>
        <v>0</v>
      </c>
      <c r="V7" s="416">
        <f t="shared" ref="V7:V54" si="10">U7-W7-X7-Y7</f>
        <v>0</v>
      </c>
      <c r="W7" s="337"/>
      <c r="X7" s="337"/>
      <c r="Y7" s="415"/>
      <c r="Z7" s="241"/>
      <c r="AA7" s="241"/>
      <c r="AB7" s="241">
        <f t="shared" ref="AB7:AB70" si="11">SUM(Z7:AA7)</f>
        <v>0</v>
      </c>
      <c r="AC7" s="241"/>
      <c r="AD7" s="241"/>
      <c r="AE7" s="241">
        <f t="shared" ref="AE7:AE70" si="12">SUM(AC7:AD7)</f>
        <v>0</v>
      </c>
      <c r="AF7" s="241"/>
      <c r="AG7" s="241"/>
      <c r="AH7" s="241">
        <f t="shared" ref="AH7:AH70" si="13">SUM(AF7:AG7)</f>
        <v>0</v>
      </c>
      <c r="AI7" s="241"/>
      <c r="AJ7" s="242"/>
      <c r="AK7" s="242">
        <f t="shared" ref="AK7:AK70" si="14">SUM(AI7:AJ7)</f>
        <v>0</v>
      </c>
      <c r="AL7" s="241"/>
      <c r="AM7" s="242"/>
      <c r="AN7" s="242">
        <f t="shared" ref="AN7:AN70" si="15">SUM(AL7:AM7)</f>
        <v>0</v>
      </c>
      <c r="AO7" s="241"/>
      <c r="AP7" s="242"/>
      <c r="AQ7" s="242">
        <f t="shared" ref="AQ7:AQ70" si="16">SUM(AO7:AP7)</f>
        <v>0</v>
      </c>
      <c r="AR7" s="241"/>
      <c r="AS7" s="242"/>
      <c r="AT7" s="242">
        <f t="shared" ref="AT7:AT70" si="17">SUM(AR7:AS7)</f>
        <v>0</v>
      </c>
      <c r="AU7" s="241"/>
      <c r="AV7" s="242"/>
      <c r="AW7" s="242">
        <f t="shared" ref="AW7:AW70" si="18">SUM(AU7:AV7)</f>
        <v>0</v>
      </c>
      <c r="AX7" s="241"/>
      <c r="AY7" s="242"/>
      <c r="AZ7" s="242">
        <f t="shared" ref="AZ7:AZ70" si="19">SUM(AX7:AY7)</f>
        <v>0</v>
      </c>
      <c r="BA7" s="241"/>
      <c r="BB7" s="242"/>
      <c r="BC7" s="242">
        <f t="shared" ref="BC7:BC70" si="20">SUM(BA7:BB7)</f>
        <v>0</v>
      </c>
      <c r="BD7" s="241"/>
      <c r="BE7" s="242"/>
      <c r="BF7" s="242">
        <f t="shared" ref="BF7:BF70" si="21">SUM(BD7:BE7)</f>
        <v>0</v>
      </c>
      <c r="BG7" s="242">
        <f t="shared" ref="BG7:BG70" si="22">BF7+AB7+AE7+AH7+AK7+AN7+AQ7+AT7+AW7+AZ7+BC7</f>
        <v>0</v>
      </c>
      <c r="BH7" s="242"/>
      <c r="BI7" s="242">
        <f t="shared" ref="BI7:BI70" si="23">BG7+BH7</f>
        <v>0</v>
      </c>
      <c r="BJ7" s="242">
        <f t="shared" ref="BJ7:BJ70" si="24">U7-BI7</f>
        <v>0</v>
      </c>
      <c r="BK7" s="242">
        <f t="shared" ref="BK7:BK70" si="25">BI7-BL7-BM7</f>
        <v>0</v>
      </c>
      <c r="BL7" s="242"/>
      <c r="BM7" s="242"/>
      <c r="BN7" s="242">
        <f t="shared" ref="BN7:BN70" si="26">BH7-BO7-BP7</f>
        <v>0</v>
      </c>
      <c r="BO7" s="242"/>
      <c r="BP7" s="242"/>
      <c r="BQ7" s="242">
        <f t="shared" ref="BQ7:BQ70" si="27">BJ7-BR7-BS7</f>
        <v>0</v>
      </c>
      <c r="BR7" s="242"/>
      <c r="BS7" s="242"/>
      <c r="BT7" s="414">
        <v>742000</v>
      </c>
      <c r="BZ7" s="414"/>
      <c r="CA7" s="414"/>
      <c r="CB7" s="337">
        <f t="shared" si="1"/>
        <v>0</v>
      </c>
    </row>
    <row r="8" spans="1:80" s="418" customFormat="1">
      <c r="A8" s="414">
        <f t="shared" ref="A8:A71" si="28">A7+1</f>
        <v>3</v>
      </c>
      <c r="B8" s="414">
        <v>439</v>
      </c>
      <c r="C8" s="415" t="s">
        <v>165</v>
      </c>
      <c r="D8" s="416">
        <f>17325000-234197</f>
        <v>17090803</v>
      </c>
      <c r="E8" s="337">
        <v>17325000</v>
      </c>
      <c r="F8" s="337">
        <f t="shared" si="0"/>
        <v>-234197</v>
      </c>
      <c r="G8" s="337">
        <v>17325000</v>
      </c>
      <c r="H8" s="337">
        <v>16320219</v>
      </c>
      <c r="I8" s="337">
        <v>70583.8</v>
      </c>
      <c r="J8" s="337"/>
      <c r="K8" s="337">
        <f t="shared" si="2"/>
        <v>70583.8</v>
      </c>
      <c r="L8" s="337">
        <f t="shared" si="3"/>
        <v>16390802.800000001</v>
      </c>
      <c r="M8" s="416">
        <f>P8+S8-234197</f>
        <v>700000.19999999925</v>
      </c>
      <c r="N8" s="416"/>
      <c r="O8" s="337">
        <f t="shared" si="5"/>
        <v>0</v>
      </c>
      <c r="P8" s="337">
        <f t="shared" si="6"/>
        <v>934197.19999999925</v>
      </c>
      <c r="Q8" s="337"/>
      <c r="R8" s="416"/>
      <c r="S8" s="337">
        <f t="shared" si="7"/>
        <v>0</v>
      </c>
      <c r="T8" s="416">
        <f t="shared" si="8"/>
        <v>234197</v>
      </c>
      <c r="U8" s="416">
        <f t="shared" si="9"/>
        <v>-234197</v>
      </c>
      <c r="V8" s="416">
        <f t="shared" si="10"/>
        <v>-234197</v>
      </c>
      <c r="W8" s="337"/>
      <c r="X8" s="337"/>
      <c r="Y8" s="415"/>
      <c r="Z8" s="242">
        <v>-234197</v>
      </c>
      <c r="AA8" s="242"/>
      <c r="AB8" s="242">
        <f t="shared" si="11"/>
        <v>-234197</v>
      </c>
      <c r="AC8" s="242"/>
      <c r="AD8" s="242"/>
      <c r="AE8" s="242">
        <f t="shared" si="12"/>
        <v>0</v>
      </c>
      <c r="AF8" s="241"/>
      <c r="AG8" s="241"/>
      <c r="AH8" s="242">
        <f t="shared" si="13"/>
        <v>0</v>
      </c>
      <c r="AI8" s="241"/>
      <c r="AJ8" s="242"/>
      <c r="AK8" s="242">
        <f t="shared" si="14"/>
        <v>0</v>
      </c>
      <c r="AL8" s="241"/>
      <c r="AM8" s="242"/>
      <c r="AN8" s="242">
        <f t="shared" si="15"/>
        <v>0</v>
      </c>
      <c r="AO8" s="241"/>
      <c r="AP8" s="242"/>
      <c r="AQ8" s="242">
        <f t="shared" si="16"/>
        <v>0</v>
      </c>
      <c r="AR8" s="241"/>
      <c r="AS8" s="242"/>
      <c r="AT8" s="242">
        <f t="shared" si="17"/>
        <v>0</v>
      </c>
      <c r="AU8" s="241"/>
      <c r="AV8" s="242"/>
      <c r="AW8" s="242">
        <f t="shared" si="18"/>
        <v>0</v>
      </c>
      <c r="AX8" s="241"/>
      <c r="AY8" s="242"/>
      <c r="AZ8" s="242">
        <f t="shared" si="19"/>
        <v>0</v>
      </c>
      <c r="BA8" s="241"/>
      <c r="BB8" s="242"/>
      <c r="BC8" s="242">
        <f t="shared" si="20"/>
        <v>0</v>
      </c>
      <c r="BD8" s="241"/>
      <c r="BE8" s="242"/>
      <c r="BF8" s="242">
        <f t="shared" si="21"/>
        <v>0</v>
      </c>
      <c r="BG8" s="242">
        <f t="shared" si="22"/>
        <v>-234197</v>
      </c>
      <c r="BH8" s="242"/>
      <c r="BI8" s="242">
        <f t="shared" si="23"/>
        <v>-234197</v>
      </c>
      <c r="BJ8" s="242">
        <f t="shared" si="24"/>
        <v>0</v>
      </c>
      <c r="BK8" s="242">
        <f t="shared" si="25"/>
        <v>-234197</v>
      </c>
      <c r="BL8" s="242"/>
      <c r="BM8" s="242"/>
      <c r="BN8" s="242">
        <f t="shared" si="26"/>
        <v>0</v>
      </c>
      <c r="BO8" s="242"/>
      <c r="BP8" s="242"/>
      <c r="BQ8" s="242">
        <f t="shared" si="27"/>
        <v>0</v>
      </c>
      <c r="BR8" s="242"/>
      <c r="BS8" s="242"/>
      <c r="BT8" s="414">
        <v>742000</v>
      </c>
      <c r="BU8" s="413"/>
      <c r="BZ8" s="419"/>
      <c r="CA8" s="419"/>
      <c r="CB8" s="337">
        <f t="shared" si="1"/>
        <v>-234197</v>
      </c>
    </row>
    <row r="9" spans="1:80" s="418" customFormat="1">
      <c r="A9" s="414">
        <f t="shared" si="28"/>
        <v>4</v>
      </c>
      <c r="B9" s="414">
        <v>532</v>
      </c>
      <c r="C9" s="415" t="s">
        <v>166</v>
      </c>
      <c r="D9" s="416">
        <v>80090000</v>
      </c>
      <c r="E9" s="337">
        <v>80090000</v>
      </c>
      <c r="F9" s="337">
        <f t="shared" si="0"/>
        <v>0</v>
      </c>
      <c r="G9" s="337">
        <v>58690000</v>
      </c>
      <c r="H9" s="337">
        <v>51942899.969999999</v>
      </c>
      <c r="I9" s="337">
        <v>6205297.6200000001</v>
      </c>
      <c r="J9" s="337">
        <v>1180.55</v>
      </c>
      <c r="K9" s="337">
        <f t="shared" si="2"/>
        <v>6206478.1699999999</v>
      </c>
      <c r="L9" s="337">
        <f t="shared" si="3"/>
        <v>58149378.140000001</v>
      </c>
      <c r="M9" s="416">
        <f t="shared" si="4"/>
        <v>10540621.859999999</v>
      </c>
      <c r="N9" s="416">
        <f>11400000-5000000</f>
        <v>6400000</v>
      </c>
      <c r="O9" s="337">
        <f t="shared" si="5"/>
        <v>5000000</v>
      </c>
      <c r="P9" s="337">
        <f t="shared" si="6"/>
        <v>540621.8599999994</v>
      </c>
      <c r="Q9" s="417">
        <v>10000000</v>
      </c>
      <c r="R9" s="416"/>
      <c r="S9" s="337">
        <f t="shared" si="7"/>
        <v>10000000</v>
      </c>
      <c r="T9" s="416">
        <f t="shared" si="8"/>
        <v>0</v>
      </c>
      <c r="U9" s="416">
        <f t="shared" si="9"/>
        <v>6400000</v>
      </c>
      <c r="V9" s="416">
        <f t="shared" si="10"/>
        <v>6400000</v>
      </c>
      <c r="W9" s="337"/>
      <c r="X9" s="337"/>
      <c r="Y9" s="415"/>
      <c r="Z9" s="242"/>
      <c r="AA9" s="242"/>
      <c r="AB9" s="242">
        <f t="shared" si="11"/>
        <v>0</v>
      </c>
      <c r="AC9" s="242"/>
      <c r="AD9" s="242"/>
      <c r="AE9" s="242">
        <f t="shared" si="12"/>
        <v>0</v>
      </c>
      <c r="AF9" s="241"/>
      <c r="AG9" s="241"/>
      <c r="AH9" s="242">
        <f t="shared" si="13"/>
        <v>0</v>
      </c>
      <c r="AI9" s="241"/>
      <c r="AJ9" s="242"/>
      <c r="AK9" s="242">
        <f t="shared" si="14"/>
        <v>0</v>
      </c>
      <c r="AL9" s="241"/>
      <c r="AM9" s="242"/>
      <c r="AN9" s="242">
        <f t="shared" si="15"/>
        <v>0</v>
      </c>
      <c r="AO9" s="241"/>
      <c r="AP9" s="242"/>
      <c r="AQ9" s="242">
        <f t="shared" si="16"/>
        <v>0</v>
      </c>
      <c r="AR9" s="241"/>
      <c r="AS9" s="242"/>
      <c r="AT9" s="242">
        <f t="shared" si="17"/>
        <v>0</v>
      </c>
      <c r="AU9" s="241"/>
      <c r="AV9" s="242"/>
      <c r="AW9" s="242">
        <f t="shared" si="18"/>
        <v>0</v>
      </c>
      <c r="AX9" s="241"/>
      <c r="AY9" s="242"/>
      <c r="AZ9" s="242">
        <f t="shared" si="19"/>
        <v>0</v>
      </c>
      <c r="BA9" s="241"/>
      <c r="BB9" s="242"/>
      <c r="BC9" s="242">
        <f t="shared" si="20"/>
        <v>0</v>
      </c>
      <c r="BD9" s="242">
        <v>6000000</v>
      </c>
      <c r="BE9" s="242">
        <v>400000</v>
      </c>
      <c r="BF9" s="242">
        <f t="shared" si="21"/>
        <v>6400000</v>
      </c>
      <c r="BG9" s="242">
        <f t="shared" si="22"/>
        <v>6400000</v>
      </c>
      <c r="BH9" s="242"/>
      <c r="BI9" s="242">
        <f t="shared" si="23"/>
        <v>6400000</v>
      </c>
      <c r="BJ9" s="242">
        <f t="shared" si="24"/>
        <v>0</v>
      </c>
      <c r="BK9" s="242">
        <f t="shared" si="25"/>
        <v>6400000</v>
      </c>
      <c r="BL9" s="242"/>
      <c r="BM9" s="242"/>
      <c r="BN9" s="242">
        <f t="shared" si="26"/>
        <v>0</v>
      </c>
      <c r="BO9" s="242"/>
      <c r="BP9" s="242"/>
      <c r="BQ9" s="242">
        <f t="shared" si="27"/>
        <v>0</v>
      </c>
      <c r="BR9" s="242"/>
      <c r="BS9" s="242"/>
      <c r="BT9" s="414">
        <v>742000</v>
      </c>
      <c r="BU9" s="413"/>
      <c r="BZ9" s="419"/>
      <c r="CA9" s="419"/>
      <c r="CB9" s="337">
        <f t="shared" si="1"/>
        <v>6400000</v>
      </c>
    </row>
    <row r="10" spans="1:80" s="418" customFormat="1">
      <c r="A10" s="414">
        <f t="shared" si="28"/>
        <v>5</v>
      </c>
      <c r="B10" s="414">
        <v>576</v>
      </c>
      <c r="C10" s="415" t="s">
        <v>167</v>
      </c>
      <c r="D10" s="416">
        <f>45113000+1200000</f>
        <v>46313000</v>
      </c>
      <c r="E10" s="337">
        <v>45113000</v>
      </c>
      <c r="F10" s="337">
        <f t="shared" si="0"/>
        <v>1200000</v>
      </c>
      <c r="G10" s="337">
        <v>45113000</v>
      </c>
      <c r="H10" s="337">
        <v>41595726.600000001</v>
      </c>
      <c r="I10" s="337">
        <v>2313511.94</v>
      </c>
      <c r="J10" s="337">
        <v>1726.19</v>
      </c>
      <c r="K10" s="337">
        <f t="shared" si="2"/>
        <v>2315238.13</v>
      </c>
      <c r="L10" s="337">
        <f t="shared" si="3"/>
        <v>43910964.730000004</v>
      </c>
      <c r="M10" s="416">
        <f t="shared" si="4"/>
        <v>1202035.2699999958</v>
      </c>
      <c r="N10" s="416">
        <v>1200000</v>
      </c>
      <c r="O10" s="337">
        <f t="shared" si="5"/>
        <v>0</v>
      </c>
      <c r="P10" s="337">
        <f t="shared" si="6"/>
        <v>1202035.2699999958</v>
      </c>
      <c r="Q10" s="337"/>
      <c r="R10" s="416"/>
      <c r="S10" s="337">
        <f t="shared" si="7"/>
        <v>0</v>
      </c>
      <c r="T10" s="416">
        <f t="shared" si="8"/>
        <v>0</v>
      </c>
      <c r="U10" s="416">
        <f t="shared" si="9"/>
        <v>1200000</v>
      </c>
      <c r="V10" s="416">
        <f t="shared" si="10"/>
        <v>0</v>
      </c>
      <c r="W10" s="337"/>
      <c r="X10" s="337"/>
      <c r="Y10" s="416">
        <v>1200000</v>
      </c>
      <c r="Z10" s="242"/>
      <c r="AA10" s="242"/>
      <c r="AB10" s="242">
        <f t="shared" si="11"/>
        <v>0</v>
      </c>
      <c r="AC10" s="242"/>
      <c r="AD10" s="242"/>
      <c r="AE10" s="242">
        <f t="shared" si="12"/>
        <v>0</v>
      </c>
      <c r="AF10" s="241"/>
      <c r="AG10" s="241"/>
      <c r="AH10" s="242">
        <f t="shared" si="13"/>
        <v>0</v>
      </c>
      <c r="AI10" s="241"/>
      <c r="AJ10" s="242"/>
      <c r="AK10" s="242">
        <f t="shared" si="14"/>
        <v>0</v>
      </c>
      <c r="AL10" s="241"/>
      <c r="AM10" s="242"/>
      <c r="AN10" s="242">
        <f t="shared" si="15"/>
        <v>0</v>
      </c>
      <c r="AO10" s="241"/>
      <c r="AP10" s="242"/>
      <c r="AQ10" s="242">
        <f t="shared" si="16"/>
        <v>0</v>
      </c>
      <c r="AR10" s="241"/>
      <c r="AS10" s="242"/>
      <c r="AT10" s="242">
        <f t="shared" si="17"/>
        <v>0</v>
      </c>
      <c r="AU10" s="241"/>
      <c r="AV10" s="242"/>
      <c r="AW10" s="242">
        <f t="shared" si="18"/>
        <v>0</v>
      </c>
      <c r="AX10" s="241"/>
      <c r="AY10" s="242"/>
      <c r="AZ10" s="242">
        <f t="shared" si="19"/>
        <v>0</v>
      </c>
      <c r="BA10" s="241"/>
      <c r="BB10" s="242"/>
      <c r="BC10" s="242">
        <f t="shared" si="20"/>
        <v>0</v>
      </c>
      <c r="BD10" s="242"/>
      <c r="BE10" s="242"/>
      <c r="BF10" s="242">
        <f t="shared" si="21"/>
        <v>0</v>
      </c>
      <c r="BG10" s="242">
        <f t="shared" si="22"/>
        <v>0</v>
      </c>
      <c r="BH10" s="242"/>
      <c r="BI10" s="242">
        <f t="shared" si="23"/>
        <v>0</v>
      </c>
      <c r="BJ10" s="242">
        <f t="shared" si="24"/>
        <v>1200000</v>
      </c>
      <c r="BK10" s="242">
        <f t="shared" si="25"/>
        <v>0</v>
      </c>
      <c r="BL10" s="242"/>
      <c r="BM10" s="242"/>
      <c r="BN10" s="242">
        <f t="shared" si="26"/>
        <v>0</v>
      </c>
      <c r="BO10" s="242"/>
      <c r="BP10" s="242"/>
      <c r="BQ10" s="242">
        <f t="shared" si="27"/>
        <v>0</v>
      </c>
      <c r="BR10" s="242"/>
      <c r="BS10" s="242">
        <v>1200000</v>
      </c>
      <c r="BT10" s="414">
        <v>760000</v>
      </c>
      <c r="BU10" s="413"/>
      <c r="BZ10" s="419"/>
      <c r="CA10" s="419"/>
      <c r="CB10" s="337">
        <f t="shared" si="1"/>
        <v>0</v>
      </c>
    </row>
    <row r="11" spans="1:80" s="418" customFormat="1">
      <c r="A11" s="414">
        <f t="shared" si="28"/>
        <v>6</v>
      </c>
      <c r="B11" s="414">
        <v>634</v>
      </c>
      <c r="C11" s="415" t="s">
        <v>168</v>
      </c>
      <c r="D11" s="416">
        <v>57250000</v>
      </c>
      <c r="E11" s="337">
        <v>57250000</v>
      </c>
      <c r="F11" s="337">
        <f t="shared" si="0"/>
        <v>0</v>
      </c>
      <c r="G11" s="337">
        <f>49950000+800000</f>
        <v>50750000</v>
      </c>
      <c r="H11" s="337">
        <v>46664300</v>
      </c>
      <c r="I11" s="337">
        <v>2533007</v>
      </c>
      <c r="J11" s="337">
        <v>1553.41</v>
      </c>
      <c r="K11" s="337">
        <f t="shared" si="2"/>
        <v>2534560.41</v>
      </c>
      <c r="L11" s="337">
        <f t="shared" si="3"/>
        <v>49198860.409999996</v>
      </c>
      <c r="M11" s="416">
        <f t="shared" si="4"/>
        <v>8051139.5900000036</v>
      </c>
      <c r="N11" s="416"/>
      <c r="O11" s="337">
        <f t="shared" si="5"/>
        <v>0</v>
      </c>
      <c r="P11" s="337">
        <f t="shared" si="6"/>
        <v>1551139.5900000036</v>
      </c>
      <c r="Q11" s="420">
        <f>7300000-800000</f>
        <v>6500000</v>
      </c>
      <c r="R11" s="416"/>
      <c r="S11" s="337">
        <f t="shared" si="7"/>
        <v>6500000</v>
      </c>
      <c r="T11" s="416">
        <f t="shared" si="8"/>
        <v>0</v>
      </c>
      <c r="U11" s="416">
        <f t="shared" si="9"/>
        <v>0</v>
      </c>
      <c r="V11" s="416">
        <f t="shared" si="10"/>
        <v>0</v>
      </c>
      <c r="W11" s="337"/>
      <c r="X11" s="337"/>
      <c r="Y11" s="415"/>
      <c r="Z11" s="242"/>
      <c r="AA11" s="242"/>
      <c r="AB11" s="242">
        <f t="shared" si="11"/>
        <v>0</v>
      </c>
      <c r="AC11" s="242"/>
      <c r="AD11" s="242"/>
      <c r="AE11" s="242">
        <f t="shared" si="12"/>
        <v>0</v>
      </c>
      <c r="AF11" s="13"/>
      <c r="AG11" s="13"/>
      <c r="AH11" s="242">
        <f t="shared" si="13"/>
        <v>0</v>
      </c>
      <c r="AI11" s="13"/>
      <c r="AJ11" s="242"/>
      <c r="AK11" s="242">
        <f t="shared" si="14"/>
        <v>0</v>
      </c>
      <c r="AL11" s="13"/>
      <c r="AM11" s="242"/>
      <c r="AN11" s="242">
        <f t="shared" si="15"/>
        <v>0</v>
      </c>
      <c r="AO11" s="13"/>
      <c r="AP11" s="242"/>
      <c r="AQ11" s="242">
        <f t="shared" si="16"/>
        <v>0</v>
      </c>
      <c r="AR11" s="13"/>
      <c r="AS11" s="242"/>
      <c r="AT11" s="242">
        <f t="shared" si="17"/>
        <v>0</v>
      </c>
      <c r="AU11" s="13"/>
      <c r="AV11" s="242"/>
      <c r="AW11" s="242">
        <f t="shared" si="18"/>
        <v>0</v>
      </c>
      <c r="AX11" s="13"/>
      <c r="AY11" s="242"/>
      <c r="AZ11" s="242">
        <f t="shared" si="19"/>
        <v>0</v>
      </c>
      <c r="BA11" s="13"/>
      <c r="BB11" s="242"/>
      <c r="BC11" s="242">
        <f t="shared" si="20"/>
        <v>0</v>
      </c>
      <c r="BD11" s="242"/>
      <c r="BE11" s="242"/>
      <c r="BF11" s="242">
        <f t="shared" si="21"/>
        <v>0</v>
      </c>
      <c r="BG11" s="242">
        <f t="shared" si="22"/>
        <v>0</v>
      </c>
      <c r="BH11" s="242"/>
      <c r="BI11" s="242">
        <f t="shared" si="23"/>
        <v>0</v>
      </c>
      <c r="BJ11" s="242">
        <f t="shared" si="24"/>
        <v>0</v>
      </c>
      <c r="BK11" s="242">
        <f t="shared" si="25"/>
        <v>0</v>
      </c>
      <c r="BL11" s="242"/>
      <c r="BM11" s="242"/>
      <c r="BN11" s="242">
        <f t="shared" si="26"/>
        <v>0</v>
      </c>
      <c r="BO11" s="242"/>
      <c r="BP11" s="242"/>
      <c r="BQ11" s="242">
        <f t="shared" si="27"/>
        <v>0</v>
      </c>
      <c r="BR11" s="242"/>
      <c r="BS11" s="242"/>
      <c r="BT11" s="414">
        <v>732000</v>
      </c>
      <c r="BU11" s="413"/>
      <c r="BZ11" s="419"/>
      <c r="CA11" s="419"/>
      <c r="CB11" s="337">
        <f t="shared" si="1"/>
        <v>0</v>
      </c>
    </row>
    <row r="12" spans="1:80" s="418" customFormat="1">
      <c r="A12" s="414">
        <f t="shared" si="28"/>
        <v>7</v>
      </c>
      <c r="B12" s="414">
        <v>642</v>
      </c>
      <c r="C12" s="415" t="s">
        <v>169</v>
      </c>
      <c r="D12" s="416">
        <v>15780000</v>
      </c>
      <c r="E12" s="337">
        <v>15780000</v>
      </c>
      <c r="F12" s="337">
        <f t="shared" si="0"/>
        <v>0</v>
      </c>
      <c r="G12" s="337">
        <f>14880000+500000</f>
        <v>15380000</v>
      </c>
      <c r="H12" s="337">
        <v>13469675.880000001</v>
      </c>
      <c r="I12" s="337">
        <v>910080.21</v>
      </c>
      <c r="J12" s="337"/>
      <c r="K12" s="337">
        <f t="shared" si="2"/>
        <v>910080.21</v>
      </c>
      <c r="L12" s="337">
        <f t="shared" si="3"/>
        <v>14379756.09</v>
      </c>
      <c r="M12" s="416">
        <f t="shared" si="4"/>
        <v>1400243.9100000001</v>
      </c>
      <c r="N12" s="416"/>
      <c r="O12" s="337">
        <f t="shared" si="5"/>
        <v>0</v>
      </c>
      <c r="P12" s="337">
        <f t="shared" si="6"/>
        <v>1000243.9100000001</v>
      </c>
      <c r="Q12" s="421">
        <f>900000-500000</f>
        <v>400000</v>
      </c>
      <c r="R12" s="416"/>
      <c r="S12" s="337">
        <f t="shared" si="7"/>
        <v>400000</v>
      </c>
      <c r="T12" s="416">
        <f t="shared" si="8"/>
        <v>0</v>
      </c>
      <c r="U12" s="416">
        <f t="shared" si="9"/>
        <v>0</v>
      </c>
      <c r="V12" s="416">
        <f t="shared" si="10"/>
        <v>0</v>
      </c>
      <c r="W12" s="337"/>
      <c r="X12" s="337"/>
      <c r="Y12" s="415"/>
      <c r="Z12" s="242"/>
      <c r="AA12" s="242"/>
      <c r="AB12" s="242">
        <f t="shared" si="11"/>
        <v>0</v>
      </c>
      <c r="AC12" s="242"/>
      <c r="AD12" s="242"/>
      <c r="AE12" s="242">
        <f t="shared" si="12"/>
        <v>0</v>
      </c>
      <c r="AF12" s="13"/>
      <c r="AG12" s="13"/>
      <c r="AH12" s="242">
        <f t="shared" si="13"/>
        <v>0</v>
      </c>
      <c r="AI12" s="13"/>
      <c r="AJ12" s="242"/>
      <c r="AK12" s="242">
        <f t="shared" si="14"/>
        <v>0</v>
      </c>
      <c r="AL12" s="13"/>
      <c r="AM12" s="242"/>
      <c r="AN12" s="242">
        <f t="shared" si="15"/>
        <v>0</v>
      </c>
      <c r="AO12" s="13"/>
      <c r="AP12" s="242"/>
      <c r="AQ12" s="242">
        <f t="shared" si="16"/>
        <v>0</v>
      </c>
      <c r="AR12" s="13"/>
      <c r="AS12" s="242"/>
      <c r="AT12" s="242">
        <f t="shared" si="17"/>
        <v>0</v>
      </c>
      <c r="AU12" s="13"/>
      <c r="AV12" s="242"/>
      <c r="AW12" s="242">
        <f t="shared" si="18"/>
        <v>0</v>
      </c>
      <c r="AX12" s="13"/>
      <c r="AY12" s="242"/>
      <c r="AZ12" s="242">
        <f t="shared" si="19"/>
        <v>0</v>
      </c>
      <c r="BA12" s="13"/>
      <c r="BB12" s="242"/>
      <c r="BC12" s="242">
        <f t="shared" si="20"/>
        <v>0</v>
      </c>
      <c r="BD12" s="242"/>
      <c r="BE12" s="242"/>
      <c r="BF12" s="242">
        <f t="shared" si="21"/>
        <v>0</v>
      </c>
      <c r="BG12" s="242">
        <f t="shared" si="22"/>
        <v>0</v>
      </c>
      <c r="BH12" s="242"/>
      <c r="BI12" s="242">
        <f t="shared" si="23"/>
        <v>0</v>
      </c>
      <c r="BJ12" s="242">
        <f t="shared" si="24"/>
        <v>0</v>
      </c>
      <c r="BK12" s="242">
        <f t="shared" si="25"/>
        <v>0</v>
      </c>
      <c r="BL12" s="242"/>
      <c r="BM12" s="242"/>
      <c r="BN12" s="242">
        <f t="shared" si="26"/>
        <v>0</v>
      </c>
      <c r="BO12" s="242"/>
      <c r="BP12" s="242"/>
      <c r="BQ12" s="242">
        <f t="shared" si="27"/>
        <v>0</v>
      </c>
      <c r="BR12" s="242"/>
      <c r="BS12" s="242"/>
      <c r="BT12" s="414">
        <v>742000</v>
      </c>
      <c r="BU12" s="413"/>
      <c r="BZ12" s="419"/>
      <c r="CA12" s="337"/>
      <c r="CB12" s="337">
        <f t="shared" si="1"/>
        <v>0</v>
      </c>
    </row>
    <row r="13" spans="1:80" s="413" customFormat="1">
      <c r="A13" s="414">
        <f t="shared" si="28"/>
        <v>8</v>
      </c>
      <c r="B13" s="414">
        <v>1067</v>
      </c>
      <c r="C13" s="415" t="s">
        <v>170</v>
      </c>
      <c r="D13" s="416">
        <f>3075000+500000</f>
        <v>3575000</v>
      </c>
      <c r="E13" s="337">
        <v>3075000</v>
      </c>
      <c r="F13" s="337">
        <f t="shared" si="0"/>
        <v>500000</v>
      </c>
      <c r="G13" s="337">
        <f>2575000+100000</f>
        <v>2675000</v>
      </c>
      <c r="H13" s="337">
        <v>2398366.44</v>
      </c>
      <c r="I13" s="337">
        <v>175934.72</v>
      </c>
      <c r="J13" s="337"/>
      <c r="K13" s="337">
        <f t="shared" si="2"/>
        <v>175934.72</v>
      </c>
      <c r="L13" s="337">
        <f t="shared" si="3"/>
        <v>2574301.16</v>
      </c>
      <c r="M13" s="416">
        <f t="shared" si="4"/>
        <v>500698.83999999985</v>
      </c>
      <c r="N13" s="416">
        <v>500000</v>
      </c>
      <c r="O13" s="337">
        <f t="shared" si="5"/>
        <v>0</v>
      </c>
      <c r="P13" s="337">
        <f t="shared" si="6"/>
        <v>100698.83999999985</v>
      </c>
      <c r="Q13" s="420">
        <f>500000-100000</f>
        <v>400000</v>
      </c>
      <c r="R13" s="416"/>
      <c r="S13" s="337">
        <f t="shared" si="7"/>
        <v>400000</v>
      </c>
      <c r="T13" s="416">
        <f t="shared" si="8"/>
        <v>0</v>
      </c>
      <c r="U13" s="416">
        <f t="shared" si="9"/>
        <v>500000</v>
      </c>
      <c r="V13" s="416">
        <f t="shared" si="10"/>
        <v>500000</v>
      </c>
      <c r="W13" s="337"/>
      <c r="X13" s="337"/>
      <c r="Y13" s="415"/>
      <c r="Z13" s="242"/>
      <c r="AA13" s="242"/>
      <c r="AB13" s="242">
        <f t="shared" si="11"/>
        <v>0</v>
      </c>
      <c r="AC13" s="242"/>
      <c r="AD13" s="242"/>
      <c r="AE13" s="242">
        <f t="shared" si="12"/>
        <v>0</v>
      </c>
      <c r="AF13" s="13"/>
      <c r="AG13" s="13"/>
      <c r="AH13" s="242">
        <f t="shared" si="13"/>
        <v>0</v>
      </c>
      <c r="AI13" s="13"/>
      <c r="AJ13" s="242"/>
      <c r="AK13" s="242">
        <f t="shared" si="14"/>
        <v>0</v>
      </c>
      <c r="AL13" s="13"/>
      <c r="AM13" s="242"/>
      <c r="AN13" s="242">
        <f t="shared" si="15"/>
        <v>0</v>
      </c>
      <c r="AO13" s="13"/>
      <c r="AP13" s="242"/>
      <c r="AQ13" s="242">
        <f t="shared" si="16"/>
        <v>0</v>
      </c>
      <c r="AR13" s="13"/>
      <c r="AS13" s="242"/>
      <c r="AT13" s="242">
        <f t="shared" si="17"/>
        <v>0</v>
      </c>
      <c r="AU13" s="13"/>
      <c r="AV13" s="242"/>
      <c r="AW13" s="242">
        <f t="shared" si="18"/>
        <v>0</v>
      </c>
      <c r="AX13" s="13"/>
      <c r="AY13" s="242"/>
      <c r="AZ13" s="242">
        <f t="shared" si="19"/>
        <v>0</v>
      </c>
      <c r="BA13" s="13"/>
      <c r="BB13" s="242"/>
      <c r="BC13" s="242">
        <f t="shared" si="20"/>
        <v>0</v>
      </c>
      <c r="BD13" s="242">
        <v>500000</v>
      </c>
      <c r="BE13" s="242"/>
      <c r="BF13" s="242">
        <f t="shared" si="21"/>
        <v>500000</v>
      </c>
      <c r="BG13" s="242">
        <f t="shared" si="22"/>
        <v>500000</v>
      </c>
      <c r="BH13" s="242"/>
      <c r="BI13" s="242">
        <f t="shared" si="23"/>
        <v>500000</v>
      </c>
      <c r="BJ13" s="242">
        <f t="shared" si="24"/>
        <v>0</v>
      </c>
      <c r="BK13" s="242">
        <f t="shared" si="25"/>
        <v>500000</v>
      </c>
      <c r="BL13" s="242"/>
      <c r="BM13" s="242"/>
      <c r="BN13" s="242">
        <f t="shared" si="26"/>
        <v>0</v>
      </c>
      <c r="BO13" s="242"/>
      <c r="BP13" s="242"/>
      <c r="BQ13" s="242">
        <f t="shared" si="27"/>
        <v>0</v>
      </c>
      <c r="BR13" s="242"/>
      <c r="BS13" s="242"/>
      <c r="BT13" s="414">
        <v>742000</v>
      </c>
      <c r="BZ13" s="414"/>
      <c r="CA13" s="337"/>
      <c r="CB13" s="337">
        <f t="shared" si="1"/>
        <v>500000</v>
      </c>
    </row>
    <row r="14" spans="1:80" s="418" customFormat="1">
      <c r="A14" s="414">
        <f t="shared" si="28"/>
        <v>9</v>
      </c>
      <c r="B14" s="414">
        <v>1207</v>
      </c>
      <c r="C14" s="415" t="s">
        <v>171</v>
      </c>
      <c r="D14" s="416">
        <v>32500000</v>
      </c>
      <c r="E14" s="337">
        <v>32500000</v>
      </c>
      <c r="F14" s="337">
        <f t="shared" si="0"/>
        <v>0</v>
      </c>
      <c r="G14" s="337">
        <v>17800000</v>
      </c>
      <c r="H14" s="337">
        <v>17799797.899999999</v>
      </c>
      <c r="I14" s="337"/>
      <c r="J14" s="337">
        <v>201.48</v>
      </c>
      <c r="K14" s="337">
        <f t="shared" si="2"/>
        <v>201.48</v>
      </c>
      <c r="L14" s="337">
        <f t="shared" si="3"/>
        <v>17799999.379999999</v>
      </c>
      <c r="M14" s="416">
        <f t="shared" si="4"/>
        <v>0.62000000104308128</v>
      </c>
      <c r="N14" s="416">
        <f>2000000-1000000-1000000</f>
        <v>0</v>
      </c>
      <c r="O14" s="337">
        <f t="shared" si="5"/>
        <v>14700000</v>
      </c>
      <c r="P14" s="337">
        <f t="shared" si="6"/>
        <v>0.62000000104308128</v>
      </c>
      <c r="Q14" s="337"/>
      <c r="R14" s="416"/>
      <c r="S14" s="337">
        <f t="shared" si="7"/>
        <v>0</v>
      </c>
      <c r="T14" s="416">
        <f t="shared" si="8"/>
        <v>0</v>
      </c>
      <c r="U14" s="416">
        <f t="shared" si="9"/>
        <v>0</v>
      </c>
      <c r="V14" s="416">
        <f t="shared" si="10"/>
        <v>0</v>
      </c>
      <c r="W14" s="337"/>
      <c r="X14" s="337"/>
      <c r="Y14" s="415"/>
      <c r="Z14" s="242"/>
      <c r="AA14" s="242"/>
      <c r="AB14" s="242">
        <f t="shared" si="11"/>
        <v>0</v>
      </c>
      <c r="AC14" s="242"/>
      <c r="AD14" s="242"/>
      <c r="AE14" s="242">
        <f t="shared" si="12"/>
        <v>0</v>
      </c>
      <c r="AF14" s="241"/>
      <c r="AG14" s="241"/>
      <c r="AH14" s="242">
        <f t="shared" si="13"/>
        <v>0</v>
      </c>
      <c r="AI14" s="241"/>
      <c r="AJ14" s="242"/>
      <c r="AK14" s="242">
        <f t="shared" si="14"/>
        <v>0</v>
      </c>
      <c r="AL14" s="241"/>
      <c r="AM14" s="242"/>
      <c r="AN14" s="242">
        <f t="shared" si="15"/>
        <v>0</v>
      </c>
      <c r="AO14" s="241"/>
      <c r="AP14" s="242"/>
      <c r="AQ14" s="242">
        <f t="shared" si="16"/>
        <v>0</v>
      </c>
      <c r="AR14" s="241"/>
      <c r="AS14" s="242"/>
      <c r="AT14" s="242">
        <f t="shared" si="17"/>
        <v>0</v>
      </c>
      <c r="AU14" s="241"/>
      <c r="AV14" s="242"/>
      <c r="AW14" s="242">
        <f t="shared" si="18"/>
        <v>0</v>
      </c>
      <c r="AX14" s="241"/>
      <c r="AY14" s="242"/>
      <c r="AZ14" s="242">
        <f t="shared" si="19"/>
        <v>0</v>
      </c>
      <c r="BA14" s="241"/>
      <c r="BB14" s="242"/>
      <c r="BC14" s="242">
        <f t="shared" si="20"/>
        <v>0</v>
      </c>
      <c r="BD14" s="242"/>
      <c r="BE14" s="242"/>
      <c r="BF14" s="242">
        <f t="shared" si="21"/>
        <v>0</v>
      </c>
      <c r="BG14" s="242">
        <f t="shared" si="22"/>
        <v>0</v>
      </c>
      <c r="BH14" s="242"/>
      <c r="BI14" s="242">
        <f t="shared" si="23"/>
        <v>0</v>
      </c>
      <c r="BJ14" s="242">
        <f t="shared" si="24"/>
        <v>0</v>
      </c>
      <c r="BK14" s="242">
        <f t="shared" si="25"/>
        <v>0</v>
      </c>
      <c r="BL14" s="242"/>
      <c r="BM14" s="242"/>
      <c r="BN14" s="242">
        <f t="shared" si="26"/>
        <v>0</v>
      </c>
      <c r="BO14" s="242"/>
      <c r="BP14" s="242"/>
      <c r="BQ14" s="242">
        <f t="shared" si="27"/>
        <v>0</v>
      </c>
      <c r="BR14" s="242"/>
      <c r="BS14" s="242"/>
      <c r="BT14" s="414">
        <v>742000</v>
      </c>
      <c r="BU14" s="413"/>
      <c r="BZ14" s="419"/>
      <c r="CA14" s="337"/>
      <c r="CB14" s="422">
        <f t="shared" si="1"/>
        <v>0</v>
      </c>
    </row>
    <row r="15" spans="1:80" s="418" customFormat="1">
      <c r="A15" s="414">
        <f t="shared" si="28"/>
        <v>10</v>
      </c>
      <c r="B15" s="414">
        <v>1238</v>
      </c>
      <c r="C15" s="415" t="s">
        <v>172</v>
      </c>
      <c r="D15" s="416">
        <v>32940000</v>
      </c>
      <c r="E15" s="337">
        <v>32940000</v>
      </c>
      <c r="F15" s="337">
        <f t="shared" si="0"/>
        <v>0</v>
      </c>
      <c r="G15" s="337">
        <v>23940000</v>
      </c>
      <c r="H15" s="337">
        <v>23512804.199999999</v>
      </c>
      <c r="I15" s="337">
        <v>422754.24</v>
      </c>
      <c r="J15" s="337">
        <v>1184.04</v>
      </c>
      <c r="K15" s="337">
        <f t="shared" si="2"/>
        <v>423938.27999999997</v>
      </c>
      <c r="L15" s="337">
        <f t="shared" si="3"/>
        <v>23936742.48</v>
      </c>
      <c r="M15" s="416">
        <f t="shared" si="4"/>
        <v>2503257.5199999996</v>
      </c>
      <c r="N15" s="416">
        <f>3600000-3600000</f>
        <v>0</v>
      </c>
      <c r="O15" s="337">
        <f t="shared" si="5"/>
        <v>6500000</v>
      </c>
      <c r="P15" s="337">
        <f t="shared" si="6"/>
        <v>3257.519999999553</v>
      </c>
      <c r="Q15" s="337"/>
      <c r="R15" s="420">
        <v>2500000</v>
      </c>
      <c r="S15" s="337">
        <f t="shared" si="7"/>
        <v>2500000</v>
      </c>
      <c r="T15" s="416">
        <f t="shared" si="8"/>
        <v>0</v>
      </c>
      <c r="U15" s="416">
        <f t="shared" si="9"/>
        <v>0</v>
      </c>
      <c r="V15" s="416">
        <f t="shared" si="10"/>
        <v>0</v>
      </c>
      <c r="W15" s="337"/>
      <c r="X15" s="337"/>
      <c r="Y15" s="415"/>
      <c r="Z15" s="242"/>
      <c r="AA15" s="242"/>
      <c r="AB15" s="242">
        <f t="shared" si="11"/>
        <v>0</v>
      </c>
      <c r="AC15" s="242"/>
      <c r="AD15" s="242"/>
      <c r="AE15" s="242">
        <f t="shared" si="12"/>
        <v>0</v>
      </c>
      <c r="AF15" s="13"/>
      <c r="AG15" s="13"/>
      <c r="AH15" s="242">
        <f t="shared" si="13"/>
        <v>0</v>
      </c>
      <c r="AI15" s="13"/>
      <c r="AJ15" s="242"/>
      <c r="AK15" s="242">
        <f t="shared" si="14"/>
        <v>0</v>
      </c>
      <c r="AL15" s="13"/>
      <c r="AM15" s="242"/>
      <c r="AN15" s="242">
        <f t="shared" si="15"/>
        <v>0</v>
      </c>
      <c r="AO15" s="13"/>
      <c r="AP15" s="242"/>
      <c r="AQ15" s="242">
        <f t="shared" si="16"/>
        <v>0</v>
      </c>
      <c r="AR15" s="13"/>
      <c r="AS15" s="242"/>
      <c r="AT15" s="242">
        <f t="shared" si="17"/>
        <v>0</v>
      </c>
      <c r="AU15" s="13"/>
      <c r="AV15" s="242"/>
      <c r="AW15" s="242">
        <f t="shared" si="18"/>
        <v>0</v>
      </c>
      <c r="AX15" s="13"/>
      <c r="AY15" s="242"/>
      <c r="AZ15" s="242">
        <f t="shared" si="19"/>
        <v>0</v>
      </c>
      <c r="BA15" s="13"/>
      <c r="BB15" s="242"/>
      <c r="BC15" s="242">
        <f t="shared" si="20"/>
        <v>0</v>
      </c>
      <c r="BD15" s="242"/>
      <c r="BE15" s="242"/>
      <c r="BF15" s="242">
        <f t="shared" si="21"/>
        <v>0</v>
      </c>
      <c r="BG15" s="242">
        <f t="shared" si="22"/>
        <v>0</v>
      </c>
      <c r="BH15" s="242"/>
      <c r="BI15" s="242">
        <f t="shared" si="23"/>
        <v>0</v>
      </c>
      <c r="BJ15" s="242">
        <f t="shared" si="24"/>
        <v>0</v>
      </c>
      <c r="BK15" s="242">
        <f t="shared" si="25"/>
        <v>0</v>
      </c>
      <c r="BL15" s="242"/>
      <c r="BM15" s="242"/>
      <c r="BN15" s="242">
        <f t="shared" si="26"/>
        <v>0</v>
      </c>
      <c r="BO15" s="242"/>
      <c r="BP15" s="242"/>
      <c r="BQ15" s="242">
        <f t="shared" si="27"/>
        <v>0</v>
      </c>
      <c r="BR15" s="242"/>
      <c r="BS15" s="242"/>
      <c r="BT15" s="414">
        <v>742000</v>
      </c>
      <c r="BU15" s="413"/>
      <c r="BZ15" s="419"/>
      <c r="CA15" s="337"/>
      <c r="CB15" s="337">
        <f t="shared" si="1"/>
        <v>0</v>
      </c>
    </row>
    <row r="16" spans="1:80" s="418" customFormat="1">
      <c r="A16" s="414">
        <f t="shared" si="28"/>
        <v>11</v>
      </c>
      <c r="B16" s="414">
        <v>1298</v>
      </c>
      <c r="C16" s="415" t="s">
        <v>45</v>
      </c>
      <c r="D16" s="416">
        <f>3100000+500000</f>
        <v>3600000</v>
      </c>
      <c r="E16" s="337">
        <v>3100000</v>
      </c>
      <c r="F16" s="337">
        <f t="shared" si="0"/>
        <v>500000</v>
      </c>
      <c r="G16" s="337">
        <f>2700000+100000</f>
        <v>2800000</v>
      </c>
      <c r="H16" s="337">
        <v>2408798.25</v>
      </c>
      <c r="I16" s="337">
        <v>187511.43</v>
      </c>
      <c r="J16" s="337">
        <v>2634</v>
      </c>
      <c r="K16" s="337">
        <f t="shared" si="2"/>
        <v>190145.43</v>
      </c>
      <c r="L16" s="337">
        <f t="shared" si="3"/>
        <v>2598943.6800000002</v>
      </c>
      <c r="M16" s="416">
        <f t="shared" si="4"/>
        <v>501056.31999999983</v>
      </c>
      <c r="N16" s="416">
        <v>500000</v>
      </c>
      <c r="O16" s="337">
        <f t="shared" si="5"/>
        <v>0</v>
      </c>
      <c r="P16" s="337">
        <f t="shared" si="6"/>
        <v>201056.31999999983</v>
      </c>
      <c r="Q16" s="417">
        <f>400000-100000</f>
        <v>300000</v>
      </c>
      <c r="R16" s="416"/>
      <c r="S16" s="337">
        <f t="shared" si="7"/>
        <v>300000</v>
      </c>
      <c r="T16" s="416">
        <f t="shared" si="8"/>
        <v>0</v>
      </c>
      <c r="U16" s="416">
        <f t="shared" si="9"/>
        <v>500000</v>
      </c>
      <c r="V16" s="416">
        <f t="shared" si="10"/>
        <v>500000</v>
      </c>
      <c r="W16" s="337"/>
      <c r="X16" s="337"/>
      <c r="Y16" s="415"/>
      <c r="Z16" s="242"/>
      <c r="AA16" s="242"/>
      <c r="AB16" s="242">
        <f t="shared" si="11"/>
        <v>0</v>
      </c>
      <c r="AC16" s="242"/>
      <c r="AD16" s="242"/>
      <c r="AE16" s="242">
        <f t="shared" si="12"/>
        <v>0</v>
      </c>
      <c r="AF16" s="13"/>
      <c r="AG16" s="13"/>
      <c r="AH16" s="242">
        <f t="shared" si="13"/>
        <v>0</v>
      </c>
      <c r="AI16" s="13"/>
      <c r="AJ16" s="242">
        <v>100000</v>
      </c>
      <c r="AK16" s="242">
        <f t="shared" si="14"/>
        <v>100000</v>
      </c>
      <c r="AL16" s="13"/>
      <c r="AM16" s="242"/>
      <c r="AN16" s="242">
        <f t="shared" si="15"/>
        <v>0</v>
      </c>
      <c r="AO16" s="13"/>
      <c r="AP16" s="242"/>
      <c r="AQ16" s="242">
        <f t="shared" si="16"/>
        <v>0</v>
      </c>
      <c r="AR16" s="13"/>
      <c r="AS16" s="242"/>
      <c r="AT16" s="242">
        <f t="shared" si="17"/>
        <v>0</v>
      </c>
      <c r="AU16" s="13"/>
      <c r="AV16" s="242"/>
      <c r="AW16" s="242">
        <f t="shared" si="18"/>
        <v>0</v>
      </c>
      <c r="AX16" s="13"/>
      <c r="AY16" s="242"/>
      <c r="AZ16" s="242">
        <f t="shared" si="19"/>
        <v>0</v>
      </c>
      <c r="BA16" s="13"/>
      <c r="BB16" s="242"/>
      <c r="BC16" s="242">
        <f t="shared" si="20"/>
        <v>0</v>
      </c>
      <c r="BD16" s="242"/>
      <c r="BE16" s="242">
        <v>400000</v>
      </c>
      <c r="BF16" s="242">
        <f t="shared" si="21"/>
        <v>400000</v>
      </c>
      <c r="BG16" s="242">
        <f t="shared" si="22"/>
        <v>500000</v>
      </c>
      <c r="BH16" s="242"/>
      <c r="BI16" s="242">
        <f t="shared" si="23"/>
        <v>500000</v>
      </c>
      <c r="BJ16" s="242">
        <f t="shared" si="24"/>
        <v>0</v>
      </c>
      <c r="BK16" s="242">
        <f t="shared" si="25"/>
        <v>500000</v>
      </c>
      <c r="BL16" s="242"/>
      <c r="BM16" s="242"/>
      <c r="BN16" s="242">
        <f t="shared" si="26"/>
        <v>0</v>
      </c>
      <c r="BO16" s="242"/>
      <c r="BP16" s="242"/>
      <c r="BQ16" s="242">
        <f t="shared" si="27"/>
        <v>0</v>
      </c>
      <c r="BR16" s="242"/>
      <c r="BS16" s="242"/>
      <c r="BT16" s="414">
        <v>742000</v>
      </c>
      <c r="BU16" s="413"/>
      <c r="BZ16" s="419"/>
      <c r="CA16" s="337"/>
      <c r="CB16" s="337">
        <f t="shared" si="1"/>
        <v>500000</v>
      </c>
    </row>
    <row r="17" spans="1:80" s="413" customFormat="1">
      <c r="A17" s="414">
        <f t="shared" si="28"/>
        <v>12</v>
      </c>
      <c r="B17" s="414">
        <v>1312</v>
      </c>
      <c r="C17" s="415" t="s">
        <v>46</v>
      </c>
      <c r="D17" s="416">
        <f>109000000+6000000</f>
        <v>115000000</v>
      </c>
      <c r="E17" s="337">
        <v>109000000</v>
      </c>
      <c r="F17" s="337">
        <f t="shared" si="0"/>
        <v>6000000</v>
      </c>
      <c r="G17" s="337">
        <v>87192531</v>
      </c>
      <c r="H17" s="337">
        <v>41789340.969999999</v>
      </c>
      <c r="I17" s="337">
        <v>4436543.66</v>
      </c>
      <c r="J17" s="337">
        <v>2552643.48</v>
      </c>
      <c r="K17" s="337">
        <f t="shared" si="2"/>
        <v>6989187.1400000006</v>
      </c>
      <c r="L17" s="337">
        <f t="shared" si="3"/>
        <v>48778528.109999999</v>
      </c>
      <c r="M17" s="416">
        <f t="shared" si="4"/>
        <v>60221471.890000001</v>
      </c>
      <c r="N17" s="416">
        <f>6000000-6000000</f>
        <v>0</v>
      </c>
      <c r="O17" s="337">
        <f t="shared" si="5"/>
        <v>6000000</v>
      </c>
      <c r="P17" s="337">
        <f t="shared" si="6"/>
        <v>38414002.890000001</v>
      </c>
      <c r="Q17" s="417">
        <v>21807469</v>
      </c>
      <c r="R17" s="416"/>
      <c r="S17" s="337">
        <f t="shared" si="7"/>
        <v>21807469</v>
      </c>
      <c r="T17" s="416">
        <f t="shared" si="8"/>
        <v>0</v>
      </c>
      <c r="U17" s="416">
        <f t="shared" si="9"/>
        <v>0</v>
      </c>
      <c r="V17" s="416">
        <f t="shared" si="10"/>
        <v>-6500000</v>
      </c>
      <c r="W17" s="337">
        <v>6500000</v>
      </c>
      <c r="X17" s="337"/>
      <c r="Y17" s="415"/>
      <c r="Z17" s="242"/>
      <c r="AA17" s="242"/>
      <c r="AB17" s="242">
        <f t="shared" si="11"/>
        <v>0</v>
      </c>
      <c r="AC17" s="242"/>
      <c r="AD17" s="242"/>
      <c r="AE17" s="242">
        <f t="shared" si="12"/>
        <v>0</v>
      </c>
      <c r="AF17" s="241"/>
      <c r="AG17" s="241"/>
      <c r="AH17" s="242">
        <f t="shared" si="13"/>
        <v>0</v>
      </c>
      <c r="AI17" s="241"/>
      <c r="AJ17" s="242"/>
      <c r="AK17" s="242">
        <f t="shared" si="14"/>
        <v>0</v>
      </c>
      <c r="AL17" s="241"/>
      <c r="AM17" s="242"/>
      <c r="AN17" s="242">
        <f t="shared" si="15"/>
        <v>0</v>
      </c>
      <c r="AO17" s="241"/>
      <c r="AP17" s="242"/>
      <c r="AQ17" s="242">
        <f t="shared" si="16"/>
        <v>0</v>
      </c>
      <c r="AR17" s="241"/>
      <c r="AS17" s="242"/>
      <c r="AT17" s="242">
        <f t="shared" si="17"/>
        <v>0</v>
      </c>
      <c r="AU17" s="241"/>
      <c r="AV17" s="242"/>
      <c r="AW17" s="242">
        <f t="shared" si="18"/>
        <v>0</v>
      </c>
      <c r="AX17" s="241"/>
      <c r="AY17" s="242"/>
      <c r="AZ17" s="242">
        <f t="shared" si="19"/>
        <v>0</v>
      </c>
      <c r="BA17" s="241"/>
      <c r="BB17" s="242"/>
      <c r="BC17" s="242">
        <f t="shared" si="20"/>
        <v>0</v>
      </c>
      <c r="BD17" s="242"/>
      <c r="BE17" s="242"/>
      <c r="BF17" s="242">
        <f t="shared" si="21"/>
        <v>0</v>
      </c>
      <c r="BG17" s="242">
        <f t="shared" si="22"/>
        <v>0</v>
      </c>
      <c r="BH17" s="242"/>
      <c r="BI17" s="242">
        <f t="shared" si="23"/>
        <v>0</v>
      </c>
      <c r="BJ17" s="242">
        <f t="shared" si="24"/>
        <v>0</v>
      </c>
      <c r="BK17" s="242">
        <f t="shared" si="25"/>
        <v>0</v>
      </c>
      <c r="BL17" s="242"/>
      <c r="BM17" s="242"/>
      <c r="BN17" s="242">
        <f t="shared" si="26"/>
        <v>0</v>
      </c>
      <c r="BO17" s="242"/>
      <c r="BP17" s="242"/>
      <c r="BQ17" s="242">
        <f t="shared" si="27"/>
        <v>0</v>
      </c>
      <c r="BR17" s="242"/>
      <c r="BS17" s="242"/>
      <c r="BT17" s="414">
        <v>930000</v>
      </c>
      <c r="BZ17" s="414"/>
      <c r="CA17" s="337"/>
      <c r="CB17" s="337">
        <f t="shared" si="1"/>
        <v>-6500000</v>
      </c>
    </row>
    <row r="18" spans="1:80" s="413" customFormat="1">
      <c r="A18" s="414">
        <f t="shared" si="28"/>
        <v>13</v>
      </c>
      <c r="B18" s="414">
        <v>1375</v>
      </c>
      <c r="C18" s="415" t="s">
        <v>173</v>
      </c>
      <c r="D18" s="416">
        <f>26950000+12000000+850000</f>
        <v>39800000</v>
      </c>
      <c r="E18" s="337">
        <f>26950000+12000000</f>
        <v>38950000</v>
      </c>
      <c r="F18" s="337">
        <f t="shared" si="0"/>
        <v>850000</v>
      </c>
      <c r="G18" s="337">
        <v>26950000</v>
      </c>
      <c r="H18" s="337">
        <v>24611754.710000001</v>
      </c>
      <c r="I18" s="337">
        <v>1166997.3700000001</v>
      </c>
      <c r="J18" s="337"/>
      <c r="K18" s="337">
        <f t="shared" si="2"/>
        <v>1166997.3700000001</v>
      </c>
      <c r="L18" s="337">
        <f t="shared" si="3"/>
        <v>25778752.080000002</v>
      </c>
      <c r="M18" s="416">
        <f t="shared" si="4"/>
        <v>3171247.9199999981</v>
      </c>
      <c r="N18" s="416">
        <f>10000000+850000-5000000-4500000-800000</f>
        <v>550000</v>
      </c>
      <c r="O18" s="337">
        <f t="shared" si="5"/>
        <v>10300000</v>
      </c>
      <c r="P18" s="337">
        <f t="shared" si="6"/>
        <v>1171247.9199999981</v>
      </c>
      <c r="Q18" s="337"/>
      <c r="R18" s="417">
        <v>2000000</v>
      </c>
      <c r="S18" s="337">
        <f t="shared" si="7"/>
        <v>2000000</v>
      </c>
      <c r="T18" s="416">
        <f t="shared" si="8"/>
        <v>0</v>
      </c>
      <c r="U18" s="416">
        <f>N18-T18</f>
        <v>550000</v>
      </c>
      <c r="V18" s="416">
        <f t="shared" si="10"/>
        <v>550000</v>
      </c>
      <c r="W18" s="337"/>
      <c r="X18" s="337"/>
      <c r="Y18" s="415"/>
      <c r="Z18" s="242"/>
      <c r="AA18" s="242"/>
      <c r="AB18" s="242">
        <f t="shared" si="11"/>
        <v>0</v>
      </c>
      <c r="AC18" s="242"/>
      <c r="AD18" s="242"/>
      <c r="AE18" s="242">
        <f t="shared" si="12"/>
        <v>0</v>
      </c>
      <c r="AF18" s="241"/>
      <c r="AG18" s="241"/>
      <c r="AH18" s="242">
        <f t="shared" si="13"/>
        <v>0</v>
      </c>
      <c r="AI18" s="241"/>
      <c r="AJ18" s="242"/>
      <c r="AK18" s="242">
        <f t="shared" si="14"/>
        <v>0</v>
      </c>
      <c r="AL18" s="241"/>
      <c r="AM18" s="242"/>
      <c r="AN18" s="242">
        <f t="shared" si="15"/>
        <v>0</v>
      </c>
      <c r="AO18" s="241"/>
      <c r="AP18" s="242"/>
      <c r="AQ18" s="242">
        <f t="shared" si="16"/>
        <v>0</v>
      </c>
      <c r="AR18" s="241"/>
      <c r="AS18" s="242"/>
      <c r="AT18" s="242">
        <f t="shared" si="17"/>
        <v>0</v>
      </c>
      <c r="AU18" s="241"/>
      <c r="AV18" s="242"/>
      <c r="AW18" s="242">
        <f t="shared" si="18"/>
        <v>0</v>
      </c>
      <c r="AX18" s="241"/>
      <c r="AY18" s="242"/>
      <c r="AZ18" s="242">
        <f t="shared" si="19"/>
        <v>0</v>
      </c>
      <c r="BA18" s="241"/>
      <c r="BB18" s="242"/>
      <c r="BC18" s="242">
        <f t="shared" si="20"/>
        <v>0</v>
      </c>
      <c r="BD18" s="242"/>
      <c r="BE18" s="242"/>
      <c r="BF18" s="242">
        <f t="shared" si="21"/>
        <v>0</v>
      </c>
      <c r="BG18" s="242">
        <f t="shared" si="22"/>
        <v>0</v>
      </c>
      <c r="BH18" s="242">
        <v>550000</v>
      </c>
      <c r="BI18" s="242">
        <f t="shared" si="23"/>
        <v>550000</v>
      </c>
      <c r="BJ18" s="242">
        <f t="shared" si="24"/>
        <v>0</v>
      </c>
      <c r="BK18" s="242">
        <f t="shared" si="25"/>
        <v>550000</v>
      </c>
      <c r="BL18" s="242"/>
      <c r="BM18" s="242"/>
      <c r="BN18" s="242">
        <f t="shared" si="26"/>
        <v>550000</v>
      </c>
      <c r="BO18" s="242"/>
      <c r="BP18" s="242"/>
      <c r="BQ18" s="242">
        <f t="shared" si="27"/>
        <v>0</v>
      </c>
      <c r="BR18" s="242"/>
      <c r="BS18" s="242"/>
      <c r="BT18" s="423">
        <v>829000</v>
      </c>
      <c r="BZ18" s="414"/>
      <c r="CA18" s="337"/>
      <c r="CB18" s="422">
        <f t="shared" si="1"/>
        <v>550000</v>
      </c>
    </row>
    <row r="19" spans="1:80" s="418" customFormat="1">
      <c r="A19" s="414">
        <f t="shared" si="28"/>
        <v>14</v>
      </c>
      <c r="B19" s="414">
        <v>1396</v>
      </c>
      <c r="C19" s="415" t="s">
        <v>277</v>
      </c>
      <c r="D19" s="416">
        <f>10500000-4220000</f>
        <v>6280000</v>
      </c>
      <c r="E19" s="337">
        <v>10500000</v>
      </c>
      <c r="F19" s="337">
        <f t="shared" si="0"/>
        <v>-4220000</v>
      </c>
      <c r="G19" s="337">
        <v>4530000</v>
      </c>
      <c r="H19" s="337">
        <v>3110397.41</v>
      </c>
      <c r="I19" s="337">
        <v>269375.59000000003</v>
      </c>
      <c r="J19" s="337"/>
      <c r="K19" s="337">
        <f t="shared" si="2"/>
        <v>269375.59000000003</v>
      </c>
      <c r="L19" s="337">
        <f t="shared" si="3"/>
        <v>3379773</v>
      </c>
      <c r="M19" s="416">
        <f t="shared" si="4"/>
        <v>2900227</v>
      </c>
      <c r="N19" s="416"/>
      <c r="O19" s="337">
        <f t="shared" si="5"/>
        <v>0</v>
      </c>
      <c r="P19" s="337">
        <f t="shared" si="6"/>
        <v>1150227</v>
      </c>
      <c r="Q19" s="420">
        <v>1750000</v>
      </c>
      <c r="R19" s="416"/>
      <c r="S19" s="337">
        <f t="shared" ref="S19:S54" si="29">SUM(Q19:R19)</f>
        <v>1750000</v>
      </c>
      <c r="T19" s="416">
        <f t="shared" si="8"/>
        <v>0</v>
      </c>
      <c r="U19" s="416">
        <f t="shared" ref="U19:U82" si="30">N19-T19</f>
        <v>0</v>
      </c>
      <c r="V19" s="416">
        <f t="shared" si="10"/>
        <v>0</v>
      </c>
      <c r="W19" s="337"/>
      <c r="X19" s="337"/>
      <c r="Y19" s="415"/>
      <c r="Z19" s="242"/>
      <c r="AA19" s="242"/>
      <c r="AB19" s="242">
        <f t="shared" si="11"/>
        <v>0</v>
      </c>
      <c r="AC19" s="242"/>
      <c r="AD19" s="242"/>
      <c r="AE19" s="242">
        <f t="shared" si="12"/>
        <v>0</v>
      </c>
      <c r="AF19" s="241"/>
      <c r="AG19" s="241"/>
      <c r="AH19" s="242">
        <f t="shared" si="13"/>
        <v>0</v>
      </c>
      <c r="AI19" s="241"/>
      <c r="AJ19" s="242"/>
      <c r="AK19" s="242">
        <f t="shared" si="14"/>
        <v>0</v>
      </c>
      <c r="AL19" s="241"/>
      <c r="AM19" s="242"/>
      <c r="AN19" s="242">
        <f t="shared" si="15"/>
        <v>0</v>
      </c>
      <c r="AO19" s="241"/>
      <c r="AP19" s="242"/>
      <c r="AQ19" s="242">
        <f t="shared" si="16"/>
        <v>0</v>
      </c>
      <c r="AR19" s="241"/>
      <c r="AS19" s="242"/>
      <c r="AT19" s="242">
        <f t="shared" si="17"/>
        <v>0</v>
      </c>
      <c r="AU19" s="241"/>
      <c r="AV19" s="242"/>
      <c r="AW19" s="242">
        <f t="shared" si="18"/>
        <v>0</v>
      </c>
      <c r="AX19" s="241"/>
      <c r="AY19" s="242"/>
      <c r="AZ19" s="242">
        <f t="shared" si="19"/>
        <v>0</v>
      </c>
      <c r="BA19" s="241"/>
      <c r="BB19" s="242"/>
      <c r="BC19" s="242">
        <f t="shared" si="20"/>
        <v>0</v>
      </c>
      <c r="BD19" s="242"/>
      <c r="BE19" s="242"/>
      <c r="BF19" s="242">
        <f t="shared" si="21"/>
        <v>0</v>
      </c>
      <c r="BG19" s="242">
        <f t="shared" si="22"/>
        <v>0</v>
      </c>
      <c r="BH19" s="242"/>
      <c r="BI19" s="242">
        <f t="shared" si="23"/>
        <v>0</v>
      </c>
      <c r="BJ19" s="242">
        <f t="shared" si="24"/>
        <v>0</v>
      </c>
      <c r="BK19" s="242">
        <f t="shared" si="25"/>
        <v>0</v>
      </c>
      <c r="BL19" s="242"/>
      <c r="BM19" s="242"/>
      <c r="BN19" s="242">
        <f t="shared" si="26"/>
        <v>0</v>
      </c>
      <c r="BO19" s="242"/>
      <c r="BP19" s="242"/>
      <c r="BQ19" s="242">
        <f t="shared" si="27"/>
        <v>0</v>
      </c>
      <c r="BR19" s="242"/>
      <c r="BS19" s="242"/>
      <c r="BT19" s="414">
        <v>826000</v>
      </c>
      <c r="BU19" s="413"/>
      <c r="BZ19" s="419"/>
      <c r="CA19" s="337"/>
      <c r="CB19" s="337">
        <f t="shared" si="1"/>
        <v>0</v>
      </c>
    </row>
    <row r="20" spans="1:80" s="413" customFormat="1">
      <c r="A20" s="414">
        <f t="shared" si="28"/>
        <v>15</v>
      </c>
      <c r="B20" s="414">
        <v>1402</v>
      </c>
      <c r="C20" s="415" t="s">
        <v>174</v>
      </c>
      <c r="D20" s="416">
        <v>6500000</v>
      </c>
      <c r="E20" s="337">
        <v>6500000</v>
      </c>
      <c r="F20" s="337">
        <f t="shared" si="0"/>
        <v>0</v>
      </c>
      <c r="G20" s="337">
        <v>6500000</v>
      </c>
      <c r="H20" s="337">
        <v>2294901</v>
      </c>
      <c r="I20" s="337">
        <v>3212194</v>
      </c>
      <c r="J20" s="337"/>
      <c r="K20" s="337">
        <f t="shared" si="2"/>
        <v>3212194</v>
      </c>
      <c r="L20" s="337">
        <f t="shared" si="3"/>
        <v>5507095</v>
      </c>
      <c r="M20" s="416">
        <f t="shared" si="4"/>
        <v>992905</v>
      </c>
      <c r="N20" s="416"/>
      <c r="O20" s="337">
        <f t="shared" si="5"/>
        <v>0</v>
      </c>
      <c r="P20" s="337">
        <f t="shared" si="6"/>
        <v>992905</v>
      </c>
      <c r="Q20" s="337"/>
      <c r="R20" s="416"/>
      <c r="S20" s="337">
        <f t="shared" si="29"/>
        <v>0</v>
      </c>
      <c r="T20" s="416">
        <f t="shared" si="8"/>
        <v>0</v>
      </c>
      <c r="U20" s="416">
        <f t="shared" si="30"/>
        <v>0</v>
      </c>
      <c r="V20" s="416">
        <f t="shared" si="10"/>
        <v>0</v>
      </c>
      <c r="W20" s="337"/>
      <c r="X20" s="337"/>
      <c r="Y20" s="415"/>
      <c r="Z20" s="242"/>
      <c r="AA20" s="242"/>
      <c r="AB20" s="242">
        <f t="shared" si="11"/>
        <v>0</v>
      </c>
      <c r="AC20" s="242"/>
      <c r="AD20" s="242"/>
      <c r="AE20" s="242">
        <f t="shared" si="12"/>
        <v>0</v>
      </c>
      <c r="AF20" s="241"/>
      <c r="AG20" s="241"/>
      <c r="AH20" s="242">
        <f t="shared" si="13"/>
        <v>0</v>
      </c>
      <c r="AI20" s="241"/>
      <c r="AJ20" s="242"/>
      <c r="AK20" s="242">
        <f t="shared" si="14"/>
        <v>0</v>
      </c>
      <c r="AL20" s="241"/>
      <c r="AM20" s="242"/>
      <c r="AN20" s="242">
        <f t="shared" si="15"/>
        <v>0</v>
      </c>
      <c r="AO20" s="241"/>
      <c r="AP20" s="242"/>
      <c r="AQ20" s="242">
        <f t="shared" si="16"/>
        <v>0</v>
      </c>
      <c r="AR20" s="241"/>
      <c r="AS20" s="242"/>
      <c r="AT20" s="242">
        <f t="shared" si="17"/>
        <v>0</v>
      </c>
      <c r="AU20" s="241"/>
      <c r="AV20" s="242"/>
      <c r="AW20" s="242">
        <f t="shared" si="18"/>
        <v>0</v>
      </c>
      <c r="AX20" s="241"/>
      <c r="AY20" s="242"/>
      <c r="AZ20" s="242">
        <f t="shared" si="19"/>
        <v>0</v>
      </c>
      <c r="BA20" s="241"/>
      <c r="BB20" s="242"/>
      <c r="BC20" s="242">
        <f t="shared" si="20"/>
        <v>0</v>
      </c>
      <c r="BD20" s="242"/>
      <c r="BE20" s="242"/>
      <c r="BF20" s="242">
        <f t="shared" si="21"/>
        <v>0</v>
      </c>
      <c r="BG20" s="242">
        <f t="shared" si="22"/>
        <v>0</v>
      </c>
      <c r="BH20" s="242"/>
      <c r="BI20" s="242">
        <f t="shared" si="23"/>
        <v>0</v>
      </c>
      <c r="BJ20" s="242">
        <f t="shared" si="24"/>
        <v>0</v>
      </c>
      <c r="BK20" s="242">
        <f t="shared" si="25"/>
        <v>0</v>
      </c>
      <c r="BL20" s="242"/>
      <c r="BM20" s="242"/>
      <c r="BN20" s="242">
        <f t="shared" si="26"/>
        <v>0</v>
      </c>
      <c r="BO20" s="242"/>
      <c r="BP20" s="242"/>
      <c r="BQ20" s="242">
        <f t="shared" si="27"/>
        <v>0</v>
      </c>
      <c r="BR20" s="242"/>
      <c r="BS20" s="242"/>
      <c r="BT20" s="414">
        <v>714000</v>
      </c>
      <c r="BZ20" s="414"/>
      <c r="CA20" s="337"/>
      <c r="CB20" s="337">
        <f t="shared" si="1"/>
        <v>0</v>
      </c>
    </row>
    <row r="21" spans="1:80" s="413" customFormat="1">
      <c r="A21" s="414">
        <f t="shared" si="28"/>
        <v>16</v>
      </c>
      <c r="B21" s="414">
        <v>1403</v>
      </c>
      <c r="C21" s="415" t="s">
        <v>175</v>
      </c>
      <c r="D21" s="416">
        <v>26050000</v>
      </c>
      <c r="E21" s="337">
        <v>26050000</v>
      </c>
      <c r="F21" s="337">
        <f t="shared" si="0"/>
        <v>0</v>
      </c>
      <c r="G21" s="337">
        <v>3050000</v>
      </c>
      <c r="H21" s="337">
        <v>2018022.86</v>
      </c>
      <c r="I21" s="337">
        <v>531477.56999999995</v>
      </c>
      <c r="J21" s="337"/>
      <c r="K21" s="337">
        <f t="shared" si="2"/>
        <v>531477.56999999995</v>
      </c>
      <c r="L21" s="337">
        <f t="shared" si="3"/>
        <v>2549500.4300000002</v>
      </c>
      <c r="M21" s="416">
        <f t="shared" si="4"/>
        <v>11500499.57</v>
      </c>
      <c r="N21" s="416">
        <f>12000000-6000000-1000000</f>
        <v>5000000</v>
      </c>
      <c r="O21" s="337">
        <f t="shared" si="5"/>
        <v>7000000</v>
      </c>
      <c r="P21" s="337">
        <f t="shared" si="6"/>
        <v>500499.56999999983</v>
      </c>
      <c r="Q21" s="420">
        <v>11000000</v>
      </c>
      <c r="R21" s="416"/>
      <c r="S21" s="337">
        <f t="shared" si="29"/>
        <v>11000000</v>
      </c>
      <c r="T21" s="416">
        <f t="shared" si="8"/>
        <v>0</v>
      </c>
      <c r="U21" s="416">
        <f t="shared" si="30"/>
        <v>5000000</v>
      </c>
      <c r="V21" s="416">
        <f t="shared" si="10"/>
        <v>1500000</v>
      </c>
      <c r="W21" s="337"/>
      <c r="X21" s="337"/>
      <c r="Y21" s="416">
        <v>3500000</v>
      </c>
      <c r="Z21" s="242"/>
      <c r="AA21" s="242"/>
      <c r="AB21" s="242">
        <f t="shared" si="11"/>
        <v>0</v>
      </c>
      <c r="AC21" s="242"/>
      <c r="AD21" s="242"/>
      <c r="AE21" s="242">
        <f t="shared" si="12"/>
        <v>0</v>
      </c>
      <c r="AF21" s="241"/>
      <c r="AG21" s="241"/>
      <c r="AH21" s="242">
        <f t="shared" si="13"/>
        <v>0</v>
      </c>
      <c r="AI21" s="241"/>
      <c r="AJ21" s="242"/>
      <c r="AK21" s="242">
        <f t="shared" si="14"/>
        <v>0</v>
      </c>
      <c r="AL21" s="241"/>
      <c r="AM21" s="242"/>
      <c r="AN21" s="242">
        <f t="shared" si="15"/>
        <v>0</v>
      </c>
      <c r="AO21" s="241"/>
      <c r="AP21" s="242"/>
      <c r="AQ21" s="242">
        <f t="shared" si="16"/>
        <v>0</v>
      </c>
      <c r="AR21" s="241"/>
      <c r="AS21" s="242"/>
      <c r="AT21" s="242">
        <f t="shared" si="17"/>
        <v>0</v>
      </c>
      <c r="AU21" s="241"/>
      <c r="AV21" s="242"/>
      <c r="AW21" s="242">
        <f t="shared" si="18"/>
        <v>0</v>
      </c>
      <c r="AX21" s="241"/>
      <c r="AY21" s="242"/>
      <c r="AZ21" s="242">
        <f t="shared" si="19"/>
        <v>0</v>
      </c>
      <c r="BA21" s="241"/>
      <c r="BB21" s="242"/>
      <c r="BC21" s="242">
        <f t="shared" si="20"/>
        <v>0</v>
      </c>
      <c r="BD21" s="242">
        <v>1500000</v>
      </c>
      <c r="BE21" s="242"/>
      <c r="BF21" s="242">
        <f t="shared" si="21"/>
        <v>1500000</v>
      </c>
      <c r="BG21" s="242">
        <f t="shared" si="22"/>
        <v>1500000</v>
      </c>
      <c r="BH21" s="242"/>
      <c r="BI21" s="242">
        <f t="shared" si="23"/>
        <v>1500000</v>
      </c>
      <c r="BJ21" s="242">
        <f t="shared" si="24"/>
        <v>3500000</v>
      </c>
      <c r="BK21" s="242">
        <f t="shared" si="25"/>
        <v>1500000</v>
      </c>
      <c r="BL21" s="242"/>
      <c r="BM21" s="242"/>
      <c r="BN21" s="242">
        <f t="shared" si="26"/>
        <v>0</v>
      </c>
      <c r="BO21" s="242"/>
      <c r="BP21" s="242"/>
      <c r="BQ21" s="242">
        <f t="shared" si="27"/>
        <v>0</v>
      </c>
      <c r="BR21" s="242"/>
      <c r="BS21" s="242">
        <v>3500000</v>
      </c>
      <c r="BT21" s="414">
        <v>826000</v>
      </c>
      <c r="BZ21" s="414"/>
      <c r="CA21" s="337"/>
      <c r="CB21" s="422">
        <f t="shared" si="1"/>
        <v>1500000</v>
      </c>
    </row>
    <row r="22" spans="1:80" s="413" customFormat="1">
      <c r="A22" s="414">
        <f t="shared" si="28"/>
        <v>17</v>
      </c>
      <c r="B22" s="414">
        <v>1443</v>
      </c>
      <c r="C22" s="415" t="s">
        <v>176</v>
      </c>
      <c r="D22" s="416">
        <v>78500000</v>
      </c>
      <c r="E22" s="337">
        <v>78500000</v>
      </c>
      <c r="F22" s="337">
        <f t="shared" si="0"/>
        <v>0</v>
      </c>
      <c r="G22" s="337">
        <v>50840000</v>
      </c>
      <c r="H22" s="337">
        <v>50765998</v>
      </c>
      <c r="I22" s="337">
        <v>72871.649999999994</v>
      </c>
      <c r="J22" s="337"/>
      <c r="K22" s="337">
        <f t="shared" si="2"/>
        <v>72871.649999999994</v>
      </c>
      <c r="L22" s="337">
        <f t="shared" si="3"/>
        <v>50838869.649999999</v>
      </c>
      <c r="M22" s="416">
        <f t="shared" si="4"/>
        <v>1130.3500000014901</v>
      </c>
      <c r="N22" s="416">
        <v>27660000</v>
      </c>
      <c r="O22" s="337">
        <f t="shared" si="5"/>
        <v>0</v>
      </c>
      <c r="P22" s="337">
        <f t="shared" si="6"/>
        <v>1130.3500000014901</v>
      </c>
      <c r="Q22" s="337"/>
      <c r="R22" s="416"/>
      <c r="S22" s="337">
        <f t="shared" si="29"/>
        <v>0</v>
      </c>
      <c r="T22" s="416">
        <f t="shared" si="8"/>
        <v>0</v>
      </c>
      <c r="U22" s="416">
        <f t="shared" si="30"/>
        <v>27660000</v>
      </c>
      <c r="V22" s="416">
        <f t="shared" si="10"/>
        <v>0</v>
      </c>
      <c r="W22" s="337"/>
      <c r="X22" s="337"/>
      <c r="Y22" s="416">
        <v>27660000</v>
      </c>
      <c r="Z22" s="242"/>
      <c r="AA22" s="242"/>
      <c r="AB22" s="242">
        <f t="shared" si="11"/>
        <v>0</v>
      </c>
      <c r="AC22" s="242"/>
      <c r="AD22" s="242"/>
      <c r="AE22" s="242">
        <f t="shared" si="12"/>
        <v>0</v>
      </c>
      <c r="AF22" s="241"/>
      <c r="AG22" s="241"/>
      <c r="AH22" s="242">
        <f t="shared" si="13"/>
        <v>0</v>
      </c>
      <c r="AI22" s="241"/>
      <c r="AJ22" s="242"/>
      <c r="AK22" s="242">
        <f t="shared" si="14"/>
        <v>0</v>
      </c>
      <c r="AL22" s="241"/>
      <c r="AM22" s="242"/>
      <c r="AN22" s="242">
        <f t="shared" si="15"/>
        <v>0</v>
      </c>
      <c r="AO22" s="241"/>
      <c r="AP22" s="242"/>
      <c r="AQ22" s="242">
        <f t="shared" si="16"/>
        <v>0</v>
      </c>
      <c r="AR22" s="241"/>
      <c r="AS22" s="242"/>
      <c r="AT22" s="242">
        <f t="shared" si="17"/>
        <v>0</v>
      </c>
      <c r="AU22" s="241"/>
      <c r="AV22" s="242"/>
      <c r="AW22" s="242">
        <f t="shared" si="18"/>
        <v>0</v>
      </c>
      <c r="AX22" s="241"/>
      <c r="AY22" s="242"/>
      <c r="AZ22" s="242">
        <f t="shared" si="19"/>
        <v>0</v>
      </c>
      <c r="BA22" s="241"/>
      <c r="BB22" s="242"/>
      <c r="BC22" s="242">
        <f t="shared" si="20"/>
        <v>0</v>
      </c>
      <c r="BD22" s="242"/>
      <c r="BE22" s="242"/>
      <c r="BF22" s="242">
        <f t="shared" si="21"/>
        <v>0</v>
      </c>
      <c r="BG22" s="242">
        <f t="shared" si="22"/>
        <v>0</v>
      </c>
      <c r="BH22" s="242"/>
      <c r="BI22" s="242">
        <f t="shared" si="23"/>
        <v>0</v>
      </c>
      <c r="BJ22" s="242">
        <f t="shared" si="24"/>
        <v>27660000</v>
      </c>
      <c r="BK22" s="242">
        <f t="shared" si="25"/>
        <v>0</v>
      </c>
      <c r="BL22" s="242"/>
      <c r="BM22" s="242"/>
      <c r="BN22" s="242">
        <f t="shared" si="26"/>
        <v>0</v>
      </c>
      <c r="BO22" s="242"/>
      <c r="BP22" s="242"/>
      <c r="BQ22" s="242">
        <f t="shared" si="27"/>
        <v>0</v>
      </c>
      <c r="BR22" s="242"/>
      <c r="BS22" s="242">
        <v>27660000</v>
      </c>
      <c r="BT22" s="414">
        <v>749000</v>
      </c>
      <c r="BZ22" s="414"/>
      <c r="CA22" s="337"/>
      <c r="CB22" s="337">
        <f t="shared" si="1"/>
        <v>0</v>
      </c>
    </row>
    <row r="23" spans="1:80" s="413" customFormat="1">
      <c r="A23" s="414">
        <f t="shared" si="28"/>
        <v>18</v>
      </c>
      <c r="B23" s="414">
        <v>1446</v>
      </c>
      <c r="C23" s="415" t="s">
        <v>694</v>
      </c>
      <c r="D23" s="416">
        <v>14250000</v>
      </c>
      <c r="E23" s="337">
        <v>14250000</v>
      </c>
      <c r="F23" s="337">
        <f t="shared" si="0"/>
        <v>0</v>
      </c>
      <c r="G23" s="337">
        <v>5000000</v>
      </c>
      <c r="H23" s="337">
        <v>1897075.42</v>
      </c>
      <c r="I23" s="337">
        <v>3017169.83</v>
      </c>
      <c r="J23" s="337">
        <v>1.1599999999999999</v>
      </c>
      <c r="K23" s="337">
        <f t="shared" si="2"/>
        <v>3017170.99</v>
      </c>
      <c r="L23" s="337">
        <f t="shared" si="3"/>
        <v>4914246.41</v>
      </c>
      <c r="M23" s="416">
        <f t="shared" si="4"/>
        <v>85753.589999999851</v>
      </c>
      <c r="N23" s="416">
        <f>9250000-9250000</f>
        <v>0</v>
      </c>
      <c r="O23" s="337">
        <f t="shared" si="5"/>
        <v>9250000</v>
      </c>
      <c r="P23" s="337">
        <f t="shared" si="6"/>
        <v>85753.589999999851</v>
      </c>
      <c r="Q23" s="337"/>
      <c r="R23" s="416"/>
      <c r="S23" s="337">
        <f t="shared" si="29"/>
        <v>0</v>
      </c>
      <c r="T23" s="416">
        <f t="shared" si="8"/>
        <v>0</v>
      </c>
      <c r="U23" s="416">
        <f t="shared" si="30"/>
        <v>0</v>
      </c>
      <c r="V23" s="416">
        <f t="shared" si="10"/>
        <v>0</v>
      </c>
      <c r="W23" s="337"/>
      <c r="X23" s="337"/>
      <c r="Y23" s="415"/>
      <c r="Z23" s="242"/>
      <c r="AA23" s="242"/>
      <c r="AB23" s="242">
        <f t="shared" si="11"/>
        <v>0</v>
      </c>
      <c r="AC23" s="242"/>
      <c r="AD23" s="242"/>
      <c r="AE23" s="242">
        <f t="shared" si="12"/>
        <v>0</v>
      </c>
      <c r="AF23" s="241"/>
      <c r="AG23" s="241"/>
      <c r="AH23" s="242">
        <f t="shared" si="13"/>
        <v>0</v>
      </c>
      <c r="AI23" s="241"/>
      <c r="AJ23" s="242"/>
      <c r="AK23" s="242">
        <f t="shared" si="14"/>
        <v>0</v>
      </c>
      <c r="AL23" s="241"/>
      <c r="AM23" s="242"/>
      <c r="AN23" s="242">
        <f t="shared" si="15"/>
        <v>0</v>
      </c>
      <c r="AO23" s="241"/>
      <c r="AP23" s="242"/>
      <c r="AQ23" s="242">
        <f t="shared" si="16"/>
        <v>0</v>
      </c>
      <c r="AR23" s="241"/>
      <c r="AS23" s="242"/>
      <c r="AT23" s="242">
        <f t="shared" si="17"/>
        <v>0</v>
      </c>
      <c r="AU23" s="241"/>
      <c r="AV23" s="242"/>
      <c r="AW23" s="242">
        <f t="shared" si="18"/>
        <v>0</v>
      </c>
      <c r="AX23" s="241"/>
      <c r="AY23" s="242"/>
      <c r="AZ23" s="242">
        <f t="shared" si="19"/>
        <v>0</v>
      </c>
      <c r="BA23" s="241"/>
      <c r="BB23" s="242"/>
      <c r="BC23" s="242">
        <f t="shared" si="20"/>
        <v>0</v>
      </c>
      <c r="BD23" s="242"/>
      <c r="BE23" s="242"/>
      <c r="BF23" s="242">
        <f t="shared" si="21"/>
        <v>0</v>
      </c>
      <c r="BG23" s="242">
        <f t="shared" si="22"/>
        <v>0</v>
      </c>
      <c r="BH23" s="242"/>
      <c r="BI23" s="242">
        <f t="shared" si="23"/>
        <v>0</v>
      </c>
      <c r="BJ23" s="242">
        <f t="shared" si="24"/>
        <v>0</v>
      </c>
      <c r="BK23" s="242">
        <f t="shared" si="25"/>
        <v>0</v>
      </c>
      <c r="BL23" s="242"/>
      <c r="BM23" s="242"/>
      <c r="BN23" s="242">
        <f t="shared" si="26"/>
        <v>0</v>
      </c>
      <c r="BO23" s="242"/>
      <c r="BP23" s="242"/>
      <c r="BQ23" s="242">
        <f t="shared" si="27"/>
        <v>0</v>
      </c>
      <c r="BR23" s="242"/>
      <c r="BS23" s="242"/>
      <c r="BT23" s="414">
        <v>742000</v>
      </c>
      <c r="BZ23" s="414"/>
      <c r="CA23" s="337"/>
      <c r="CB23" s="337">
        <f t="shared" si="1"/>
        <v>0</v>
      </c>
    </row>
    <row r="24" spans="1:80" s="413" customFormat="1">
      <c r="A24" s="414">
        <f t="shared" si="28"/>
        <v>19</v>
      </c>
      <c r="B24" s="414">
        <v>1448</v>
      </c>
      <c r="C24" s="415" t="s">
        <v>177</v>
      </c>
      <c r="D24" s="416">
        <v>6002877</v>
      </c>
      <c r="E24" s="337">
        <v>6002877</v>
      </c>
      <c r="F24" s="337">
        <f t="shared" si="0"/>
        <v>0</v>
      </c>
      <c r="G24" s="337">
        <v>6002877</v>
      </c>
      <c r="H24" s="337">
        <v>5965206</v>
      </c>
      <c r="I24" s="337">
        <v>36951.629999999997</v>
      </c>
      <c r="J24" s="337"/>
      <c r="K24" s="337">
        <f t="shared" si="2"/>
        <v>36951.629999999997</v>
      </c>
      <c r="L24" s="337">
        <f t="shared" si="3"/>
        <v>6002157.6299999999</v>
      </c>
      <c r="M24" s="416">
        <f t="shared" si="4"/>
        <v>719.37000000011176</v>
      </c>
      <c r="N24" s="416"/>
      <c r="O24" s="337">
        <f t="shared" si="5"/>
        <v>0</v>
      </c>
      <c r="P24" s="337">
        <f t="shared" si="6"/>
        <v>719.37000000011176</v>
      </c>
      <c r="Q24" s="337"/>
      <c r="R24" s="416"/>
      <c r="S24" s="337">
        <f t="shared" si="29"/>
        <v>0</v>
      </c>
      <c r="T24" s="416">
        <f t="shared" si="8"/>
        <v>0</v>
      </c>
      <c r="U24" s="416">
        <f t="shared" si="30"/>
        <v>0</v>
      </c>
      <c r="V24" s="416">
        <f t="shared" si="10"/>
        <v>0</v>
      </c>
      <c r="W24" s="337"/>
      <c r="X24" s="337"/>
      <c r="Y24" s="415"/>
      <c r="Z24" s="242"/>
      <c r="AA24" s="242"/>
      <c r="AB24" s="242">
        <f t="shared" si="11"/>
        <v>0</v>
      </c>
      <c r="AC24" s="242"/>
      <c r="AD24" s="242"/>
      <c r="AE24" s="242">
        <f t="shared" si="12"/>
        <v>0</v>
      </c>
      <c r="AF24" s="242"/>
      <c r="AG24" s="242"/>
      <c r="AH24" s="242">
        <f t="shared" si="13"/>
        <v>0</v>
      </c>
      <c r="AI24" s="242"/>
      <c r="AJ24" s="242"/>
      <c r="AK24" s="242">
        <f t="shared" si="14"/>
        <v>0</v>
      </c>
      <c r="AL24" s="242"/>
      <c r="AM24" s="242"/>
      <c r="AN24" s="242">
        <f t="shared" si="15"/>
        <v>0</v>
      </c>
      <c r="AO24" s="242"/>
      <c r="AP24" s="242"/>
      <c r="AQ24" s="242">
        <f t="shared" si="16"/>
        <v>0</v>
      </c>
      <c r="AR24" s="242"/>
      <c r="AS24" s="242"/>
      <c r="AT24" s="242">
        <f t="shared" si="17"/>
        <v>0</v>
      </c>
      <c r="AU24" s="242"/>
      <c r="AV24" s="242"/>
      <c r="AW24" s="242">
        <f t="shared" si="18"/>
        <v>0</v>
      </c>
      <c r="AX24" s="242"/>
      <c r="AY24" s="242"/>
      <c r="AZ24" s="242">
        <f t="shared" si="19"/>
        <v>0</v>
      </c>
      <c r="BA24" s="242"/>
      <c r="BB24" s="242"/>
      <c r="BC24" s="242">
        <f t="shared" si="20"/>
        <v>0</v>
      </c>
      <c r="BD24" s="242"/>
      <c r="BE24" s="242"/>
      <c r="BF24" s="242">
        <f t="shared" si="21"/>
        <v>0</v>
      </c>
      <c r="BG24" s="242">
        <f t="shared" si="22"/>
        <v>0</v>
      </c>
      <c r="BH24" s="242"/>
      <c r="BI24" s="242">
        <f t="shared" si="23"/>
        <v>0</v>
      </c>
      <c r="BJ24" s="242">
        <f t="shared" si="24"/>
        <v>0</v>
      </c>
      <c r="BK24" s="242">
        <f t="shared" si="25"/>
        <v>0</v>
      </c>
      <c r="BL24" s="242"/>
      <c r="BM24" s="242"/>
      <c r="BN24" s="242">
        <f t="shared" si="26"/>
        <v>0</v>
      </c>
      <c r="BO24" s="242"/>
      <c r="BP24" s="242"/>
      <c r="BQ24" s="242">
        <f t="shared" si="27"/>
        <v>0</v>
      </c>
      <c r="BR24" s="242"/>
      <c r="BS24" s="242"/>
      <c r="BT24" s="414">
        <v>850000</v>
      </c>
      <c r="BZ24" s="414"/>
      <c r="CA24" s="337"/>
      <c r="CB24" s="337">
        <f t="shared" si="1"/>
        <v>0</v>
      </c>
    </row>
    <row r="25" spans="1:80" s="413" customFormat="1">
      <c r="A25" s="414">
        <f t="shared" si="28"/>
        <v>20</v>
      </c>
      <c r="B25" s="414">
        <v>1455</v>
      </c>
      <c r="C25" s="415" t="s">
        <v>50</v>
      </c>
      <c r="D25" s="416">
        <v>4500000</v>
      </c>
      <c r="E25" s="337">
        <v>4500000</v>
      </c>
      <c r="F25" s="337">
        <f t="shared" si="0"/>
        <v>0</v>
      </c>
      <c r="G25" s="337">
        <v>4500000</v>
      </c>
      <c r="H25" s="337">
        <v>307504</v>
      </c>
      <c r="I25" s="337">
        <v>4090187</v>
      </c>
      <c r="J25" s="337"/>
      <c r="K25" s="337">
        <f t="shared" ref="K25:K75" si="31">SUM(I25:J25)</f>
        <v>4090187</v>
      </c>
      <c r="L25" s="337">
        <f t="shared" si="3"/>
        <v>4397691</v>
      </c>
      <c r="M25" s="416">
        <f t="shared" si="4"/>
        <v>102309</v>
      </c>
      <c r="N25" s="416"/>
      <c r="O25" s="337">
        <f t="shared" si="5"/>
        <v>0</v>
      </c>
      <c r="P25" s="337">
        <f t="shared" si="6"/>
        <v>102309</v>
      </c>
      <c r="Q25" s="337"/>
      <c r="R25" s="416"/>
      <c r="S25" s="337">
        <f t="shared" si="29"/>
        <v>0</v>
      </c>
      <c r="T25" s="416">
        <f t="shared" si="8"/>
        <v>0</v>
      </c>
      <c r="U25" s="416">
        <f t="shared" si="30"/>
        <v>0</v>
      </c>
      <c r="V25" s="416">
        <f t="shared" si="10"/>
        <v>0</v>
      </c>
      <c r="W25" s="337"/>
      <c r="X25" s="337"/>
      <c r="Y25" s="415"/>
      <c r="Z25" s="242"/>
      <c r="AA25" s="242"/>
      <c r="AB25" s="242">
        <f t="shared" si="11"/>
        <v>0</v>
      </c>
      <c r="AC25" s="242"/>
      <c r="AD25" s="242"/>
      <c r="AE25" s="242">
        <f t="shared" si="12"/>
        <v>0</v>
      </c>
      <c r="AF25" s="241"/>
      <c r="AG25" s="241"/>
      <c r="AH25" s="242">
        <f t="shared" si="13"/>
        <v>0</v>
      </c>
      <c r="AI25" s="241"/>
      <c r="AJ25" s="242"/>
      <c r="AK25" s="242">
        <f t="shared" si="14"/>
        <v>0</v>
      </c>
      <c r="AL25" s="241"/>
      <c r="AM25" s="242"/>
      <c r="AN25" s="242">
        <f t="shared" si="15"/>
        <v>0</v>
      </c>
      <c r="AO25" s="241"/>
      <c r="AP25" s="242"/>
      <c r="AQ25" s="242">
        <f t="shared" si="16"/>
        <v>0</v>
      </c>
      <c r="AR25" s="241"/>
      <c r="AS25" s="242"/>
      <c r="AT25" s="242">
        <f t="shared" si="17"/>
        <v>0</v>
      </c>
      <c r="AU25" s="241"/>
      <c r="AV25" s="242"/>
      <c r="AW25" s="242">
        <f t="shared" si="18"/>
        <v>0</v>
      </c>
      <c r="AX25" s="241"/>
      <c r="AY25" s="242"/>
      <c r="AZ25" s="242">
        <f t="shared" si="19"/>
        <v>0</v>
      </c>
      <c r="BA25" s="241"/>
      <c r="BB25" s="242"/>
      <c r="BC25" s="242">
        <f t="shared" si="20"/>
        <v>0</v>
      </c>
      <c r="BD25" s="242"/>
      <c r="BE25" s="242"/>
      <c r="BF25" s="242">
        <f t="shared" si="21"/>
        <v>0</v>
      </c>
      <c r="BG25" s="242">
        <f t="shared" si="22"/>
        <v>0</v>
      </c>
      <c r="BH25" s="242"/>
      <c r="BI25" s="242">
        <f t="shared" si="23"/>
        <v>0</v>
      </c>
      <c r="BJ25" s="242">
        <f t="shared" si="24"/>
        <v>0</v>
      </c>
      <c r="BK25" s="242">
        <f t="shared" si="25"/>
        <v>0</v>
      </c>
      <c r="BL25" s="242"/>
      <c r="BM25" s="242"/>
      <c r="BN25" s="242">
        <f t="shared" si="26"/>
        <v>0</v>
      </c>
      <c r="BO25" s="242"/>
      <c r="BP25" s="242"/>
      <c r="BQ25" s="242">
        <f t="shared" si="27"/>
        <v>0</v>
      </c>
      <c r="BR25" s="242"/>
      <c r="BS25" s="242"/>
      <c r="BT25" s="414">
        <v>742000</v>
      </c>
      <c r="BZ25" s="414"/>
      <c r="CA25" s="337"/>
      <c r="CB25" s="337">
        <f t="shared" si="1"/>
        <v>0</v>
      </c>
    </row>
    <row r="26" spans="1:80" s="424" customFormat="1">
      <c r="A26" s="414">
        <f t="shared" si="28"/>
        <v>21</v>
      </c>
      <c r="B26" s="415">
        <v>1462</v>
      </c>
      <c r="C26" s="415" t="s">
        <v>695</v>
      </c>
      <c r="D26" s="416">
        <v>4600000</v>
      </c>
      <c r="E26" s="416">
        <v>4600000</v>
      </c>
      <c r="F26" s="337">
        <f t="shared" si="0"/>
        <v>0</v>
      </c>
      <c r="G26" s="416">
        <v>570000</v>
      </c>
      <c r="H26" s="416">
        <v>105529.7</v>
      </c>
      <c r="I26" s="416">
        <v>128304.36</v>
      </c>
      <c r="J26" s="416"/>
      <c r="K26" s="416">
        <f>SUM(I26:J26)</f>
        <v>128304.36</v>
      </c>
      <c r="L26" s="416">
        <f t="shared" si="3"/>
        <v>233834.06</v>
      </c>
      <c r="M26" s="416">
        <f t="shared" si="4"/>
        <v>4366165.9400000004</v>
      </c>
      <c r="N26" s="416"/>
      <c r="O26" s="416">
        <f t="shared" si="5"/>
        <v>0</v>
      </c>
      <c r="P26" s="416">
        <f t="shared" si="6"/>
        <v>336165.94</v>
      </c>
      <c r="Q26" s="417">
        <v>2830000</v>
      </c>
      <c r="R26" s="416">
        <v>1200000</v>
      </c>
      <c r="S26" s="416">
        <f>SUM(Q26:R26)</f>
        <v>4030000</v>
      </c>
      <c r="T26" s="416">
        <f t="shared" si="8"/>
        <v>0</v>
      </c>
      <c r="U26" s="416">
        <f t="shared" si="30"/>
        <v>0</v>
      </c>
      <c r="V26" s="416">
        <f>U26-Y26-W26-X26</f>
        <v>0</v>
      </c>
      <c r="W26" s="416"/>
      <c r="X26" s="416"/>
      <c r="Y26" s="415"/>
      <c r="Z26" s="242"/>
      <c r="AA26" s="242"/>
      <c r="AB26" s="242">
        <f t="shared" si="11"/>
        <v>0</v>
      </c>
      <c r="AC26" s="242"/>
      <c r="AD26" s="242"/>
      <c r="AE26" s="242">
        <f t="shared" si="12"/>
        <v>0</v>
      </c>
      <c r="AF26" s="241"/>
      <c r="AG26" s="241"/>
      <c r="AH26" s="242">
        <f t="shared" si="13"/>
        <v>0</v>
      </c>
      <c r="AI26" s="241"/>
      <c r="AJ26" s="242"/>
      <c r="AK26" s="242">
        <f t="shared" si="14"/>
        <v>0</v>
      </c>
      <c r="AL26" s="241"/>
      <c r="AM26" s="242"/>
      <c r="AN26" s="242">
        <f t="shared" si="15"/>
        <v>0</v>
      </c>
      <c r="AO26" s="241"/>
      <c r="AP26" s="242"/>
      <c r="AQ26" s="242">
        <f t="shared" si="16"/>
        <v>0</v>
      </c>
      <c r="AR26" s="241"/>
      <c r="AS26" s="242"/>
      <c r="AT26" s="242">
        <f t="shared" si="17"/>
        <v>0</v>
      </c>
      <c r="AU26" s="241"/>
      <c r="AV26" s="242"/>
      <c r="AW26" s="242">
        <f t="shared" si="18"/>
        <v>0</v>
      </c>
      <c r="AX26" s="241"/>
      <c r="AY26" s="242"/>
      <c r="AZ26" s="242">
        <f t="shared" si="19"/>
        <v>0</v>
      </c>
      <c r="BA26" s="241"/>
      <c r="BB26" s="242"/>
      <c r="BC26" s="242">
        <f t="shared" si="20"/>
        <v>0</v>
      </c>
      <c r="BD26" s="242"/>
      <c r="BE26" s="242"/>
      <c r="BF26" s="242">
        <f t="shared" si="21"/>
        <v>0</v>
      </c>
      <c r="BG26" s="242">
        <f t="shared" si="22"/>
        <v>0</v>
      </c>
      <c r="BH26" s="242"/>
      <c r="BI26" s="242">
        <f t="shared" si="23"/>
        <v>0</v>
      </c>
      <c r="BJ26" s="242">
        <f t="shared" si="24"/>
        <v>0</v>
      </c>
      <c r="BK26" s="242">
        <f t="shared" si="25"/>
        <v>0</v>
      </c>
      <c r="BL26" s="242"/>
      <c r="BM26" s="242"/>
      <c r="BN26" s="242">
        <f t="shared" si="26"/>
        <v>0</v>
      </c>
      <c r="BO26" s="242"/>
      <c r="BP26" s="242"/>
      <c r="BQ26" s="242">
        <f t="shared" si="27"/>
        <v>0</v>
      </c>
      <c r="BR26" s="242"/>
      <c r="BS26" s="242"/>
      <c r="BT26" s="415">
        <v>742000</v>
      </c>
      <c r="BZ26" s="415"/>
      <c r="CA26" s="337"/>
      <c r="CB26" s="337">
        <f t="shared" si="1"/>
        <v>0</v>
      </c>
    </row>
    <row r="27" spans="1:80" s="413" customFormat="1">
      <c r="A27" s="414">
        <f t="shared" si="28"/>
        <v>22</v>
      </c>
      <c r="B27" s="414">
        <v>1539</v>
      </c>
      <c r="C27" s="415" t="s">
        <v>52</v>
      </c>
      <c r="D27" s="416">
        <f>29050000-12750000</f>
        <v>16300000</v>
      </c>
      <c r="E27" s="337">
        <v>29050000</v>
      </c>
      <c r="F27" s="337">
        <f t="shared" si="0"/>
        <v>-12750000</v>
      </c>
      <c r="G27" s="337">
        <v>1300000</v>
      </c>
      <c r="H27" s="337">
        <v>530442.37</v>
      </c>
      <c r="I27" s="337">
        <v>476218.11</v>
      </c>
      <c r="J27" s="337">
        <v>103896.1</v>
      </c>
      <c r="K27" s="337">
        <f t="shared" si="31"/>
        <v>580114.21</v>
      </c>
      <c r="L27" s="337">
        <f t="shared" si="3"/>
        <v>1110556.58</v>
      </c>
      <c r="M27" s="416">
        <f t="shared" si="4"/>
        <v>189443.41999999993</v>
      </c>
      <c r="N27" s="416">
        <f>15000000-10000000-2000000</f>
        <v>3000000</v>
      </c>
      <c r="O27" s="337">
        <f t="shared" si="5"/>
        <v>12000000</v>
      </c>
      <c r="P27" s="337">
        <f t="shared" si="6"/>
        <v>189443.41999999993</v>
      </c>
      <c r="Q27" s="337"/>
      <c r="R27" s="416"/>
      <c r="S27" s="337">
        <f t="shared" si="29"/>
        <v>0</v>
      </c>
      <c r="T27" s="416">
        <f t="shared" si="8"/>
        <v>0</v>
      </c>
      <c r="U27" s="416">
        <f t="shared" si="30"/>
        <v>3000000</v>
      </c>
      <c r="V27" s="416">
        <f t="shared" si="10"/>
        <v>3000000</v>
      </c>
      <c r="W27" s="337"/>
      <c r="X27" s="337"/>
      <c r="Y27" s="415"/>
      <c r="Z27" s="242"/>
      <c r="AA27" s="242"/>
      <c r="AB27" s="242">
        <f t="shared" si="11"/>
        <v>0</v>
      </c>
      <c r="AC27" s="242"/>
      <c r="AD27" s="242"/>
      <c r="AE27" s="242">
        <f t="shared" si="12"/>
        <v>0</v>
      </c>
      <c r="AF27" s="241"/>
      <c r="AG27" s="242">
        <v>200000</v>
      </c>
      <c r="AH27" s="242">
        <f t="shared" si="13"/>
        <v>200000</v>
      </c>
      <c r="AI27" s="241"/>
      <c r="AJ27" s="242"/>
      <c r="AK27" s="242">
        <f t="shared" si="14"/>
        <v>0</v>
      </c>
      <c r="AL27" s="241"/>
      <c r="AM27" s="242"/>
      <c r="AN27" s="242">
        <f t="shared" si="15"/>
        <v>0</v>
      </c>
      <c r="AO27" s="241"/>
      <c r="AP27" s="242"/>
      <c r="AQ27" s="242">
        <f t="shared" si="16"/>
        <v>0</v>
      </c>
      <c r="AR27" s="241"/>
      <c r="AS27" s="242"/>
      <c r="AT27" s="242">
        <f t="shared" si="17"/>
        <v>0</v>
      </c>
      <c r="AU27" s="241"/>
      <c r="AV27" s="242"/>
      <c r="AW27" s="242">
        <f t="shared" si="18"/>
        <v>0</v>
      </c>
      <c r="AX27" s="241"/>
      <c r="AY27" s="242"/>
      <c r="AZ27" s="242">
        <f t="shared" si="19"/>
        <v>0</v>
      </c>
      <c r="BA27" s="241"/>
      <c r="BB27" s="242"/>
      <c r="BC27" s="242">
        <f t="shared" si="20"/>
        <v>0</v>
      </c>
      <c r="BD27" s="242">
        <v>2800000</v>
      </c>
      <c r="BE27" s="242"/>
      <c r="BF27" s="242">
        <f t="shared" si="21"/>
        <v>2800000</v>
      </c>
      <c r="BG27" s="242">
        <f t="shared" si="22"/>
        <v>3000000</v>
      </c>
      <c r="BH27" s="242"/>
      <c r="BI27" s="242">
        <f t="shared" si="23"/>
        <v>3000000</v>
      </c>
      <c r="BJ27" s="242">
        <f t="shared" si="24"/>
        <v>0</v>
      </c>
      <c r="BK27" s="242">
        <f t="shared" si="25"/>
        <v>3000000</v>
      </c>
      <c r="BL27" s="242"/>
      <c r="BM27" s="242"/>
      <c r="BN27" s="242">
        <f t="shared" si="26"/>
        <v>0</v>
      </c>
      <c r="BO27" s="242"/>
      <c r="BP27" s="242"/>
      <c r="BQ27" s="242">
        <f t="shared" si="27"/>
        <v>0</v>
      </c>
      <c r="BR27" s="242"/>
      <c r="BS27" s="242"/>
      <c r="BT27" s="414">
        <v>742000</v>
      </c>
      <c r="BZ27" s="414"/>
      <c r="CA27" s="337"/>
      <c r="CB27" s="422">
        <f t="shared" si="1"/>
        <v>3000000</v>
      </c>
    </row>
    <row r="28" spans="1:80" s="418" customFormat="1">
      <c r="A28" s="414">
        <f t="shared" si="28"/>
        <v>23</v>
      </c>
      <c r="B28" s="414">
        <v>1541</v>
      </c>
      <c r="C28" s="415" t="s">
        <v>264</v>
      </c>
      <c r="D28" s="416">
        <v>2650000</v>
      </c>
      <c r="E28" s="337">
        <v>2650000</v>
      </c>
      <c r="F28" s="337">
        <f t="shared" si="0"/>
        <v>0</v>
      </c>
      <c r="G28" s="337">
        <v>2650000</v>
      </c>
      <c r="H28" s="337">
        <v>1834859.56</v>
      </c>
      <c r="I28" s="337">
        <v>760455.51</v>
      </c>
      <c r="J28" s="337"/>
      <c r="K28" s="337">
        <f t="shared" si="31"/>
        <v>760455.51</v>
      </c>
      <c r="L28" s="337">
        <f t="shared" si="3"/>
        <v>2595315.0700000003</v>
      </c>
      <c r="M28" s="416">
        <f t="shared" si="4"/>
        <v>54684.929999999702</v>
      </c>
      <c r="N28" s="416"/>
      <c r="O28" s="337">
        <f t="shared" si="5"/>
        <v>0</v>
      </c>
      <c r="P28" s="337">
        <f t="shared" si="6"/>
        <v>54684.929999999702</v>
      </c>
      <c r="Q28" s="337"/>
      <c r="R28" s="416"/>
      <c r="S28" s="337">
        <f t="shared" si="29"/>
        <v>0</v>
      </c>
      <c r="T28" s="416">
        <f t="shared" si="8"/>
        <v>0</v>
      </c>
      <c r="U28" s="416">
        <f t="shared" si="30"/>
        <v>0</v>
      </c>
      <c r="V28" s="416">
        <f t="shared" si="10"/>
        <v>0</v>
      </c>
      <c r="W28" s="337"/>
      <c r="X28" s="337"/>
      <c r="Y28" s="415"/>
      <c r="Z28" s="242"/>
      <c r="AA28" s="242"/>
      <c r="AB28" s="242">
        <f t="shared" si="11"/>
        <v>0</v>
      </c>
      <c r="AC28" s="242"/>
      <c r="AD28" s="242"/>
      <c r="AE28" s="242">
        <f t="shared" si="12"/>
        <v>0</v>
      </c>
      <c r="AF28" s="241"/>
      <c r="AG28" s="241"/>
      <c r="AH28" s="242">
        <f t="shared" si="13"/>
        <v>0</v>
      </c>
      <c r="AI28" s="241"/>
      <c r="AJ28" s="242"/>
      <c r="AK28" s="242">
        <f t="shared" si="14"/>
        <v>0</v>
      </c>
      <c r="AL28" s="241"/>
      <c r="AM28" s="242"/>
      <c r="AN28" s="242">
        <f t="shared" si="15"/>
        <v>0</v>
      </c>
      <c r="AO28" s="241"/>
      <c r="AP28" s="242"/>
      <c r="AQ28" s="242">
        <f t="shared" si="16"/>
        <v>0</v>
      </c>
      <c r="AR28" s="241"/>
      <c r="AS28" s="242"/>
      <c r="AT28" s="242">
        <f t="shared" si="17"/>
        <v>0</v>
      </c>
      <c r="AU28" s="241"/>
      <c r="AV28" s="242"/>
      <c r="AW28" s="242">
        <f t="shared" si="18"/>
        <v>0</v>
      </c>
      <c r="AX28" s="241"/>
      <c r="AY28" s="242"/>
      <c r="AZ28" s="242">
        <f t="shared" si="19"/>
        <v>0</v>
      </c>
      <c r="BA28" s="241"/>
      <c r="BB28" s="242"/>
      <c r="BC28" s="242">
        <f t="shared" si="20"/>
        <v>0</v>
      </c>
      <c r="BD28" s="242"/>
      <c r="BE28" s="242"/>
      <c r="BF28" s="242">
        <f t="shared" si="21"/>
        <v>0</v>
      </c>
      <c r="BG28" s="242">
        <f t="shared" si="22"/>
        <v>0</v>
      </c>
      <c r="BH28" s="242"/>
      <c r="BI28" s="242">
        <f t="shared" si="23"/>
        <v>0</v>
      </c>
      <c r="BJ28" s="242">
        <f t="shared" si="24"/>
        <v>0</v>
      </c>
      <c r="BK28" s="242">
        <f t="shared" si="25"/>
        <v>0</v>
      </c>
      <c r="BL28" s="242"/>
      <c r="BM28" s="242"/>
      <c r="BN28" s="242">
        <f t="shared" si="26"/>
        <v>0</v>
      </c>
      <c r="BO28" s="242"/>
      <c r="BP28" s="242"/>
      <c r="BQ28" s="242">
        <f t="shared" si="27"/>
        <v>0</v>
      </c>
      <c r="BR28" s="242"/>
      <c r="BS28" s="242"/>
      <c r="BT28" s="414">
        <v>829000</v>
      </c>
      <c r="BU28" s="413"/>
      <c r="BZ28" s="419"/>
      <c r="CA28" s="419"/>
      <c r="CB28" s="337">
        <f t="shared" si="1"/>
        <v>0</v>
      </c>
    </row>
    <row r="29" spans="1:80" s="418" customFormat="1">
      <c r="A29" s="414">
        <f t="shared" si="28"/>
        <v>24</v>
      </c>
      <c r="B29" s="414">
        <v>1555</v>
      </c>
      <c r="C29" s="415" t="s">
        <v>178</v>
      </c>
      <c r="D29" s="416">
        <f>7500000-3250000</f>
        <v>4250000</v>
      </c>
      <c r="E29" s="337">
        <v>7500000</v>
      </c>
      <c r="F29" s="337">
        <f t="shared" si="0"/>
        <v>-3250000</v>
      </c>
      <c r="G29" s="337">
        <v>4250000</v>
      </c>
      <c r="H29" s="337">
        <v>3655272</v>
      </c>
      <c r="I29" s="337">
        <v>561713.98</v>
      </c>
      <c r="J29" s="337"/>
      <c r="K29" s="337">
        <f t="shared" si="31"/>
        <v>561713.98</v>
      </c>
      <c r="L29" s="337">
        <f t="shared" si="3"/>
        <v>4216985.9800000004</v>
      </c>
      <c r="M29" s="416">
        <f t="shared" si="4"/>
        <v>33014.019999999553</v>
      </c>
      <c r="N29" s="416"/>
      <c r="O29" s="337">
        <f t="shared" si="5"/>
        <v>0</v>
      </c>
      <c r="P29" s="337">
        <f t="shared" si="6"/>
        <v>33014.019999999553</v>
      </c>
      <c r="Q29" s="337"/>
      <c r="R29" s="416"/>
      <c r="S29" s="337">
        <f t="shared" si="29"/>
        <v>0</v>
      </c>
      <c r="T29" s="416">
        <f t="shared" si="8"/>
        <v>0</v>
      </c>
      <c r="U29" s="416">
        <f t="shared" si="30"/>
        <v>0</v>
      </c>
      <c r="V29" s="416">
        <f t="shared" si="10"/>
        <v>0</v>
      </c>
      <c r="W29" s="337"/>
      <c r="X29" s="337"/>
      <c r="Y29" s="415"/>
      <c r="Z29" s="242"/>
      <c r="AA29" s="242"/>
      <c r="AB29" s="242">
        <f t="shared" si="11"/>
        <v>0</v>
      </c>
      <c r="AC29" s="242"/>
      <c r="AD29" s="242"/>
      <c r="AE29" s="242">
        <f t="shared" si="12"/>
        <v>0</v>
      </c>
      <c r="AF29" s="241"/>
      <c r="AG29" s="241"/>
      <c r="AH29" s="242">
        <f t="shared" si="13"/>
        <v>0</v>
      </c>
      <c r="AI29" s="241"/>
      <c r="AJ29" s="242"/>
      <c r="AK29" s="242">
        <f t="shared" si="14"/>
        <v>0</v>
      </c>
      <c r="AL29" s="241"/>
      <c r="AM29" s="242"/>
      <c r="AN29" s="242">
        <f t="shared" si="15"/>
        <v>0</v>
      </c>
      <c r="AO29" s="241"/>
      <c r="AP29" s="242"/>
      <c r="AQ29" s="242">
        <f t="shared" si="16"/>
        <v>0</v>
      </c>
      <c r="AR29" s="241"/>
      <c r="AS29" s="242"/>
      <c r="AT29" s="242">
        <f t="shared" si="17"/>
        <v>0</v>
      </c>
      <c r="AU29" s="241"/>
      <c r="AV29" s="242"/>
      <c r="AW29" s="242">
        <f t="shared" si="18"/>
        <v>0</v>
      </c>
      <c r="AX29" s="241"/>
      <c r="AY29" s="242"/>
      <c r="AZ29" s="242">
        <f t="shared" si="19"/>
        <v>0</v>
      </c>
      <c r="BA29" s="241"/>
      <c r="BB29" s="242"/>
      <c r="BC29" s="242">
        <f t="shared" si="20"/>
        <v>0</v>
      </c>
      <c r="BD29" s="241"/>
      <c r="BE29" s="242"/>
      <c r="BF29" s="242">
        <f t="shared" si="21"/>
        <v>0</v>
      </c>
      <c r="BG29" s="242">
        <f t="shared" si="22"/>
        <v>0</v>
      </c>
      <c r="BH29" s="242"/>
      <c r="BI29" s="242">
        <f t="shared" si="23"/>
        <v>0</v>
      </c>
      <c r="BJ29" s="242">
        <f t="shared" si="24"/>
        <v>0</v>
      </c>
      <c r="BK29" s="242">
        <f t="shared" si="25"/>
        <v>0</v>
      </c>
      <c r="BL29" s="242"/>
      <c r="BM29" s="242"/>
      <c r="BN29" s="242">
        <f t="shared" si="26"/>
        <v>0</v>
      </c>
      <c r="BO29" s="242"/>
      <c r="BP29" s="242"/>
      <c r="BQ29" s="242">
        <f t="shared" si="27"/>
        <v>0</v>
      </c>
      <c r="BR29" s="242"/>
      <c r="BS29" s="242"/>
      <c r="BT29" s="414">
        <v>828000</v>
      </c>
      <c r="BU29" s="413"/>
      <c r="BZ29" s="419"/>
      <c r="CA29" s="337"/>
      <c r="CB29" s="337">
        <f t="shared" si="1"/>
        <v>0</v>
      </c>
    </row>
    <row r="30" spans="1:80" s="424" customFormat="1">
      <c r="A30" s="414">
        <f t="shared" si="28"/>
        <v>25</v>
      </c>
      <c r="B30" s="415">
        <v>1588</v>
      </c>
      <c r="C30" s="415" t="s">
        <v>36</v>
      </c>
      <c r="D30" s="416">
        <f>40000000+10500000</f>
        <v>50500000</v>
      </c>
      <c r="E30" s="416">
        <v>40000000</v>
      </c>
      <c r="F30" s="337">
        <f t="shared" si="0"/>
        <v>10500000</v>
      </c>
      <c r="G30" s="416">
        <v>3000000</v>
      </c>
      <c r="H30" s="416">
        <v>958520.17</v>
      </c>
      <c r="I30" s="416">
        <v>105059.51</v>
      </c>
      <c r="J30" s="416">
        <v>801012.77</v>
      </c>
      <c r="K30" s="416">
        <f>SUM(I30:J30)</f>
        <v>906072.28</v>
      </c>
      <c r="L30" s="416">
        <f t="shared" si="3"/>
        <v>1864592.4500000002</v>
      </c>
      <c r="M30" s="416">
        <f t="shared" si="4"/>
        <v>1135407.5499999998</v>
      </c>
      <c r="N30" s="416">
        <f>16000000+5500000-5500000-10000000-1000000</f>
        <v>5000000</v>
      </c>
      <c r="O30" s="416">
        <f t="shared" si="5"/>
        <v>42500000</v>
      </c>
      <c r="P30" s="416">
        <f t="shared" si="6"/>
        <v>1135407.5499999998</v>
      </c>
      <c r="Q30" s="416"/>
      <c r="R30" s="416"/>
      <c r="S30" s="416">
        <f>SUM(Q30:R30)</f>
        <v>0</v>
      </c>
      <c r="T30" s="416">
        <f t="shared" si="8"/>
        <v>0</v>
      </c>
      <c r="U30" s="416">
        <f t="shared" si="30"/>
        <v>5000000</v>
      </c>
      <c r="V30" s="416">
        <f>U30-Y30-W30-X30</f>
        <v>5000000</v>
      </c>
      <c r="W30" s="416"/>
      <c r="X30" s="416"/>
      <c r="Y30" s="415"/>
      <c r="Z30" s="242"/>
      <c r="AA30" s="242"/>
      <c r="AB30" s="242">
        <f t="shared" si="11"/>
        <v>0</v>
      </c>
      <c r="AC30" s="242"/>
      <c r="AD30" s="242"/>
      <c r="AE30" s="242">
        <f t="shared" si="12"/>
        <v>0</v>
      </c>
      <c r="AF30" s="242"/>
      <c r="AG30" s="242"/>
      <c r="AH30" s="242">
        <f t="shared" si="13"/>
        <v>0</v>
      </c>
      <c r="AI30" s="242"/>
      <c r="AJ30" s="242"/>
      <c r="AK30" s="242">
        <f t="shared" si="14"/>
        <v>0</v>
      </c>
      <c r="AL30" s="242"/>
      <c r="AM30" s="242"/>
      <c r="AN30" s="242">
        <f t="shared" si="15"/>
        <v>0</v>
      </c>
      <c r="AO30" s="242"/>
      <c r="AP30" s="242"/>
      <c r="AQ30" s="242">
        <f t="shared" si="16"/>
        <v>0</v>
      </c>
      <c r="AR30" s="242"/>
      <c r="AS30" s="242"/>
      <c r="AT30" s="242">
        <f t="shared" si="17"/>
        <v>0</v>
      </c>
      <c r="AU30" s="242"/>
      <c r="AV30" s="242"/>
      <c r="AW30" s="242">
        <f t="shared" si="18"/>
        <v>0</v>
      </c>
      <c r="AX30" s="242"/>
      <c r="AY30" s="242"/>
      <c r="AZ30" s="242">
        <f t="shared" si="19"/>
        <v>0</v>
      </c>
      <c r="BA30" s="242"/>
      <c r="BB30" s="242"/>
      <c r="BC30" s="242">
        <f t="shared" si="20"/>
        <v>0</v>
      </c>
      <c r="BD30" s="242"/>
      <c r="BE30" s="242"/>
      <c r="BF30" s="242">
        <f t="shared" si="21"/>
        <v>0</v>
      </c>
      <c r="BG30" s="242">
        <f t="shared" si="22"/>
        <v>0</v>
      </c>
      <c r="BH30" s="242">
        <v>5000000</v>
      </c>
      <c r="BI30" s="242">
        <f t="shared" si="23"/>
        <v>5000000</v>
      </c>
      <c r="BJ30" s="242">
        <f t="shared" si="24"/>
        <v>0</v>
      </c>
      <c r="BK30" s="242">
        <f t="shared" si="25"/>
        <v>5000000</v>
      </c>
      <c r="BL30" s="242"/>
      <c r="BM30" s="242"/>
      <c r="BN30" s="242">
        <f t="shared" si="26"/>
        <v>5000000</v>
      </c>
      <c r="BO30" s="242"/>
      <c r="BP30" s="242"/>
      <c r="BQ30" s="242">
        <f t="shared" si="27"/>
        <v>0</v>
      </c>
      <c r="BR30" s="242"/>
      <c r="BS30" s="242"/>
      <c r="BT30" s="415">
        <v>742000</v>
      </c>
      <c r="BZ30" s="415"/>
      <c r="CA30" s="337"/>
      <c r="CB30" s="422">
        <f t="shared" si="1"/>
        <v>5000000</v>
      </c>
    </row>
    <row r="31" spans="1:80" s="413" customFormat="1">
      <c r="A31" s="414">
        <f t="shared" si="28"/>
        <v>26</v>
      </c>
      <c r="B31" s="396">
        <v>1605</v>
      </c>
      <c r="C31" s="396" t="s">
        <v>1164</v>
      </c>
      <c r="D31" s="416">
        <v>2200000</v>
      </c>
      <c r="E31" s="337">
        <v>2200000</v>
      </c>
      <c r="F31" s="337">
        <f t="shared" si="0"/>
        <v>0</v>
      </c>
      <c r="G31" s="337">
        <v>300000</v>
      </c>
      <c r="H31" s="337">
        <v>4862</v>
      </c>
      <c r="I31" s="337">
        <v>295009.42</v>
      </c>
      <c r="J31" s="337"/>
      <c r="K31" s="337">
        <f t="shared" si="31"/>
        <v>295009.42</v>
      </c>
      <c r="L31" s="337">
        <f t="shared" si="3"/>
        <v>299871.42</v>
      </c>
      <c r="M31" s="416">
        <f t="shared" si="4"/>
        <v>128.5800000000163</v>
      </c>
      <c r="N31" s="416">
        <f>1900000-1000000</f>
        <v>900000</v>
      </c>
      <c r="O31" s="337">
        <f t="shared" si="5"/>
        <v>1000000</v>
      </c>
      <c r="P31" s="337">
        <f t="shared" si="6"/>
        <v>128.5800000000163</v>
      </c>
      <c r="Q31" s="337"/>
      <c r="R31" s="416"/>
      <c r="S31" s="337">
        <f t="shared" si="29"/>
        <v>0</v>
      </c>
      <c r="T31" s="416">
        <f t="shared" si="8"/>
        <v>0</v>
      </c>
      <c r="U31" s="416">
        <f t="shared" si="30"/>
        <v>900000</v>
      </c>
      <c r="V31" s="416">
        <f t="shared" si="10"/>
        <v>900000</v>
      </c>
      <c r="W31" s="337"/>
      <c r="X31" s="337"/>
      <c r="Y31" s="415"/>
      <c r="Z31" s="242"/>
      <c r="AA31" s="242"/>
      <c r="AB31" s="242">
        <f t="shared" si="11"/>
        <v>0</v>
      </c>
      <c r="AC31" s="242"/>
      <c r="AD31" s="242"/>
      <c r="AE31" s="242">
        <f t="shared" si="12"/>
        <v>0</v>
      </c>
      <c r="AF31" s="241"/>
      <c r="AG31" s="241"/>
      <c r="AH31" s="242">
        <f t="shared" si="13"/>
        <v>0</v>
      </c>
      <c r="AI31" s="241"/>
      <c r="AJ31" s="242"/>
      <c r="AK31" s="242">
        <f t="shared" si="14"/>
        <v>0</v>
      </c>
      <c r="AL31" s="241"/>
      <c r="AM31" s="242"/>
      <c r="AN31" s="242">
        <f t="shared" si="15"/>
        <v>0</v>
      </c>
      <c r="AO31" s="241"/>
      <c r="AP31" s="242"/>
      <c r="AQ31" s="242">
        <f t="shared" si="16"/>
        <v>0</v>
      </c>
      <c r="AR31" s="241"/>
      <c r="AS31" s="242"/>
      <c r="AT31" s="242">
        <f t="shared" si="17"/>
        <v>0</v>
      </c>
      <c r="AU31" s="241"/>
      <c r="AV31" s="242"/>
      <c r="AW31" s="242">
        <f t="shared" si="18"/>
        <v>0</v>
      </c>
      <c r="AX31" s="241"/>
      <c r="AY31" s="242"/>
      <c r="AZ31" s="242">
        <f t="shared" si="19"/>
        <v>0</v>
      </c>
      <c r="BA31" s="241"/>
      <c r="BB31" s="242"/>
      <c r="BC31" s="242">
        <f t="shared" si="20"/>
        <v>0</v>
      </c>
      <c r="BD31" s="241"/>
      <c r="BE31" s="242"/>
      <c r="BF31" s="242">
        <f t="shared" si="21"/>
        <v>0</v>
      </c>
      <c r="BG31" s="242">
        <f t="shared" si="22"/>
        <v>0</v>
      </c>
      <c r="BH31" s="242"/>
      <c r="BI31" s="242">
        <f t="shared" si="23"/>
        <v>0</v>
      </c>
      <c r="BJ31" s="242">
        <f t="shared" si="24"/>
        <v>900000</v>
      </c>
      <c r="BK31" s="242">
        <f t="shared" si="25"/>
        <v>0</v>
      </c>
      <c r="BL31" s="242"/>
      <c r="BM31" s="242"/>
      <c r="BN31" s="242">
        <f t="shared" si="26"/>
        <v>0</v>
      </c>
      <c r="BO31" s="242"/>
      <c r="BP31" s="242"/>
      <c r="BQ31" s="242">
        <f t="shared" si="27"/>
        <v>900000</v>
      </c>
      <c r="BR31" s="242"/>
      <c r="BS31" s="242"/>
      <c r="BT31" s="414">
        <v>850000</v>
      </c>
      <c r="BZ31" s="414"/>
      <c r="CA31" s="337"/>
      <c r="CB31" s="422">
        <f t="shared" si="1"/>
        <v>900000</v>
      </c>
    </row>
    <row r="32" spans="1:80" s="424" customFormat="1" ht="30">
      <c r="A32" s="414">
        <f t="shared" si="28"/>
        <v>27</v>
      </c>
      <c r="B32" s="415">
        <v>1614</v>
      </c>
      <c r="C32" s="415" t="s">
        <v>696</v>
      </c>
      <c r="D32" s="416">
        <v>7200000</v>
      </c>
      <c r="E32" s="416">
        <v>7200000</v>
      </c>
      <c r="F32" s="337">
        <f t="shared" si="0"/>
        <v>0</v>
      </c>
      <c r="G32" s="416">
        <v>500000</v>
      </c>
      <c r="H32" s="416">
        <v>58635</v>
      </c>
      <c r="I32" s="416">
        <v>26065.26</v>
      </c>
      <c r="J32" s="416">
        <v>4790.92</v>
      </c>
      <c r="K32" s="416">
        <f>SUM(I32:J32)</f>
        <v>30856.18</v>
      </c>
      <c r="L32" s="416">
        <f t="shared" si="3"/>
        <v>89491.18</v>
      </c>
      <c r="M32" s="416">
        <f t="shared" si="4"/>
        <v>410508.82</v>
      </c>
      <c r="N32" s="416">
        <v>3700000</v>
      </c>
      <c r="O32" s="416">
        <f t="shared" si="5"/>
        <v>3000000</v>
      </c>
      <c r="P32" s="416">
        <f t="shared" si="6"/>
        <v>410508.82</v>
      </c>
      <c r="Q32" s="416"/>
      <c r="R32" s="416"/>
      <c r="S32" s="416">
        <f>SUM(Q32:R32)</f>
        <v>0</v>
      </c>
      <c r="T32" s="416">
        <f t="shared" si="8"/>
        <v>0</v>
      </c>
      <c r="U32" s="416">
        <f t="shared" si="30"/>
        <v>3700000</v>
      </c>
      <c r="V32" s="416">
        <f>U32-Y32-W32-X32</f>
        <v>3700000</v>
      </c>
      <c r="W32" s="416"/>
      <c r="X32" s="416"/>
      <c r="Y32" s="416"/>
      <c r="Z32" s="242"/>
      <c r="AA32" s="242"/>
      <c r="AB32" s="242">
        <f t="shared" si="11"/>
        <v>0</v>
      </c>
      <c r="AC32" s="242"/>
      <c r="AD32" s="242"/>
      <c r="AE32" s="242">
        <f t="shared" si="12"/>
        <v>0</v>
      </c>
      <c r="AF32" s="242"/>
      <c r="AG32" s="242"/>
      <c r="AH32" s="242">
        <f t="shared" si="13"/>
        <v>0</v>
      </c>
      <c r="AI32" s="242"/>
      <c r="AJ32" s="242"/>
      <c r="AK32" s="242">
        <f t="shared" si="14"/>
        <v>0</v>
      </c>
      <c r="AL32" s="242"/>
      <c r="AM32" s="242"/>
      <c r="AN32" s="242">
        <f t="shared" si="15"/>
        <v>0</v>
      </c>
      <c r="AO32" s="242"/>
      <c r="AP32" s="242"/>
      <c r="AQ32" s="242">
        <f t="shared" si="16"/>
        <v>0</v>
      </c>
      <c r="AR32" s="242"/>
      <c r="AS32" s="242"/>
      <c r="AT32" s="242">
        <f t="shared" si="17"/>
        <v>0</v>
      </c>
      <c r="AU32" s="242"/>
      <c r="AV32" s="242"/>
      <c r="AW32" s="242">
        <f t="shared" si="18"/>
        <v>0</v>
      </c>
      <c r="AX32" s="242"/>
      <c r="AY32" s="242"/>
      <c r="AZ32" s="242">
        <f t="shared" si="19"/>
        <v>0</v>
      </c>
      <c r="BA32" s="242"/>
      <c r="BB32" s="242"/>
      <c r="BC32" s="242">
        <f t="shared" si="20"/>
        <v>0</v>
      </c>
      <c r="BD32" s="242"/>
      <c r="BE32" s="242"/>
      <c r="BF32" s="242">
        <f t="shared" si="21"/>
        <v>0</v>
      </c>
      <c r="BG32" s="242">
        <f t="shared" si="22"/>
        <v>0</v>
      </c>
      <c r="BH32" s="242"/>
      <c r="BI32" s="242">
        <f t="shared" si="23"/>
        <v>0</v>
      </c>
      <c r="BJ32" s="242">
        <f t="shared" si="24"/>
        <v>3700000</v>
      </c>
      <c r="BK32" s="242">
        <f t="shared" si="25"/>
        <v>0</v>
      </c>
      <c r="BL32" s="242"/>
      <c r="BM32" s="242"/>
      <c r="BN32" s="242">
        <f t="shared" si="26"/>
        <v>0</v>
      </c>
      <c r="BO32" s="242"/>
      <c r="BP32" s="242"/>
      <c r="BQ32" s="242">
        <f t="shared" si="27"/>
        <v>3700000</v>
      </c>
      <c r="BR32" s="242"/>
      <c r="BS32" s="242"/>
      <c r="BT32" s="415">
        <v>742000</v>
      </c>
      <c r="BZ32" s="415"/>
      <c r="CA32" s="337"/>
      <c r="CB32" s="422">
        <f t="shared" si="1"/>
        <v>3700000</v>
      </c>
    </row>
    <row r="33" spans="1:85" s="424" customFormat="1">
      <c r="A33" s="414">
        <f t="shared" si="28"/>
        <v>28</v>
      </c>
      <c r="B33" s="415">
        <v>1615</v>
      </c>
      <c r="C33" s="415" t="s">
        <v>258</v>
      </c>
      <c r="D33" s="416">
        <v>27700000</v>
      </c>
      <c r="E33" s="416">
        <v>27700000</v>
      </c>
      <c r="F33" s="337">
        <f t="shared" si="0"/>
        <v>0</v>
      </c>
      <c r="G33" s="416">
        <v>3200000</v>
      </c>
      <c r="H33" s="416">
        <v>289143</v>
      </c>
      <c r="I33" s="416">
        <v>157349.5</v>
      </c>
      <c r="J33" s="416">
        <v>509270.94</v>
      </c>
      <c r="K33" s="416">
        <f>SUM(I33:J33)</f>
        <v>666620.43999999994</v>
      </c>
      <c r="L33" s="416">
        <f t="shared" si="3"/>
        <v>955763.44</v>
      </c>
      <c r="M33" s="416">
        <f t="shared" si="4"/>
        <v>2244236.56</v>
      </c>
      <c r="N33" s="416">
        <f>10000000-8000000+8000000</f>
        <v>10000000</v>
      </c>
      <c r="O33" s="416">
        <f t="shared" si="5"/>
        <v>14500000</v>
      </c>
      <c r="P33" s="416">
        <f t="shared" si="6"/>
        <v>2244236.56</v>
      </c>
      <c r="Q33" s="416"/>
      <c r="R33" s="416"/>
      <c r="S33" s="416">
        <f>SUM(Q33:R33)</f>
        <v>0</v>
      </c>
      <c r="T33" s="416">
        <f t="shared" si="8"/>
        <v>0</v>
      </c>
      <c r="U33" s="416">
        <f t="shared" si="30"/>
        <v>10000000</v>
      </c>
      <c r="V33" s="416">
        <f>U33-Y33-W33-X33</f>
        <v>10000000</v>
      </c>
      <c r="W33" s="416"/>
      <c r="X33" s="416"/>
      <c r="Y33" s="416"/>
      <c r="Z33" s="242"/>
      <c r="AA33" s="242"/>
      <c r="AB33" s="242">
        <f t="shared" si="11"/>
        <v>0</v>
      </c>
      <c r="AC33" s="242"/>
      <c r="AD33" s="242"/>
      <c r="AE33" s="242">
        <f t="shared" si="12"/>
        <v>0</v>
      </c>
      <c r="AF33" s="241"/>
      <c r="AG33" s="241"/>
      <c r="AH33" s="242">
        <f t="shared" si="13"/>
        <v>0</v>
      </c>
      <c r="AI33" s="241"/>
      <c r="AJ33" s="242"/>
      <c r="AK33" s="242">
        <f t="shared" si="14"/>
        <v>0</v>
      </c>
      <c r="AL33" s="241"/>
      <c r="AM33" s="242"/>
      <c r="AN33" s="242">
        <f t="shared" si="15"/>
        <v>0</v>
      </c>
      <c r="AO33" s="241"/>
      <c r="AP33" s="242"/>
      <c r="AQ33" s="242">
        <f t="shared" si="16"/>
        <v>0</v>
      </c>
      <c r="AR33" s="241"/>
      <c r="AS33" s="242"/>
      <c r="AT33" s="242">
        <f t="shared" si="17"/>
        <v>0</v>
      </c>
      <c r="AU33" s="241"/>
      <c r="AV33" s="242"/>
      <c r="AW33" s="242">
        <f t="shared" si="18"/>
        <v>0</v>
      </c>
      <c r="AX33" s="241"/>
      <c r="AY33" s="242"/>
      <c r="AZ33" s="242">
        <f t="shared" si="19"/>
        <v>0</v>
      </c>
      <c r="BA33" s="241"/>
      <c r="BB33" s="242"/>
      <c r="BC33" s="242">
        <f t="shared" si="20"/>
        <v>0</v>
      </c>
      <c r="BD33" s="242">
        <v>10000000</v>
      </c>
      <c r="BE33" s="242"/>
      <c r="BF33" s="242">
        <f t="shared" si="21"/>
        <v>10000000</v>
      </c>
      <c r="BG33" s="242">
        <f t="shared" si="22"/>
        <v>10000000</v>
      </c>
      <c r="BH33" s="242"/>
      <c r="BI33" s="242">
        <f t="shared" si="23"/>
        <v>10000000</v>
      </c>
      <c r="BJ33" s="242">
        <f t="shared" si="24"/>
        <v>0</v>
      </c>
      <c r="BK33" s="242">
        <f t="shared" si="25"/>
        <v>10000000</v>
      </c>
      <c r="BL33" s="242"/>
      <c r="BM33" s="242"/>
      <c r="BN33" s="242">
        <f t="shared" si="26"/>
        <v>0</v>
      </c>
      <c r="BO33" s="242"/>
      <c r="BP33" s="242"/>
      <c r="BQ33" s="242">
        <f t="shared" si="27"/>
        <v>0</v>
      </c>
      <c r="BR33" s="242"/>
      <c r="BS33" s="242"/>
      <c r="BT33" s="415">
        <v>742000</v>
      </c>
      <c r="BZ33" s="415"/>
      <c r="CA33" s="337"/>
      <c r="CB33" s="337">
        <f t="shared" si="1"/>
        <v>10000000</v>
      </c>
    </row>
    <row r="34" spans="1:85" s="424" customFormat="1">
      <c r="A34" s="414">
        <f t="shared" si="28"/>
        <v>29</v>
      </c>
      <c r="B34" s="415">
        <v>1616</v>
      </c>
      <c r="C34" s="415" t="s">
        <v>179</v>
      </c>
      <c r="D34" s="416">
        <f>3400000-2125000</f>
        <v>1275000</v>
      </c>
      <c r="E34" s="416">
        <v>3400000</v>
      </c>
      <c r="F34" s="337">
        <f t="shared" si="0"/>
        <v>-2125000</v>
      </c>
      <c r="G34" s="416">
        <f>350000+800000</f>
        <v>1150000</v>
      </c>
      <c r="H34" s="416">
        <v>32395</v>
      </c>
      <c r="I34" s="416">
        <v>317547.96000000002</v>
      </c>
      <c r="J34" s="416"/>
      <c r="K34" s="416">
        <f t="shared" si="31"/>
        <v>317547.96000000002</v>
      </c>
      <c r="L34" s="416">
        <f t="shared" si="3"/>
        <v>349942.96</v>
      </c>
      <c r="M34" s="416">
        <f t="shared" si="4"/>
        <v>800057.04</v>
      </c>
      <c r="N34" s="416">
        <v>125000</v>
      </c>
      <c r="O34" s="416">
        <f t="shared" si="5"/>
        <v>0</v>
      </c>
      <c r="P34" s="416">
        <f t="shared" si="6"/>
        <v>800057.04</v>
      </c>
      <c r="Q34" s="416"/>
      <c r="R34" s="416"/>
      <c r="S34" s="416">
        <f t="shared" si="29"/>
        <v>0</v>
      </c>
      <c r="T34" s="416">
        <f t="shared" si="8"/>
        <v>0</v>
      </c>
      <c r="U34" s="416">
        <f t="shared" si="30"/>
        <v>125000</v>
      </c>
      <c r="V34" s="416">
        <f t="shared" si="10"/>
        <v>125000</v>
      </c>
      <c r="W34" s="416"/>
      <c r="X34" s="416"/>
      <c r="Y34" s="415"/>
      <c r="Z34" s="242"/>
      <c r="AA34" s="242"/>
      <c r="AB34" s="242">
        <f t="shared" si="11"/>
        <v>0</v>
      </c>
      <c r="AC34" s="242"/>
      <c r="AD34" s="242"/>
      <c r="AE34" s="242">
        <f t="shared" si="12"/>
        <v>0</v>
      </c>
      <c r="AF34" s="14">
        <v>125000</v>
      </c>
      <c r="AG34" s="14"/>
      <c r="AH34" s="242">
        <f t="shared" si="13"/>
        <v>125000</v>
      </c>
      <c r="AI34" s="14"/>
      <c r="AJ34" s="242"/>
      <c r="AK34" s="242">
        <f t="shared" si="14"/>
        <v>0</v>
      </c>
      <c r="AL34" s="14"/>
      <c r="AM34" s="242"/>
      <c r="AN34" s="242">
        <f t="shared" si="15"/>
        <v>0</v>
      </c>
      <c r="AO34" s="14"/>
      <c r="AP34" s="242"/>
      <c r="AQ34" s="242">
        <f t="shared" si="16"/>
        <v>0</v>
      </c>
      <c r="AR34" s="14"/>
      <c r="AS34" s="242"/>
      <c r="AT34" s="242">
        <f t="shared" si="17"/>
        <v>0</v>
      </c>
      <c r="AU34" s="14"/>
      <c r="AV34" s="242"/>
      <c r="AW34" s="242">
        <f t="shared" si="18"/>
        <v>0</v>
      </c>
      <c r="AX34" s="14"/>
      <c r="AY34" s="242"/>
      <c r="AZ34" s="242">
        <f t="shared" si="19"/>
        <v>0</v>
      </c>
      <c r="BA34" s="14"/>
      <c r="BB34" s="242"/>
      <c r="BC34" s="242">
        <f t="shared" si="20"/>
        <v>0</v>
      </c>
      <c r="BD34" s="14"/>
      <c r="BE34" s="242"/>
      <c r="BF34" s="242">
        <f t="shared" si="21"/>
        <v>0</v>
      </c>
      <c r="BG34" s="242">
        <f t="shared" si="22"/>
        <v>125000</v>
      </c>
      <c r="BH34" s="242"/>
      <c r="BI34" s="242">
        <f t="shared" si="23"/>
        <v>125000</v>
      </c>
      <c r="BJ34" s="242">
        <f t="shared" si="24"/>
        <v>0</v>
      </c>
      <c r="BK34" s="242">
        <f t="shared" si="25"/>
        <v>125000</v>
      </c>
      <c r="BL34" s="242"/>
      <c r="BM34" s="242"/>
      <c r="BN34" s="242">
        <f t="shared" si="26"/>
        <v>0</v>
      </c>
      <c r="BO34" s="242"/>
      <c r="BP34" s="242"/>
      <c r="BQ34" s="242">
        <f t="shared" si="27"/>
        <v>0</v>
      </c>
      <c r="BR34" s="242"/>
      <c r="BS34" s="242"/>
      <c r="BT34" s="415">
        <v>930000</v>
      </c>
      <c r="BZ34" s="415"/>
      <c r="CA34" s="415"/>
      <c r="CB34" s="337">
        <f t="shared" si="1"/>
        <v>125000</v>
      </c>
    </row>
    <row r="35" spans="1:85" s="424" customFormat="1">
      <c r="A35" s="414">
        <f t="shared" si="28"/>
        <v>30</v>
      </c>
      <c r="B35" s="415">
        <v>1625</v>
      </c>
      <c r="C35" s="415" t="s">
        <v>265</v>
      </c>
      <c r="D35" s="416">
        <v>13300000</v>
      </c>
      <c r="E35" s="416">
        <v>13300000</v>
      </c>
      <c r="F35" s="337">
        <f t="shared" si="0"/>
        <v>0</v>
      </c>
      <c r="G35" s="416">
        <v>5125000</v>
      </c>
      <c r="H35" s="416">
        <v>2157903.38</v>
      </c>
      <c r="I35" s="416">
        <v>920142.65</v>
      </c>
      <c r="J35" s="416">
        <v>1789152.33</v>
      </c>
      <c r="K35" s="416">
        <f t="shared" si="31"/>
        <v>2709294.98</v>
      </c>
      <c r="L35" s="416">
        <f t="shared" si="3"/>
        <v>4867198.3599999994</v>
      </c>
      <c r="M35" s="416">
        <f t="shared" si="4"/>
        <v>257801.6400000006</v>
      </c>
      <c r="N35" s="416"/>
      <c r="O35" s="416">
        <f t="shared" si="5"/>
        <v>8175000</v>
      </c>
      <c r="P35" s="416">
        <f t="shared" si="6"/>
        <v>257801.6400000006</v>
      </c>
      <c r="Q35" s="416"/>
      <c r="R35" s="416"/>
      <c r="S35" s="416">
        <f t="shared" si="29"/>
        <v>0</v>
      </c>
      <c r="T35" s="416">
        <f t="shared" si="8"/>
        <v>0</v>
      </c>
      <c r="U35" s="416">
        <f t="shared" si="30"/>
        <v>0</v>
      </c>
      <c r="V35" s="416">
        <f t="shared" si="10"/>
        <v>0</v>
      </c>
      <c r="W35" s="416"/>
      <c r="X35" s="416"/>
      <c r="Y35" s="415"/>
      <c r="Z35" s="242"/>
      <c r="AA35" s="242"/>
      <c r="AB35" s="242">
        <f t="shared" si="11"/>
        <v>0</v>
      </c>
      <c r="AC35" s="242"/>
      <c r="AD35" s="242"/>
      <c r="AE35" s="242">
        <f t="shared" si="12"/>
        <v>0</v>
      </c>
      <c r="AF35" s="241"/>
      <c r="AG35" s="241"/>
      <c r="AH35" s="242">
        <f t="shared" si="13"/>
        <v>0</v>
      </c>
      <c r="AI35" s="241"/>
      <c r="AJ35" s="242"/>
      <c r="AK35" s="242">
        <f t="shared" si="14"/>
        <v>0</v>
      </c>
      <c r="AL35" s="241"/>
      <c r="AM35" s="242"/>
      <c r="AN35" s="242">
        <f t="shared" si="15"/>
        <v>0</v>
      </c>
      <c r="AO35" s="241"/>
      <c r="AP35" s="242"/>
      <c r="AQ35" s="242">
        <f t="shared" si="16"/>
        <v>0</v>
      </c>
      <c r="AR35" s="241"/>
      <c r="AS35" s="242"/>
      <c r="AT35" s="242">
        <f t="shared" si="17"/>
        <v>0</v>
      </c>
      <c r="AU35" s="241"/>
      <c r="AV35" s="242"/>
      <c r="AW35" s="242">
        <f t="shared" si="18"/>
        <v>0</v>
      </c>
      <c r="AX35" s="241"/>
      <c r="AY35" s="242"/>
      <c r="AZ35" s="242">
        <f t="shared" si="19"/>
        <v>0</v>
      </c>
      <c r="BA35" s="241"/>
      <c r="BB35" s="242"/>
      <c r="BC35" s="242">
        <f t="shared" si="20"/>
        <v>0</v>
      </c>
      <c r="BD35" s="241"/>
      <c r="BE35" s="242"/>
      <c r="BF35" s="242">
        <f t="shared" si="21"/>
        <v>0</v>
      </c>
      <c r="BG35" s="242">
        <f t="shared" si="22"/>
        <v>0</v>
      </c>
      <c r="BH35" s="242"/>
      <c r="BI35" s="242">
        <f t="shared" si="23"/>
        <v>0</v>
      </c>
      <c r="BJ35" s="242">
        <f t="shared" si="24"/>
        <v>0</v>
      </c>
      <c r="BK35" s="242">
        <f t="shared" si="25"/>
        <v>0</v>
      </c>
      <c r="BL35" s="242"/>
      <c r="BM35" s="242"/>
      <c r="BN35" s="242">
        <f t="shared" si="26"/>
        <v>0</v>
      </c>
      <c r="BO35" s="242"/>
      <c r="BP35" s="242"/>
      <c r="BQ35" s="242">
        <f t="shared" si="27"/>
        <v>0</v>
      </c>
      <c r="BR35" s="242"/>
      <c r="BS35" s="242"/>
      <c r="BT35" s="415">
        <v>829000</v>
      </c>
      <c r="BZ35" s="415"/>
      <c r="CA35" s="415"/>
      <c r="CB35" s="337">
        <f t="shared" si="1"/>
        <v>0</v>
      </c>
    </row>
    <row r="36" spans="1:85" s="424" customFormat="1">
      <c r="A36" s="414">
        <f t="shared" si="28"/>
        <v>31</v>
      </c>
      <c r="B36" s="415">
        <v>1656</v>
      </c>
      <c r="C36" s="415" t="s">
        <v>54</v>
      </c>
      <c r="D36" s="416">
        <v>10800000</v>
      </c>
      <c r="E36" s="416">
        <v>10800000</v>
      </c>
      <c r="F36" s="337">
        <f t="shared" si="0"/>
        <v>0</v>
      </c>
      <c r="G36" s="416">
        <f>1500000+2000000</f>
        <v>3500000</v>
      </c>
      <c r="H36" s="416">
        <v>324600</v>
      </c>
      <c r="I36" s="416">
        <v>737880</v>
      </c>
      <c r="J36" s="416">
        <v>42781.91</v>
      </c>
      <c r="K36" s="416">
        <f t="shared" si="31"/>
        <v>780661.91</v>
      </c>
      <c r="L36" s="416">
        <f t="shared" si="3"/>
        <v>1105261.9100000001</v>
      </c>
      <c r="M36" s="416">
        <f t="shared" si="4"/>
        <v>9694738.0899999999</v>
      </c>
      <c r="N36" s="416"/>
      <c r="O36" s="416">
        <f t="shared" si="5"/>
        <v>0</v>
      </c>
      <c r="P36" s="416">
        <f t="shared" si="6"/>
        <v>2394738.09</v>
      </c>
      <c r="Q36" s="417">
        <f>9300000-2000000</f>
        <v>7300000</v>
      </c>
      <c r="R36" s="416"/>
      <c r="S36" s="416">
        <f t="shared" si="29"/>
        <v>7300000</v>
      </c>
      <c r="T36" s="416">
        <f t="shared" si="8"/>
        <v>0</v>
      </c>
      <c r="U36" s="416">
        <f t="shared" si="30"/>
        <v>0</v>
      </c>
      <c r="V36" s="416">
        <f t="shared" si="10"/>
        <v>0</v>
      </c>
      <c r="W36" s="416"/>
      <c r="X36" s="416"/>
      <c r="Y36" s="415"/>
      <c r="Z36" s="242"/>
      <c r="AA36" s="242"/>
      <c r="AB36" s="242">
        <f t="shared" si="11"/>
        <v>0</v>
      </c>
      <c r="AC36" s="242"/>
      <c r="AD36" s="242"/>
      <c r="AE36" s="242">
        <f t="shared" si="12"/>
        <v>0</v>
      </c>
      <c r="AF36" s="242"/>
      <c r="AG36" s="242"/>
      <c r="AH36" s="242">
        <f t="shared" si="13"/>
        <v>0</v>
      </c>
      <c r="AI36" s="242"/>
      <c r="AJ36" s="242"/>
      <c r="AK36" s="242">
        <f t="shared" si="14"/>
        <v>0</v>
      </c>
      <c r="AL36" s="242"/>
      <c r="AM36" s="242"/>
      <c r="AN36" s="242">
        <f t="shared" si="15"/>
        <v>0</v>
      </c>
      <c r="AO36" s="242"/>
      <c r="AP36" s="242"/>
      <c r="AQ36" s="242">
        <f t="shared" si="16"/>
        <v>0</v>
      </c>
      <c r="AR36" s="242"/>
      <c r="AS36" s="242"/>
      <c r="AT36" s="242">
        <f t="shared" si="17"/>
        <v>0</v>
      </c>
      <c r="AU36" s="242"/>
      <c r="AV36" s="242"/>
      <c r="AW36" s="242">
        <f t="shared" si="18"/>
        <v>0</v>
      </c>
      <c r="AX36" s="242"/>
      <c r="AY36" s="242"/>
      <c r="AZ36" s="242">
        <f t="shared" si="19"/>
        <v>0</v>
      </c>
      <c r="BA36" s="242"/>
      <c r="BB36" s="242"/>
      <c r="BC36" s="242">
        <f t="shared" si="20"/>
        <v>0</v>
      </c>
      <c r="BD36" s="242"/>
      <c r="BE36" s="242"/>
      <c r="BF36" s="242">
        <f t="shared" si="21"/>
        <v>0</v>
      </c>
      <c r="BG36" s="242">
        <f t="shared" si="22"/>
        <v>0</v>
      </c>
      <c r="BH36" s="242"/>
      <c r="BI36" s="242">
        <f t="shared" si="23"/>
        <v>0</v>
      </c>
      <c r="BJ36" s="242">
        <f t="shared" si="24"/>
        <v>0</v>
      </c>
      <c r="BK36" s="242">
        <f t="shared" si="25"/>
        <v>0</v>
      </c>
      <c r="BL36" s="242"/>
      <c r="BM36" s="242"/>
      <c r="BN36" s="242">
        <f t="shared" si="26"/>
        <v>0</v>
      </c>
      <c r="BO36" s="242"/>
      <c r="BP36" s="242"/>
      <c r="BQ36" s="242">
        <f t="shared" si="27"/>
        <v>0</v>
      </c>
      <c r="BR36" s="242"/>
      <c r="BS36" s="242"/>
      <c r="BT36" s="415">
        <v>742000</v>
      </c>
      <c r="BZ36" s="415"/>
      <c r="CA36" s="415"/>
      <c r="CB36" s="337">
        <f t="shared" si="1"/>
        <v>0</v>
      </c>
    </row>
    <row r="37" spans="1:85" s="424" customFormat="1">
      <c r="A37" s="414">
        <f t="shared" si="28"/>
        <v>32</v>
      </c>
      <c r="B37" s="415">
        <v>1657</v>
      </c>
      <c r="C37" s="410" t="s">
        <v>38</v>
      </c>
      <c r="D37" s="416">
        <v>60000000</v>
      </c>
      <c r="E37" s="416">
        <v>60000000</v>
      </c>
      <c r="F37" s="337">
        <f t="shared" si="0"/>
        <v>0</v>
      </c>
      <c r="G37" s="416">
        <v>2700000</v>
      </c>
      <c r="H37" s="416">
        <v>1180914</v>
      </c>
      <c r="I37" s="416">
        <v>497972</v>
      </c>
      <c r="J37" s="416">
        <v>174679.14</v>
      </c>
      <c r="K37" s="416">
        <f>SUM(I37:J37)</f>
        <v>672651.14</v>
      </c>
      <c r="L37" s="416">
        <f t="shared" si="3"/>
        <v>1853565.1400000001</v>
      </c>
      <c r="M37" s="416">
        <f t="shared" si="4"/>
        <v>846434.85999999987</v>
      </c>
      <c r="N37" s="416">
        <f>12000000+2000000-10000000+10000000</f>
        <v>14000000</v>
      </c>
      <c r="O37" s="416">
        <f t="shared" si="5"/>
        <v>43300000</v>
      </c>
      <c r="P37" s="416">
        <f t="shared" si="6"/>
        <v>846434.85999999987</v>
      </c>
      <c r="Q37" s="416"/>
      <c r="R37" s="416"/>
      <c r="S37" s="416">
        <f>SUM(Q37:R37)</f>
        <v>0</v>
      </c>
      <c r="T37" s="416">
        <f t="shared" si="8"/>
        <v>0</v>
      </c>
      <c r="U37" s="416">
        <f t="shared" si="30"/>
        <v>14000000</v>
      </c>
      <c r="V37" s="416">
        <f>U37-Y37-W37-X37</f>
        <v>14000000</v>
      </c>
      <c r="W37" s="416"/>
      <c r="X37" s="416"/>
      <c r="Y37" s="416"/>
      <c r="Z37" s="242"/>
      <c r="AA37" s="242"/>
      <c r="AB37" s="242">
        <f t="shared" si="11"/>
        <v>0</v>
      </c>
      <c r="AC37" s="242"/>
      <c r="AD37" s="242"/>
      <c r="AE37" s="242">
        <f t="shared" si="12"/>
        <v>0</v>
      </c>
      <c r="AF37" s="241"/>
      <c r="AG37" s="241"/>
      <c r="AH37" s="242">
        <f t="shared" si="13"/>
        <v>0</v>
      </c>
      <c r="AI37" s="241"/>
      <c r="AJ37" s="242"/>
      <c r="AK37" s="242">
        <f t="shared" si="14"/>
        <v>0</v>
      </c>
      <c r="AL37" s="241"/>
      <c r="AM37" s="242"/>
      <c r="AN37" s="242">
        <f t="shared" si="15"/>
        <v>0</v>
      </c>
      <c r="AO37" s="241"/>
      <c r="AP37" s="242"/>
      <c r="AQ37" s="242">
        <f t="shared" si="16"/>
        <v>0</v>
      </c>
      <c r="AR37" s="241"/>
      <c r="AS37" s="242"/>
      <c r="AT37" s="242">
        <f t="shared" si="17"/>
        <v>0</v>
      </c>
      <c r="AU37" s="241"/>
      <c r="AV37" s="242"/>
      <c r="AW37" s="242">
        <f t="shared" si="18"/>
        <v>0</v>
      </c>
      <c r="AX37" s="241"/>
      <c r="AY37" s="242"/>
      <c r="AZ37" s="242">
        <f t="shared" si="19"/>
        <v>0</v>
      </c>
      <c r="BA37" s="241"/>
      <c r="BB37" s="242"/>
      <c r="BC37" s="242">
        <f t="shared" si="20"/>
        <v>0</v>
      </c>
      <c r="BD37" s="14">
        <v>8000000</v>
      </c>
      <c r="BE37" s="242"/>
      <c r="BF37" s="393">
        <f t="shared" si="21"/>
        <v>8000000</v>
      </c>
      <c r="BG37" s="242">
        <f t="shared" si="22"/>
        <v>8000000</v>
      </c>
      <c r="BH37" s="242"/>
      <c r="BI37" s="242">
        <f t="shared" si="23"/>
        <v>8000000</v>
      </c>
      <c r="BJ37" s="242">
        <f t="shared" si="24"/>
        <v>6000000</v>
      </c>
      <c r="BK37" s="242">
        <f t="shared" si="25"/>
        <v>8000000</v>
      </c>
      <c r="BL37" s="242"/>
      <c r="BM37" s="242"/>
      <c r="BN37" s="242">
        <f t="shared" si="26"/>
        <v>0</v>
      </c>
      <c r="BO37" s="242"/>
      <c r="BP37" s="242"/>
      <c r="BQ37" s="242">
        <f t="shared" si="27"/>
        <v>6000000</v>
      </c>
      <c r="BR37" s="242"/>
      <c r="BS37" s="242"/>
      <c r="BT37" s="415">
        <v>742000</v>
      </c>
      <c r="BU37" s="425"/>
      <c r="BZ37" s="415"/>
      <c r="CA37" s="337"/>
      <c r="CB37" s="337">
        <f t="shared" si="1"/>
        <v>14000000</v>
      </c>
    </row>
    <row r="38" spans="1:85" s="424" customFormat="1">
      <c r="A38" s="414">
        <f t="shared" si="28"/>
        <v>33</v>
      </c>
      <c r="B38" s="415">
        <v>1718</v>
      </c>
      <c r="C38" s="415" t="s">
        <v>74</v>
      </c>
      <c r="D38" s="416">
        <v>13200000</v>
      </c>
      <c r="E38" s="337">
        <v>13200000</v>
      </c>
      <c r="F38" s="337">
        <f t="shared" si="0"/>
        <v>0</v>
      </c>
      <c r="G38" s="337">
        <v>1000000</v>
      </c>
      <c r="H38" s="337">
        <v>63611</v>
      </c>
      <c r="I38" s="337">
        <v>267433</v>
      </c>
      <c r="J38" s="337">
        <v>120535.74</v>
      </c>
      <c r="K38" s="337">
        <f>SUM(I38:J38)</f>
        <v>387968.74</v>
      </c>
      <c r="L38" s="337">
        <f t="shared" si="3"/>
        <v>451579.74</v>
      </c>
      <c r="M38" s="416">
        <f t="shared" si="4"/>
        <v>6648420.2599999998</v>
      </c>
      <c r="N38" s="416">
        <f>4800000-3800000+5100000</f>
        <v>6100000</v>
      </c>
      <c r="O38" s="337">
        <f t="shared" si="5"/>
        <v>0</v>
      </c>
      <c r="P38" s="337">
        <f t="shared" si="6"/>
        <v>548420.26</v>
      </c>
      <c r="Q38" s="417">
        <v>6100000</v>
      </c>
      <c r="R38" s="337"/>
      <c r="S38" s="337">
        <f>SUM(Q38:R38)</f>
        <v>6100000</v>
      </c>
      <c r="T38" s="416">
        <f t="shared" si="8"/>
        <v>0</v>
      </c>
      <c r="U38" s="416">
        <f t="shared" si="30"/>
        <v>6100000</v>
      </c>
      <c r="V38" s="416">
        <f>U38-Y38-W38-X38</f>
        <v>6100000</v>
      </c>
      <c r="W38" s="337"/>
      <c r="X38" s="337"/>
      <c r="Y38" s="415"/>
      <c r="Z38" s="242"/>
      <c r="AA38" s="242"/>
      <c r="AB38" s="242">
        <f t="shared" si="11"/>
        <v>0</v>
      </c>
      <c r="AC38" s="242"/>
      <c r="AD38" s="242"/>
      <c r="AE38" s="242">
        <f t="shared" si="12"/>
        <v>0</v>
      </c>
      <c r="AF38" s="241"/>
      <c r="AG38" s="241"/>
      <c r="AH38" s="242">
        <f t="shared" si="13"/>
        <v>0</v>
      </c>
      <c r="AI38" s="241"/>
      <c r="AJ38" s="242"/>
      <c r="AK38" s="242">
        <f t="shared" si="14"/>
        <v>0</v>
      </c>
      <c r="AL38" s="241"/>
      <c r="AM38" s="242"/>
      <c r="AN38" s="242">
        <f t="shared" si="15"/>
        <v>0</v>
      </c>
      <c r="AO38" s="242">
        <v>3000000</v>
      </c>
      <c r="AP38" s="242"/>
      <c r="AQ38" s="242">
        <f t="shared" si="16"/>
        <v>3000000</v>
      </c>
      <c r="AR38" s="242"/>
      <c r="AS38" s="242"/>
      <c r="AT38" s="242">
        <f t="shared" si="17"/>
        <v>0</v>
      </c>
      <c r="AU38" s="242"/>
      <c r="AV38" s="242"/>
      <c r="AW38" s="242">
        <f t="shared" si="18"/>
        <v>0</v>
      </c>
      <c r="AX38" s="242"/>
      <c r="AY38" s="242"/>
      <c r="AZ38" s="242">
        <f t="shared" si="19"/>
        <v>0</v>
      </c>
      <c r="BA38" s="242"/>
      <c r="BB38" s="242"/>
      <c r="BC38" s="242">
        <f t="shared" si="20"/>
        <v>0</v>
      </c>
      <c r="BD38" s="242">
        <v>3100000</v>
      </c>
      <c r="BE38" s="242"/>
      <c r="BF38" s="242">
        <f t="shared" si="21"/>
        <v>3100000</v>
      </c>
      <c r="BG38" s="242">
        <f t="shared" si="22"/>
        <v>6100000</v>
      </c>
      <c r="BH38" s="242"/>
      <c r="BI38" s="242">
        <f t="shared" si="23"/>
        <v>6100000</v>
      </c>
      <c r="BJ38" s="242">
        <f t="shared" si="24"/>
        <v>0</v>
      </c>
      <c r="BK38" s="242">
        <f t="shared" si="25"/>
        <v>6100000</v>
      </c>
      <c r="BL38" s="242"/>
      <c r="BM38" s="242"/>
      <c r="BN38" s="242">
        <f t="shared" si="26"/>
        <v>0</v>
      </c>
      <c r="BO38" s="242"/>
      <c r="BP38" s="242"/>
      <c r="BQ38" s="242">
        <f t="shared" si="27"/>
        <v>0</v>
      </c>
      <c r="BR38" s="242"/>
      <c r="BS38" s="242"/>
      <c r="BT38" s="415">
        <v>742000</v>
      </c>
      <c r="BZ38" s="415"/>
      <c r="CA38" s="337"/>
      <c r="CB38" s="337">
        <f t="shared" si="1"/>
        <v>6100000</v>
      </c>
    </row>
    <row r="39" spans="1:85" s="424" customFormat="1" ht="30">
      <c r="A39" s="414">
        <f t="shared" si="28"/>
        <v>34</v>
      </c>
      <c r="B39" s="415">
        <v>1720</v>
      </c>
      <c r="C39" s="415" t="s">
        <v>76</v>
      </c>
      <c r="D39" s="416">
        <v>1500000</v>
      </c>
      <c r="E39" s="416">
        <v>1500000</v>
      </c>
      <c r="F39" s="337">
        <f t="shared" si="0"/>
        <v>0</v>
      </c>
      <c r="G39" s="416">
        <v>1500000</v>
      </c>
      <c r="H39" s="416">
        <v>626910</v>
      </c>
      <c r="I39" s="416">
        <v>734773</v>
      </c>
      <c r="J39" s="416"/>
      <c r="K39" s="416">
        <f t="shared" si="31"/>
        <v>734773</v>
      </c>
      <c r="L39" s="416">
        <f t="shared" si="3"/>
        <v>1361683</v>
      </c>
      <c r="M39" s="416">
        <f t="shared" si="4"/>
        <v>138317</v>
      </c>
      <c r="N39" s="416"/>
      <c r="O39" s="416">
        <f t="shared" si="5"/>
        <v>0</v>
      </c>
      <c r="P39" s="416">
        <f t="shared" si="6"/>
        <v>138317</v>
      </c>
      <c r="Q39" s="416"/>
      <c r="R39" s="416"/>
      <c r="S39" s="416">
        <f t="shared" si="29"/>
        <v>0</v>
      </c>
      <c r="T39" s="416">
        <f t="shared" si="8"/>
        <v>0</v>
      </c>
      <c r="U39" s="416">
        <f t="shared" si="30"/>
        <v>0</v>
      </c>
      <c r="V39" s="416">
        <f t="shared" si="10"/>
        <v>0</v>
      </c>
      <c r="W39" s="416"/>
      <c r="X39" s="416"/>
      <c r="Y39" s="415"/>
      <c r="Z39" s="242"/>
      <c r="AA39" s="242"/>
      <c r="AB39" s="242">
        <f t="shared" si="11"/>
        <v>0</v>
      </c>
      <c r="AC39" s="242"/>
      <c r="AD39" s="242"/>
      <c r="AE39" s="242">
        <f t="shared" si="12"/>
        <v>0</v>
      </c>
      <c r="AF39" s="242"/>
      <c r="AG39" s="242"/>
      <c r="AH39" s="242">
        <f t="shared" si="13"/>
        <v>0</v>
      </c>
      <c r="AI39" s="242"/>
      <c r="AJ39" s="242"/>
      <c r="AK39" s="242">
        <f t="shared" si="14"/>
        <v>0</v>
      </c>
      <c r="AL39" s="242"/>
      <c r="AM39" s="242"/>
      <c r="AN39" s="242">
        <f t="shared" si="15"/>
        <v>0</v>
      </c>
      <c r="AO39" s="242"/>
      <c r="AP39" s="242"/>
      <c r="AQ39" s="242">
        <f t="shared" si="16"/>
        <v>0</v>
      </c>
      <c r="AR39" s="242"/>
      <c r="AS39" s="242"/>
      <c r="AT39" s="242">
        <f t="shared" si="17"/>
        <v>0</v>
      </c>
      <c r="AU39" s="242"/>
      <c r="AV39" s="242"/>
      <c r="AW39" s="242">
        <f t="shared" si="18"/>
        <v>0</v>
      </c>
      <c r="AX39" s="242"/>
      <c r="AY39" s="242"/>
      <c r="AZ39" s="242">
        <f t="shared" si="19"/>
        <v>0</v>
      </c>
      <c r="BA39" s="242"/>
      <c r="BB39" s="242"/>
      <c r="BC39" s="242">
        <f t="shared" si="20"/>
        <v>0</v>
      </c>
      <c r="BD39" s="242"/>
      <c r="BE39" s="242"/>
      <c r="BF39" s="242">
        <f t="shared" si="21"/>
        <v>0</v>
      </c>
      <c r="BG39" s="242">
        <f t="shared" si="22"/>
        <v>0</v>
      </c>
      <c r="BH39" s="242"/>
      <c r="BI39" s="242">
        <f t="shared" si="23"/>
        <v>0</v>
      </c>
      <c r="BJ39" s="242">
        <f t="shared" si="24"/>
        <v>0</v>
      </c>
      <c r="BK39" s="242">
        <f t="shared" si="25"/>
        <v>0</v>
      </c>
      <c r="BL39" s="242"/>
      <c r="BM39" s="242"/>
      <c r="BN39" s="242">
        <f t="shared" si="26"/>
        <v>0</v>
      </c>
      <c r="BO39" s="242"/>
      <c r="BP39" s="242"/>
      <c r="BQ39" s="242">
        <f t="shared" si="27"/>
        <v>0</v>
      </c>
      <c r="BR39" s="242"/>
      <c r="BS39" s="242"/>
      <c r="BT39" s="415">
        <v>742000</v>
      </c>
      <c r="BZ39" s="415"/>
      <c r="CA39" s="337"/>
      <c r="CB39" s="337">
        <f t="shared" si="1"/>
        <v>0</v>
      </c>
    </row>
    <row r="40" spans="1:85" s="424" customFormat="1">
      <c r="A40" s="414">
        <f t="shared" si="28"/>
        <v>35</v>
      </c>
      <c r="B40" s="415">
        <v>1721</v>
      </c>
      <c r="C40" s="415" t="s">
        <v>77</v>
      </c>
      <c r="D40" s="416">
        <v>700000</v>
      </c>
      <c r="E40" s="416">
        <v>700000</v>
      </c>
      <c r="F40" s="337">
        <f t="shared" si="0"/>
        <v>0</v>
      </c>
      <c r="G40" s="416">
        <v>700000</v>
      </c>
      <c r="H40" s="416">
        <v>41377</v>
      </c>
      <c r="I40" s="416">
        <v>37250</v>
      </c>
      <c r="J40" s="416"/>
      <c r="K40" s="416">
        <f t="shared" si="31"/>
        <v>37250</v>
      </c>
      <c r="L40" s="416">
        <f t="shared" si="3"/>
        <v>78627</v>
      </c>
      <c r="M40" s="416">
        <f t="shared" si="4"/>
        <v>621373</v>
      </c>
      <c r="N40" s="416"/>
      <c r="O40" s="416">
        <f t="shared" si="5"/>
        <v>0</v>
      </c>
      <c r="P40" s="416">
        <f t="shared" si="6"/>
        <v>621373</v>
      </c>
      <c r="Q40" s="416"/>
      <c r="R40" s="416"/>
      <c r="S40" s="416">
        <f t="shared" si="29"/>
        <v>0</v>
      </c>
      <c r="T40" s="416">
        <f t="shared" si="8"/>
        <v>0</v>
      </c>
      <c r="U40" s="416">
        <f t="shared" si="30"/>
        <v>0</v>
      </c>
      <c r="V40" s="416">
        <f t="shared" si="10"/>
        <v>0</v>
      </c>
      <c r="W40" s="416"/>
      <c r="X40" s="416"/>
      <c r="Y40" s="415"/>
      <c r="Z40" s="242"/>
      <c r="AA40" s="242"/>
      <c r="AB40" s="242">
        <f t="shared" si="11"/>
        <v>0</v>
      </c>
      <c r="AC40" s="242"/>
      <c r="AD40" s="242"/>
      <c r="AE40" s="242">
        <f t="shared" si="12"/>
        <v>0</v>
      </c>
      <c r="AF40" s="241"/>
      <c r="AG40" s="241"/>
      <c r="AH40" s="242">
        <f t="shared" si="13"/>
        <v>0</v>
      </c>
      <c r="AI40" s="241"/>
      <c r="AJ40" s="242"/>
      <c r="AK40" s="242">
        <f t="shared" si="14"/>
        <v>0</v>
      </c>
      <c r="AL40" s="241"/>
      <c r="AM40" s="242"/>
      <c r="AN40" s="242">
        <f t="shared" si="15"/>
        <v>0</v>
      </c>
      <c r="AO40" s="241"/>
      <c r="AP40" s="242"/>
      <c r="AQ40" s="242">
        <f t="shared" si="16"/>
        <v>0</v>
      </c>
      <c r="AR40" s="241"/>
      <c r="AS40" s="242"/>
      <c r="AT40" s="242">
        <f t="shared" si="17"/>
        <v>0</v>
      </c>
      <c r="AU40" s="241"/>
      <c r="AV40" s="242"/>
      <c r="AW40" s="242">
        <f t="shared" si="18"/>
        <v>0</v>
      </c>
      <c r="AX40" s="241"/>
      <c r="AY40" s="242"/>
      <c r="AZ40" s="242">
        <f t="shared" si="19"/>
        <v>0</v>
      </c>
      <c r="BA40" s="241"/>
      <c r="BB40" s="242"/>
      <c r="BC40" s="242">
        <f t="shared" si="20"/>
        <v>0</v>
      </c>
      <c r="BD40" s="241"/>
      <c r="BE40" s="242"/>
      <c r="BF40" s="242">
        <f t="shared" si="21"/>
        <v>0</v>
      </c>
      <c r="BG40" s="242">
        <f t="shared" si="22"/>
        <v>0</v>
      </c>
      <c r="BH40" s="242"/>
      <c r="BI40" s="242">
        <f t="shared" si="23"/>
        <v>0</v>
      </c>
      <c r="BJ40" s="242">
        <f t="shared" si="24"/>
        <v>0</v>
      </c>
      <c r="BK40" s="242">
        <f t="shared" si="25"/>
        <v>0</v>
      </c>
      <c r="BL40" s="242"/>
      <c r="BM40" s="242"/>
      <c r="BN40" s="242">
        <f t="shared" si="26"/>
        <v>0</v>
      </c>
      <c r="BO40" s="242"/>
      <c r="BP40" s="242"/>
      <c r="BQ40" s="242">
        <f t="shared" si="27"/>
        <v>0</v>
      </c>
      <c r="BR40" s="242"/>
      <c r="BS40" s="242"/>
      <c r="BT40" s="415">
        <v>746000</v>
      </c>
      <c r="BZ40" s="415"/>
      <c r="CA40" s="337"/>
      <c r="CB40" s="337">
        <f t="shared" si="1"/>
        <v>0</v>
      </c>
    </row>
    <row r="41" spans="1:85" s="424" customFormat="1" ht="30">
      <c r="A41" s="414">
        <f t="shared" si="28"/>
        <v>36</v>
      </c>
      <c r="B41" s="415">
        <v>1723</v>
      </c>
      <c r="C41" s="415" t="s">
        <v>697</v>
      </c>
      <c r="D41" s="416">
        <f>9500000+2500000</f>
        <v>12000000</v>
      </c>
      <c r="E41" s="416">
        <v>9500000</v>
      </c>
      <c r="F41" s="337">
        <f t="shared" si="0"/>
        <v>2500000</v>
      </c>
      <c r="G41" s="416">
        <v>2000000</v>
      </c>
      <c r="H41" s="416">
        <v>55825</v>
      </c>
      <c r="I41" s="416">
        <v>518178.25</v>
      </c>
      <c r="J41" s="416"/>
      <c r="K41" s="416">
        <f t="shared" si="31"/>
        <v>518178.25</v>
      </c>
      <c r="L41" s="416">
        <f t="shared" si="3"/>
        <v>574003.25</v>
      </c>
      <c r="M41" s="416">
        <f t="shared" si="4"/>
        <v>1425996.75</v>
      </c>
      <c r="N41" s="416">
        <v>10000000</v>
      </c>
      <c r="O41" s="416">
        <f t="shared" si="5"/>
        <v>0</v>
      </c>
      <c r="P41" s="416">
        <f t="shared" si="6"/>
        <v>1425996.75</v>
      </c>
      <c r="Q41" s="416"/>
      <c r="R41" s="416"/>
      <c r="S41" s="416">
        <f t="shared" si="29"/>
        <v>0</v>
      </c>
      <c r="T41" s="416">
        <f t="shared" si="8"/>
        <v>0</v>
      </c>
      <c r="U41" s="416">
        <f t="shared" si="30"/>
        <v>10000000</v>
      </c>
      <c r="V41" s="416">
        <f t="shared" si="10"/>
        <v>1500000</v>
      </c>
      <c r="W41" s="416"/>
      <c r="X41" s="416"/>
      <c r="Y41" s="416">
        <v>8500000</v>
      </c>
      <c r="Z41" s="242"/>
      <c r="AA41" s="242"/>
      <c r="AB41" s="242">
        <f t="shared" si="11"/>
        <v>0</v>
      </c>
      <c r="AC41" s="242"/>
      <c r="AD41" s="242"/>
      <c r="AE41" s="242">
        <f t="shared" si="12"/>
        <v>0</v>
      </c>
      <c r="AF41" s="242"/>
      <c r="AG41" s="242"/>
      <c r="AH41" s="242">
        <f t="shared" si="13"/>
        <v>0</v>
      </c>
      <c r="AI41" s="242"/>
      <c r="AJ41" s="242"/>
      <c r="AK41" s="242">
        <f t="shared" si="14"/>
        <v>0</v>
      </c>
      <c r="AL41" s="242"/>
      <c r="AM41" s="242"/>
      <c r="AN41" s="242">
        <f t="shared" si="15"/>
        <v>0</v>
      </c>
      <c r="AO41" s="242"/>
      <c r="AP41" s="242"/>
      <c r="AQ41" s="242">
        <f t="shared" si="16"/>
        <v>0</v>
      </c>
      <c r="AR41" s="242"/>
      <c r="AS41" s="242"/>
      <c r="AT41" s="242">
        <f t="shared" si="17"/>
        <v>0</v>
      </c>
      <c r="AU41" s="242"/>
      <c r="AV41" s="242"/>
      <c r="AW41" s="242">
        <f t="shared" si="18"/>
        <v>0</v>
      </c>
      <c r="AX41" s="242"/>
      <c r="AY41" s="242"/>
      <c r="AZ41" s="242">
        <f t="shared" si="19"/>
        <v>0</v>
      </c>
      <c r="BA41" s="242"/>
      <c r="BB41" s="242"/>
      <c r="BC41" s="242">
        <f t="shared" si="20"/>
        <v>0</v>
      </c>
      <c r="BD41" s="14"/>
      <c r="BE41" s="242"/>
      <c r="BF41" s="242">
        <f t="shared" si="21"/>
        <v>0</v>
      </c>
      <c r="BG41" s="242">
        <f t="shared" si="22"/>
        <v>0</v>
      </c>
      <c r="BH41" s="242">
        <v>5929613</v>
      </c>
      <c r="BI41" s="242">
        <f t="shared" si="23"/>
        <v>5929613</v>
      </c>
      <c r="BJ41" s="242">
        <f t="shared" si="24"/>
        <v>4070387</v>
      </c>
      <c r="BK41" s="242">
        <f t="shared" si="25"/>
        <v>5929613</v>
      </c>
      <c r="BL41" s="242"/>
      <c r="BM41" s="242"/>
      <c r="BN41" s="242">
        <f t="shared" si="26"/>
        <v>1500000</v>
      </c>
      <c r="BO41" s="242"/>
      <c r="BP41" s="242">
        <v>4429613</v>
      </c>
      <c r="BQ41" s="242">
        <f t="shared" si="27"/>
        <v>0</v>
      </c>
      <c r="BR41" s="242"/>
      <c r="BS41" s="242">
        <f>8500000-BP41</f>
        <v>4070387</v>
      </c>
      <c r="BT41" s="415">
        <v>732000</v>
      </c>
      <c r="BZ41" s="415"/>
      <c r="CA41" s="337"/>
      <c r="CB41" s="337">
        <f t="shared" si="1"/>
        <v>1500000</v>
      </c>
    </row>
    <row r="42" spans="1:85" s="424" customFormat="1">
      <c r="A42" s="414">
        <f t="shared" si="28"/>
        <v>37</v>
      </c>
      <c r="B42" s="415">
        <v>1727</v>
      </c>
      <c r="C42" s="415" t="s">
        <v>78</v>
      </c>
      <c r="D42" s="416">
        <v>400000</v>
      </c>
      <c r="E42" s="416">
        <v>400000</v>
      </c>
      <c r="F42" s="337">
        <f t="shared" si="0"/>
        <v>0</v>
      </c>
      <c r="G42" s="416">
        <v>400000</v>
      </c>
      <c r="H42" s="416">
        <v>292249</v>
      </c>
      <c r="I42" s="416">
        <v>86789.22</v>
      </c>
      <c r="J42" s="416"/>
      <c r="K42" s="416">
        <f t="shared" si="31"/>
        <v>86789.22</v>
      </c>
      <c r="L42" s="416">
        <f t="shared" si="3"/>
        <v>379038.22</v>
      </c>
      <c r="M42" s="416">
        <f t="shared" si="4"/>
        <v>20961.780000000028</v>
      </c>
      <c r="N42" s="416"/>
      <c r="O42" s="416">
        <f t="shared" si="5"/>
        <v>0</v>
      </c>
      <c r="P42" s="416">
        <f t="shared" si="6"/>
        <v>20961.780000000028</v>
      </c>
      <c r="Q42" s="416"/>
      <c r="R42" s="416"/>
      <c r="S42" s="416">
        <f t="shared" si="29"/>
        <v>0</v>
      </c>
      <c r="T42" s="416">
        <f t="shared" si="8"/>
        <v>0</v>
      </c>
      <c r="U42" s="416">
        <f t="shared" si="30"/>
        <v>0</v>
      </c>
      <c r="V42" s="416">
        <f t="shared" si="10"/>
        <v>0</v>
      </c>
      <c r="W42" s="416"/>
      <c r="X42" s="416"/>
      <c r="Y42" s="415"/>
      <c r="Z42" s="242"/>
      <c r="AA42" s="242"/>
      <c r="AB42" s="242">
        <f t="shared" si="11"/>
        <v>0</v>
      </c>
      <c r="AC42" s="242"/>
      <c r="AD42" s="242"/>
      <c r="AE42" s="242">
        <f t="shared" si="12"/>
        <v>0</v>
      </c>
      <c r="AF42" s="242"/>
      <c r="AG42" s="242"/>
      <c r="AH42" s="242">
        <f t="shared" si="13"/>
        <v>0</v>
      </c>
      <c r="AI42" s="242"/>
      <c r="AJ42" s="242"/>
      <c r="AK42" s="242">
        <f t="shared" si="14"/>
        <v>0</v>
      </c>
      <c r="AL42" s="242"/>
      <c r="AM42" s="242"/>
      <c r="AN42" s="242">
        <f t="shared" si="15"/>
        <v>0</v>
      </c>
      <c r="AO42" s="242"/>
      <c r="AP42" s="242"/>
      <c r="AQ42" s="242">
        <f t="shared" si="16"/>
        <v>0</v>
      </c>
      <c r="AR42" s="242"/>
      <c r="AS42" s="242"/>
      <c r="AT42" s="242">
        <f t="shared" si="17"/>
        <v>0</v>
      </c>
      <c r="AU42" s="242"/>
      <c r="AV42" s="242"/>
      <c r="AW42" s="242">
        <f t="shared" si="18"/>
        <v>0</v>
      </c>
      <c r="AX42" s="242"/>
      <c r="AY42" s="242"/>
      <c r="AZ42" s="242">
        <f t="shared" si="19"/>
        <v>0</v>
      </c>
      <c r="BA42" s="242"/>
      <c r="BB42" s="242"/>
      <c r="BC42" s="242">
        <f t="shared" si="20"/>
        <v>0</v>
      </c>
      <c r="BD42" s="242"/>
      <c r="BE42" s="242"/>
      <c r="BF42" s="242">
        <f t="shared" si="21"/>
        <v>0</v>
      </c>
      <c r="BG42" s="242">
        <f t="shared" si="22"/>
        <v>0</v>
      </c>
      <c r="BH42" s="242"/>
      <c r="BI42" s="242">
        <f t="shared" si="23"/>
        <v>0</v>
      </c>
      <c r="BJ42" s="242">
        <f t="shared" si="24"/>
        <v>0</v>
      </c>
      <c r="BK42" s="242">
        <f t="shared" si="25"/>
        <v>0</v>
      </c>
      <c r="BL42" s="242"/>
      <c r="BM42" s="242"/>
      <c r="BN42" s="242">
        <f t="shared" si="26"/>
        <v>0</v>
      </c>
      <c r="BO42" s="242"/>
      <c r="BP42" s="242"/>
      <c r="BQ42" s="242">
        <f t="shared" si="27"/>
        <v>0</v>
      </c>
      <c r="BR42" s="242"/>
      <c r="BS42" s="242"/>
      <c r="BT42" s="415">
        <v>742000</v>
      </c>
      <c r="BZ42" s="415"/>
      <c r="CA42" s="415"/>
      <c r="CB42" s="337">
        <f t="shared" si="1"/>
        <v>0</v>
      </c>
    </row>
    <row r="43" spans="1:85" s="424" customFormat="1" ht="30">
      <c r="A43" s="414">
        <f t="shared" si="28"/>
        <v>38</v>
      </c>
      <c r="B43" s="415">
        <v>1739</v>
      </c>
      <c r="C43" s="415" t="s">
        <v>224</v>
      </c>
      <c r="D43" s="416">
        <v>6550000</v>
      </c>
      <c r="E43" s="416">
        <v>6550000</v>
      </c>
      <c r="F43" s="337">
        <f t="shared" si="0"/>
        <v>0</v>
      </c>
      <c r="G43" s="416">
        <v>6550000</v>
      </c>
      <c r="H43" s="416">
        <v>5352495</v>
      </c>
      <c r="I43" s="416">
        <v>601062.25</v>
      </c>
      <c r="J43" s="416"/>
      <c r="K43" s="416">
        <f t="shared" si="31"/>
        <v>601062.25</v>
      </c>
      <c r="L43" s="416">
        <f t="shared" si="3"/>
        <v>5953557.25</v>
      </c>
      <c r="M43" s="416">
        <f t="shared" si="4"/>
        <v>596442.75</v>
      </c>
      <c r="N43" s="416"/>
      <c r="O43" s="416">
        <f t="shared" si="5"/>
        <v>0</v>
      </c>
      <c r="P43" s="416">
        <f t="shared" si="6"/>
        <v>596442.75</v>
      </c>
      <c r="Q43" s="416"/>
      <c r="R43" s="416"/>
      <c r="S43" s="416">
        <f t="shared" si="29"/>
        <v>0</v>
      </c>
      <c r="T43" s="416">
        <f t="shared" si="8"/>
        <v>0</v>
      </c>
      <c r="U43" s="416">
        <f t="shared" si="30"/>
        <v>0</v>
      </c>
      <c r="V43" s="416">
        <f t="shared" si="10"/>
        <v>0</v>
      </c>
      <c r="W43" s="416"/>
      <c r="X43" s="416"/>
      <c r="Y43" s="415"/>
      <c r="Z43" s="242"/>
      <c r="AA43" s="242"/>
      <c r="AB43" s="242">
        <f t="shared" si="11"/>
        <v>0</v>
      </c>
      <c r="AC43" s="242"/>
      <c r="AD43" s="242"/>
      <c r="AE43" s="242">
        <f t="shared" si="12"/>
        <v>0</v>
      </c>
      <c r="AF43" s="242"/>
      <c r="AG43" s="242"/>
      <c r="AH43" s="242">
        <f t="shared" si="13"/>
        <v>0</v>
      </c>
      <c r="AI43" s="242"/>
      <c r="AJ43" s="242"/>
      <c r="AK43" s="242">
        <f t="shared" si="14"/>
        <v>0</v>
      </c>
      <c r="AL43" s="242"/>
      <c r="AM43" s="242"/>
      <c r="AN43" s="242">
        <f t="shared" si="15"/>
        <v>0</v>
      </c>
      <c r="AO43" s="242"/>
      <c r="AP43" s="242"/>
      <c r="AQ43" s="242">
        <f t="shared" si="16"/>
        <v>0</v>
      </c>
      <c r="AR43" s="242"/>
      <c r="AS43" s="242"/>
      <c r="AT43" s="242">
        <f t="shared" si="17"/>
        <v>0</v>
      </c>
      <c r="AU43" s="242"/>
      <c r="AV43" s="242"/>
      <c r="AW43" s="242">
        <f t="shared" si="18"/>
        <v>0</v>
      </c>
      <c r="AX43" s="242"/>
      <c r="AY43" s="242"/>
      <c r="AZ43" s="242">
        <f t="shared" si="19"/>
        <v>0</v>
      </c>
      <c r="BA43" s="242"/>
      <c r="BB43" s="242"/>
      <c r="BC43" s="242">
        <f t="shared" si="20"/>
        <v>0</v>
      </c>
      <c r="BD43" s="242"/>
      <c r="BE43" s="242"/>
      <c r="BF43" s="242">
        <f t="shared" si="21"/>
        <v>0</v>
      </c>
      <c r="BG43" s="242">
        <f t="shared" si="22"/>
        <v>0</v>
      </c>
      <c r="BH43" s="242"/>
      <c r="BI43" s="242">
        <f t="shared" si="23"/>
        <v>0</v>
      </c>
      <c r="BJ43" s="242">
        <f t="shared" si="24"/>
        <v>0</v>
      </c>
      <c r="BK43" s="242">
        <f t="shared" si="25"/>
        <v>0</v>
      </c>
      <c r="BL43" s="242"/>
      <c r="BM43" s="242"/>
      <c r="BN43" s="242">
        <f t="shared" si="26"/>
        <v>0</v>
      </c>
      <c r="BO43" s="242"/>
      <c r="BP43" s="242"/>
      <c r="BQ43" s="242">
        <f t="shared" si="27"/>
        <v>0</v>
      </c>
      <c r="BR43" s="242"/>
      <c r="BS43" s="242"/>
      <c r="BT43" s="423">
        <v>829000</v>
      </c>
      <c r="BZ43" s="415"/>
      <c r="CA43" s="415"/>
      <c r="CB43" s="337">
        <f t="shared" si="1"/>
        <v>0</v>
      </c>
    </row>
    <row r="44" spans="1:85" s="424" customFormat="1" ht="30">
      <c r="A44" s="414">
        <f t="shared" si="28"/>
        <v>39</v>
      </c>
      <c r="B44" s="396">
        <v>1745</v>
      </c>
      <c r="C44" s="396" t="s">
        <v>1165</v>
      </c>
      <c r="D44" s="416">
        <v>2000000</v>
      </c>
      <c r="E44" s="416">
        <v>2000000</v>
      </c>
      <c r="F44" s="337">
        <f t="shared" si="0"/>
        <v>0</v>
      </c>
      <c r="G44" s="416">
        <v>2000000</v>
      </c>
      <c r="H44" s="416">
        <v>0</v>
      </c>
      <c r="I44" s="416"/>
      <c r="J44" s="416"/>
      <c r="K44" s="416">
        <f t="shared" si="31"/>
        <v>0</v>
      </c>
      <c r="L44" s="416">
        <f t="shared" si="3"/>
        <v>0</v>
      </c>
      <c r="M44" s="416">
        <f t="shared" si="4"/>
        <v>2000000</v>
      </c>
      <c r="N44" s="416"/>
      <c r="O44" s="416">
        <f t="shared" si="5"/>
        <v>0</v>
      </c>
      <c r="P44" s="416">
        <f t="shared" si="6"/>
        <v>2000000</v>
      </c>
      <c r="Q44" s="416"/>
      <c r="R44" s="416"/>
      <c r="S44" s="416">
        <f t="shared" si="29"/>
        <v>0</v>
      </c>
      <c r="T44" s="416">
        <f t="shared" si="8"/>
        <v>0</v>
      </c>
      <c r="U44" s="416">
        <f t="shared" si="30"/>
        <v>0</v>
      </c>
      <c r="V44" s="416">
        <f t="shared" si="10"/>
        <v>0</v>
      </c>
      <c r="W44" s="416"/>
      <c r="X44" s="416"/>
      <c r="Y44" s="415"/>
      <c r="Z44" s="242"/>
      <c r="AA44" s="242"/>
      <c r="AB44" s="242">
        <f t="shared" si="11"/>
        <v>0</v>
      </c>
      <c r="AC44" s="242"/>
      <c r="AD44" s="242"/>
      <c r="AE44" s="242">
        <f t="shared" si="12"/>
        <v>0</v>
      </c>
      <c r="AF44" s="241"/>
      <c r="AG44" s="241"/>
      <c r="AH44" s="242">
        <f t="shared" si="13"/>
        <v>0</v>
      </c>
      <c r="AI44" s="241"/>
      <c r="AJ44" s="242"/>
      <c r="AK44" s="242">
        <f t="shared" si="14"/>
        <v>0</v>
      </c>
      <c r="AL44" s="241"/>
      <c r="AM44" s="242"/>
      <c r="AN44" s="242">
        <f t="shared" si="15"/>
        <v>0</v>
      </c>
      <c r="AO44" s="241"/>
      <c r="AP44" s="242"/>
      <c r="AQ44" s="242">
        <f t="shared" si="16"/>
        <v>0</v>
      </c>
      <c r="AR44" s="241"/>
      <c r="AS44" s="242"/>
      <c r="AT44" s="242">
        <f t="shared" si="17"/>
        <v>0</v>
      </c>
      <c r="AU44" s="241"/>
      <c r="AV44" s="242"/>
      <c r="AW44" s="242">
        <f t="shared" si="18"/>
        <v>0</v>
      </c>
      <c r="AX44" s="241"/>
      <c r="AY44" s="242"/>
      <c r="AZ44" s="242">
        <f t="shared" si="19"/>
        <v>0</v>
      </c>
      <c r="BA44" s="241"/>
      <c r="BB44" s="242"/>
      <c r="BC44" s="242">
        <f t="shared" si="20"/>
        <v>0</v>
      </c>
      <c r="BD44" s="241"/>
      <c r="BE44" s="242"/>
      <c r="BF44" s="242">
        <f t="shared" si="21"/>
        <v>0</v>
      </c>
      <c r="BG44" s="242">
        <f t="shared" si="22"/>
        <v>0</v>
      </c>
      <c r="BH44" s="242"/>
      <c r="BI44" s="242">
        <f t="shared" si="23"/>
        <v>0</v>
      </c>
      <c r="BJ44" s="242">
        <f t="shared" si="24"/>
        <v>0</v>
      </c>
      <c r="BK44" s="242">
        <f t="shared" si="25"/>
        <v>0</v>
      </c>
      <c r="BL44" s="242"/>
      <c r="BM44" s="242"/>
      <c r="BN44" s="242">
        <f t="shared" si="26"/>
        <v>0</v>
      </c>
      <c r="BO44" s="242"/>
      <c r="BP44" s="242"/>
      <c r="BQ44" s="242">
        <f t="shared" si="27"/>
        <v>0</v>
      </c>
      <c r="BR44" s="242"/>
      <c r="BS44" s="242"/>
      <c r="BT44" s="415">
        <v>742000</v>
      </c>
      <c r="BZ44" s="415"/>
      <c r="CA44" s="415"/>
      <c r="CB44" s="337">
        <f t="shared" si="1"/>
        <v>0</v>
      </c>
    </row>
    <row r="45" spans="1:85" s="424" customFormat="1">
      <c r="A45" s="414">
        <f t="shared" si="28"/>
        <v>40</v>
      </c>
      <c r="B45" s="415">
        <v>1749</v>
      </c>
      <c r="C45" s="415" t="s">
        <v>59</v>
      </c>
      <c r="D45" s="416">
        <v>5000000</v>
      </c>
      <c r="E45" s="416">
        <v>5000000</v>
      </c>
      <c r="F45" s="337">
        <f t="shared" si="0"/>
        <v>0</v>
      </c>
      <c r="G45" s="416">
        <v>500000</v>
      </c>
      <c r="H45" s="416">
        <v>0</v>
      </c>
      <c r="I45" s="416">
        <v>760.5</v>
      </c>
      <c r="J45" s="416"/>
      <c r="K45" s="416">
        <f>SUM(I45:J45)</f>
        <v>760.5</v>
      </c>
      <c r="L45" s="416">
        <f t="shared" si="3"/>
        <v>760.5</v>
      </c>
      <c r="M45" s="416">
        <f t="shared" si="4"/>
        <v>499239.5</v>
      </c>
      <c r="N45" s="416">
        <f>1000000-500000</f>
        <v>500000</v>
      </c>
      <c r="O45" s="416">
        <f t="shared" si="5"/>
        <v>4000000</v>
      </c>
      <c r="P45" s="416">
        <f t="shared" si="6"/>
        <v>499239.5</v>
      </c>
      <c r="Q45" s="416"/>
      <c r="R45" s="416"/>
      <c r="S45" s="416">
        <f>SUM(Q45:R45)</f>
        <v>0</v>
      </c>
      <c r="T45" s="416">
        <f t="shared" si="8"/>
        <v>0</v>
      </c>
      <c r="U45" s="416">
        <f t="shared" si="30"/>
        <v>500000</v>
      </c>
      <c r="V45" s="416">
        <f>U45-Y45-W45-X45</f>
        <v>500000</v>
      </c>
      <c r="W45" s="416"/>
      <c r="X45" s="416"/>
      <c r="Y45" s="415"/>
      <c r="Z45" s="242"/>
      <c r="AA45" s="242"/>
      <c r="AB45" s="242">
        <f t="shared" si="11"/>
        <v>0</v>
      </c>
      <c r="AC45" s="242"/>
      <c r="AD45" s="242"/>
      <c r="AE45" s="242">
        <f t="shared" si="12"/>
        <v>0</v>
      </c>
      <c r="AF45" s="13"/>
      <c r="AG45" s="13"/>
      <c r="AH45" s="242">
        <f t="shared" si="13"/>
        <v>0</v>
      </c>
      <c r="AI45" s="13"/>
      <c r="AJ45" s="242"/>
      <c r="AK45" s="242">
        <f t="shared" si="14"/>
        <v>0</v>
      </c>
      <c r="AL45" s="13"/>
      <c r="AM45" s="242"/>
      <c r="AN45" s="242">
        <f t="shared" si="15"/>
        <v>0</v>
      </c>
      <c r="AO45" s="13"/>
      <c r="AP45" s="242"/>
      <c r="AQ45" s="242">
        <f t="shared" si="16"/>
        <v>0</v>
      </c>
      <c r="AR45" s="13"/>
      <c r="AS45" s="242"/>
      <c r="AT45" s="242">
        <f t="shared" si="17"/>
        <v>0</v>
      </c>
      <c r="AU45" s="13"/>
      <c r="AV45" s="242"/>
      <c r="AW45" s="242">
        <f t="shared" si="18"/>
        <v>0</v>
      </c>
      <c r="AX45" s="13"/>
      <c r="AY45" s="242"/>
      <c r="AZ45" s="242">
        <f t="shared" si="19"/>
        <v>0</v>
      </c>
      <c r="BA45" s="13"/>
      <c r="BB45" s="242"/>
      <c r="BC45" s="242">
        <f t="shared" si="20"/>
        <v>0</v>
      </c>
      <c r="BD45" s="13"/>
      <c r="BE45" s="242"/>
      <c r="BF45" s="242">
        <f t="shared" si="21"/>
        <v>0</v>
      </c>
      <c r="BG45" s="242">
        <f t="shared" si="22"/>
        <v>0</v>
      </c>
      <c r="BH45" s="242"/>
      <c r="BI45" s="242">
        <f t="shared" si="23"/>
        <v>0</v>
      </c>
      <c r="BJ45" s="242">
        <f t="shared" si="24"/>
        <v>500000</v>
      </c>
      <c r="BK45" s="242">
        <f t="shared" si="25"/>
        <v>0</v>
      </c>
      <c r="BL45" s="242"/>
      <c r="BM45" s="242"/>
      <c r="BN45" s="242">
        <f t="shared" si="26"/>
        <v>0</v>
      </c>
      <c r="BO45" s="242"/>
      <c r="BP45" s="242"/>
      <c r="BQ45" s="242">
        <f t="shared" si="27"/>
        <v>500000</v>
      </c>
      <c r="BR45" s="242"/>
      <c r="BS45" s="242"/>
      <c r="BT45" s="415">
        <v>732000</v>
      </c>
      <c r="BZ45" s="415"/>
      <c r="CA45" s="337"/>
      <c r="CB45" s="337">
        <f t="shared" si="1"/>
        <v>500000</v>
      </c>
    </row>
    <row r="46" spans="1:85" s="424" customFormat="1">
      <c r="A46" s="414">
        <f t="shared" si="28"/>
        <v>41</v>
      </c>
      <c r="B46" s="415">
        <v>1750</v>
      </c>
      <c r="C46" s="415" t="s">
        <v>60</v>
      </c>
      <c r="D46" s="416">
        <v>5000000</v>
      </c>
      <c r="E46" s="416">
        <v>5000000</v>
      </c>
      <c r="F46" s="337">
        <f t="shared" si="0"/>
        <v>0</v>
      </c>
      <c r="G46" s="416">
        <v>500000</v>
      </c>
      <c r="H46" s="416">
        <v>0</v>
      </c>
      <c r="I46" s="416"/>
      <c r="J46" s="416"/>
      <c r="K46" s="416">
        <f>SUM(I46:J46)</f>
        <v>0</v>
      </c>
      <c r="L46" s="416">
        <f t="shared" si="3"/>
        <v>0</v>
      </c>
      <c r="M46" s="416">
        <f t="shared" si="4"/>
        <v>500000</v>
      </c>
      <c r="N46" s="416">
        <f>1000000-500000</f>
        <v>500000</v>
      </c>
      <c r="O46" s="416">
        <f t="shared" si="5"/>
        <v>4000000</v>
      </c>
      <c r="P46" s="416">
        <f t="shared" si="6"/>
        <v>500000</v>
      </c>
      <c r="Q46" s="416"/>
      <c r="R46" s="416"/>
      <c r="S46" s="416">
        <f>SUM(Q46:R46)</f>
        <v>0</v>
      </c>
      <c r="T46" s="416">
        <f t="shared" si="8"/>
        <v>0</v>
      </c>
      <c r="U46" s="416">
        <f t="shared" si="30"/>
        <v>500000</v>
      </c>
      <c r="V46" s="416">
        <f>U46-Y46-W46-X46</f>
        <v>500000</v>
      </c>
      <c r="W46" s="416"/>
      <c r="X46" s="416"/>
      <c r="Y46" s="415"/>
      <c r="Z46" s="242"/>
      <c r="AA46" s="242"/>
      <c r="AB46" s="242">
        <f t="shared" si="11"/>
        <v>0</v>
      </c>
      <c r="AC46" s="242"/>
      <c r="AD46" s="242"/>
      <c r="AE46" s="242">
        <f t="shared" si="12"/>
        <v>0</v>
      </c>
      <c r="AF46" s="242"/>
      <c r="AG46" s="242"/>
      <c r="AH46" s="242">
        <f t="shared" si="13"/>
        <v>0</v>
      </c>
      <c r="AI46" s="242"/>
      <c r="AJ46" s="242"/>
      <c r="AK46" s="242">
        <f t="shared" si="14"/>
        <v>0</v>
      </c>
      <c r="AL46" s="242"/>
      <c r="AM46" s="242"/>
      <c r="AN46" s="242">
        <f t="shared" si="15"/>
        <v>0</v>
      </c>
      <c r="AO46" s="242"/>
      <c r="AP46" s="242"/>
      <c r="AQ46" s="242">
        <f t="shared" si="16"/>
        <v>0</v>
      </c>
      <c r="AR46" s="242"/>
      <c r="AS46" s="242"/>
      <c r="AT46" s="242">
        <f t="shared" si="17"/>
        <v>0</v>
      </c>
      <c r="AU46" s="242"/>
      <c r="AV46" s="242"/>
      <c r="AW46" s="242">
        <f t="shared" si="18"/>
        <v>0</v>
      </c>
      <c r="AX46" s="242"/>
      <c r="AY46" s="242"/>
      <c r="AZ46" s="242">
        <f t="shared" si="19"/>
        <v>0</v>
      </c>
      <c r="BA46" s="242"/>
      <c r="BB46" s="242"/>
      <c r="BC46" s="242">
        <f t="shared" si="20"/>
        <v>0</v>
      </c>
      <c r="BD46" s="242"/>
      <c r="BE46" s="242"/>
      <c r="BF46" s="242">
        <f t="shared" si="21"/>
        <v>0</v>
      </c>
      <c r="BG46" s="242">
        <f t="shared" si="22"/>
        <v>0</v>
      </c>
      <c r="BH46" s="242"/>
      <c r="BI46" s="242">
        <f t="shared" si="23"/>
        <v>0</v>
      </c>
      <c r="BJ46" s="242">
        <f t="shared" si="24"/>
        <v>500000</v>
      </c>
      <c r="BK46" s="242">
        <f t="shared" si="25"/>
        <v>0</v>
      </c>
      <c r="BL46" s="242"/>
      <c r="BM46" s="242"/>
      <c r="BN46" s="242">
        <f t="shared" si="26"/>
        <v>0</v>
      </c>
      <c r="BO46" s="242"/>
      <c r="BP46" s="242"/>
      <c r="BQ46" s="242">
        <f t="shared" si="27"/>
        <v>500000</v>
      </c>
      <c r="BR46" s="242"/>
      <c r="BS46" s="242"/>
      <c r="BT46" s="415">
        <v>732000</v>
      </c>
      <c r="BZ46" s="415"/>
      <c r="CA46" s="337"/>
      <c r="CB46" s="337">
        <f t="shared" si="1"/>
        <v>500000</v>
      </c>
    </row>
    <row r="47" spans="1:85" s="413" customFormat="1">
      <c r="A47" s="414">
        <f t="shared" si="28"/>
        <v>42</v>
      </c>
      <c r="B47" s="414">
        <v>1751</v>
      </c>
      <c r="C47" s="415" t="s">
        <v>221</v>
      </c>
      <c r="D47" s="416">
        <v>4800000</v>
      </c>
      <c r="E47" s="337">
        <v>4800000</v>
      </c>
      <c r="F47" s="337">
        <f t="shared" si="0"/>
        <v>0</v>
      </c>
      <c r="G47" s="337">
        <f>350000+50000</f>
        <v>400000</v>
      </c>
      <c r="H47" s="337">
        <v>248805</v>
      </c>
      <c r="I47" s="337">
        <v>50355.21</v>
      </c>
      <c r="J47" s="337"/>
      <c r="K47" s="337">
        <f t="shared" si="31"/>
        <v>50355.21</v>
      </c>
      <c r="L47" s="337">
        <f t="shared" si="3"/>
        <v>299160.21000000002</v>
      </c>
      <c r="M47" s="416">
        <f t="shared" si="4"/>
        <v>2200839.79</v>
      </c>
      <c r="N47" s="416">
        <f>1500000-750000+750000</f>
        <v>1500000</v>
      </c>
      <c r="O47" s="337">
        <f t="shared" si="5"/>
        <v>800000</v>
      </c>
      <c r="P47" s="337">
        <f t="shared" si="6"/>
        <v>100839.78999999998</v>
      </c>
      <c r="Q47" s="417">
        <f>150000-50000</f>
        <v>100000</v>
      </c>
      <c r="R47" s="417">
        <v>2000000</v>
      </c>
      <c r="S47" s="337">
        <f t="shared" si="29"/>
        <v>2100000</v>
      </c>
      <c r="T47" s="416">
        <f t="shared" si="8"/>
        <v>0</v>
      </c>
      <c r="U47" s="416">
        <f t="shared" si="30"/>
        <v>1500000</v>
      </c>
      <c r="V47" s="416">
        <f t="shared" si="10"/>
        <v>1500000</v>
      </c>
      <c r="W47" s="337"/>
      <c r="X47" s="337"/>
      <c r="Y47" s="415"/>
      <c r="Z47" s="242"/>
      <c r="AA47" s="242"/>
      <c r="AB47" s="242">
        <f t="shared" si="11"/>
        <v>0</v>
      </c>
      <c r="AC47" s="242"/>
      <c r="AD47" s="242"/>
      <c r="AE47" s="242">
        <f t="shared" si="12"/>
        <v>0</v>
      </c>
      <c r="AF47" s="242"/>
      <c r="AG47" s="242"/>
      <c r="AH47" s="242">
        <f t="shared" si="13"/>
        <v>0</v>
      </c>
      <c r="AI47" s="242"/>
      <c r="AJ47" s="242"/>
      <c r="AK47" s="242">
        <f t="shared" si="14"/>
        <v>0</v>
      </c>
      <c r="AL47" s="242"/>
      <c r="AM47" s="242"/>
      <c r="AN47" s="242">
        <f t="shared" si="15"/>
        <v>0</v>
      </c>
      <c r="AO47" s="242"/>
      <c r="AP47" s="242"/>
      <c r="AQ47" s="242">
        <f t="shared" si="16"/>
        <v>0</v>
      </c>
      <c r="AR47" s="242"/>
      <c r="AS47" s="242"/>
      <c r="AT47" s="242">
        <f t="shared" si="17"/>
        <v>0</v>
      </c>
      <c r="AU47" s="242"/>
      <c r="AV47" s="242"/>
      <c r="AW47" s="242">
        <f t="shared" si="18"/>
        <v>0</v>
      </c>
      <c r="AX47" s="242"/>
      <c r="AY47" s="242"/>
      <c r="AZ47" s="242">
        <f t="shared" si="19"/>
        <v>0</v>
      </c>
      <c r="BA47" s="242"/>
      <c r="BB47" s="242"/>
      <c r="BC47" s="242">
        <f t="shared" si="20"/>
        <v>0</v>
      </c>
      <c r="BD47" s="242"/>
      <c r="BE47" s="242">
        <v>1500000</v>
      </c>
      <c r="BF47" s="242">
        <f t="shared" si="21"/>
        <v>1500000</v>
      </c>
      <c r="BG47" s="242">
        <f t="shared" si="22"/>
        <v>1500000</v>
      </c>
      <c r="BH47" s="242"/>
      <c r="BI47" s="242">
        <f t="shared" si="23"/>
        <v>1500000</v>
      </c>
      <c r="BJ47" s="242">
        <f t="shared" si="24"/>
        <v>0</v>
      </c>
      <c r="BK47" s="242">
        <f t="shared" si="25"/>
        <v>1500000</v>
      </c>
      <c r="BL47" s="242"/>
      <c r="BM47" s="242"/>
      <c r="BN47" s="242">
        <f t="shared" si="26"/>
        <v>0</v>
      </c>
      <c r="BO47" s="242"/>
      <c r="BP47" s="242"/>
      <c r="BQ47" s="242">
        <f t="shared" si="27"/>
        <v>0</v>
      </c>
      <c r="BR47" s="242"/>
      <c r="BS47" s="242"/>
      <c r="BT47" s="414">
        <v>810000</v>
      </c>
      <c r="BZ47" s="414"/>
      <c r="CA47" s="337"/>
      <c r="CB47" s="337">
        <f t="shared" si="1"/>
        <v>1500000</v>
      </c>
    </row>
    <row r="48" spans="1:85" s="426" customFormat="1" ht="30">
      <c r="A48" s="414">
        <f t="shared" si="28"/>
        <v>43</v>
      </c>
      <c r="B48" s="414">
        <v>1763</v>
      </c>
      <c r="C48" s="415" t="s">
        <v>229</v>
      </c>
      <c r="D48" s="416">
        <f>3000000+1200000</f>
        <v>4200000</v>
      </c>
      <c r="E48" s="337">
        <v>4200000</v>
      </c>
      <c r="F48" s="337">
        <f t="shared" si="0"/>
        <v>0</v>
      </c>
      <c r="G48" s="337">
        <v>2000000</v>
      </c>
      <c r="H48" s="337">
        <v>351641</v>
      </c>
      <c r="I48" s="337">
        <v>1645629.73</v>
      </c>
      <c r="J48" s="337"/>
      <c r="K48" s="337">
        <f t="shared" si="31"/>
        <v>1645629.73</v>
      </c>
      <c r="L48" s="337">
        <f t="shared" si="3"/>
        <v>1997270.73</v>
      </c>
      <c r="M48" s="416">
        <f t="shared" si="4"/>
        <v>2202729.27</v>
      </c>
      <c r="N48" s="416"/>
      <c r="O48" s="337">
        <f t="shared" si="5"/>
        <v>0</v>
      </c>
      <c r="P48" s="337">
        <f t="shared" si="6"/>
        <v>2729.2700000000186</v>
      </c>
      <c r="Q48" s="421">
        <v>500000</v>
      </c>
      <c r="R48" s="416">
        <f>1200000+500000</f>
        <v>1700000</v>
      </c>
      <c r="S48" s="337">
        <f t="shared" si="29"/>
        <v>2200000</v>
      </c>
      <c r="T48" s="416">
        <f t="shared" si="8"/>
        <v>0</v>
      </c>
      <c r="U48" s="416">
        <f t="shared" si="30"/>
        <v>0</v>
      </c>
      <c r="V48" s="416">
        <f t="shared" si="10"/>
        <v>0</v>
      </c>
      <c r="W48" s="337"/>
      <c r="X48" s="337"/>
      <c r="Y48" s="415"/>
      <c r="Z48" s="242"/>
      <c r="AA48" s="242"/>
      <c r="AB48" s="242">
        <f t="shared" si="11"/>
        <v>0</v>
      </c>
      <c r="AC48" s="242"/>
      <c r="AD48" s="242"/>
      <c r="AE48" s="242">
        <f t="shared" si="12"/>
        <v>0</v>
      </c>
      <c r="AF48" s="242"/>
      <c r="AG48" s="242"/>
      <c r="AH48" s="242">
        <f t="shared" si="13"/>
        <v>0</v>
      </c>
      <c r="AI48" s="242"/>
      <c r="AJ48" s="242"/>
      <c r="AK48" s="242">
        <f t="shared" si="14"/>
        <v>0</v>
      </c>
      <c r="AL48" s="242"/>
      <c r="AM48" s="242"/>
      <c r="AN48" s="242">
        <f t="shared" si="15"/>
        <v>0</v>
      </c>
      <c r="AO48" s="242"/>
      <c r="AP48" s="242"/>
      <c r="AQ48" s="242">
        <f t="shared" si="16"/>
        <v>0</v>
      </c>
      <c r="AR48" s="242"/>
      <c r="AS48" s="242"/>
      <c r="AT48" s="242">
        <f t="shared" si="17"/>
        <v>0</v>
      </c>
      <c r="AU48" s="242"/>
      <c r="AV48" s="242"/>
      <c r="AW48" s="242">
        <f t="shared" si="18"/>
        <v>0</v>
      </c>
      <c r="AX48" s="242"/>
      <c r="AY48" s="242"/>
      <c r="AZ48" s="242">
        <f t="shared" si="19"/>
        <v>0</v>
      </c>
      <c r="BA48" s="242"/>
      <c r="BB48" s="242"/>
      <c r="BC48" s="242">
        <f t="shared" si="20"/>
        <v>0</v>
      </c>
      <c r="BD48" s="242"/>
      <c r="BE48" s="242"/>
      <c r="BF48" s="242">
        <f t="shared" si="21"/>
        <v>0</v>
      </c>
      <c r="BG48" s="242">
        <f t="shared" si="22"/>
        <v>0</v>
      </c>
      <c r="BH48" s="242"/>
      <c r="BI48" s="242">
        <f t="shared" si="23"/>
        <v>0</v>
      </c>
      <c r="BJ48" s="242">
        <f t="shared" si="24"/>
        <v>0</v>
      </c>
      <c r="BK48" s="242">
        <f t="shared" si="25"/>
        <v>0</v>
      </c>
      <c r="BL48" s="242"/>
      <c r="BM48" s="242"/>
      <c r="BN48" s="242">
        <f t="shared" si="26"/>
        <v>0</v>
      </c>
      <c r="BO48" s="242"/>
      <c r="BP48" s="242"/>
      <c r="BQ48" s="242">
        <f t="shared" si="27"/>
        <v>0</v>
      </c>
      <c r="BR48" s="242"/>
      <c r="BS48" s="242"/>
      <c r="BT48" s="414">
        <v>742000</v>
      </c>
      <c r="BU48" s="413"/>
      <c r="BV48" s="413"/>
      <c r="BW48" s="413"/>
      <c r="BX48" s="413"/>
      <c r="BY48" s="413"/>
      <c r="BZ48" s="414"/>
      <c r="CA48" s="337"/>
      <c r="CB48" s="337">
        <f t="shared" si="1"/>
        <v>0</v>
      </c>
      <c r="CC48" s="413"/>
      <c r="CD48" s="413"/>
      <c r="CE48" s="413"/>
      <c r="CF48" s="413"/>
      <c r="CG48" s="413"/>
    </row>
    <row r="49" spans="1:85" s="413" customFormat="1">
      <c r="A49" s="414">
        <f t="shared" si="28"/>
        <v>44</v>
      </c>
      <c r="B49" s="414">
        <v>1764</v>
      </c>
      <c r="C49" s="415" t="s">
        <v>220</v>
      </c>
      <c r="D49" s="416">
        <v>4800000</v>
      </c>
      <c r="E49" s="337">
        <v>4800000</v>
      </c>
      <c r="F49" s="337">
        <f t="shared" si="0"/>
        <v>0</v>
      </c>
      <c r="G49" s="337">
        <v>4800000</v>
      </c>
      <c r="H49" s="337">
        <v>3140711</v>
      </c>
      <c r="I49" s="337">
        <v>858140.87</v>
      </c>
      <c r="J49" s="337"/>
      <c r="K49" s="337">
        <f t="shared" si="31"/>
        <v>858140.87</v>
      </c>
      <c r="L49" s="337">
        <f t="shared" si="3"/>
        <v>3998851.87</v>
      </c>
      <c r="M49" s="416">
        <f t="shared" si="4"/>
        <v>801148.12999999989</v>
      </c>
      <c r="N49" s="416"/>
      <c r="O49" s="337">
        <f t="shared" si="5"/>
        <v>0</v>
      </c>
      <c r="P49" s="337">
        <f t="shared" si="6"/>
        <v>801148.12999999989</v>
      </c>
      <c r="Q49" s="337"/>
      <c r="R49" s="416"/>
      <c r="S49" s="337">
        <f t="shared" si="29"/>
        <v>0</v>
      </c>
      <c r="T49" s="416">
        <f t="shared" si="8"/>
        <v>0</v>
      </c>
      <c r="U49" s="416">
        <f t="shared" si="30"/>
        <v>0</v>
      </c>
      <c r="V49" s="416">
        <f t="shared" si="10"/>
        <v>0</v>
      </c>
      <c r="W49" s="337"/>
      <c r="X49" s="337"/>
      <c r="Y49" s="415"/>
      <c r="Z49" s="242"/>
      <c r="AA49" s="242"/>
      <c r="AB49" s="242">
        <f t="shared" si="11"/>
        <v>0</v>
      </c>
      <c r="AC49" s="242"/>
      <c r="AD49" s="242"/>
      <c r="AE49" s="242">
        <f t="shared" si="12"/>
        <v>0</v>
      </c>
      <c r="AF49" s="242"/>
      <c r="AG49" s="242"/>
      <c r="AH49" s="242">
        <f t="shared" si="13"/>
        <v>0</v>
      </c>
      <c r="AI49" s="242"/>
      <c r="AJ49" s="242"/>
      <c r="AK49" s="242">
        <f t="shared" si="14"/>
        <v>0</v>
      </c>
      <c r="AL49" s="242"/>
      <c r="AM49" s="242"/>
      <c r="AN49" s="242">
        <f t="shared" si="15"/>
        <v>0</v>
      </c>
      <c r="AO49" s="242"/>
      <c r="AP49" s="242"/>
      <c r="AQ49" s="242">
        <f t="shared" si="16"/>
        <v>0</v>
      </c>
      <c r="AR49" s="242"/>
      <c r="AS49" s="242"/>
      <c r="AT49" s="242">
        <f t="shared" si="17"/>
        <v>0</v>
      </c>
      <c r="AU49" s="242"/>
      <c r="AV49" s="242"/>
      <c r="AW49" s="242">
        <f t="shared" si="18"/>
        <v>0</v>
      </c>
      <c r="AX49" s="242"/>
      <c r="AY49" s="242"/>
      <c r="AZ49" s="242">
        <f t="shared" si="19"/>
        <v>0</v>
      </c>
      <c r="BA49" s="242"/>
      <c r="BB49" s="242"/>
      <c r="BC49" s="242">
        <f t="shared" si="20"/>
        <v>0</v>
      </c>
      <c r="BD49" s="242"/>
      <c r="BE49" s="242"/>
      <c r="BF49" s="242">
        <f t="shared" si="21"/>
        <v>0</v>
      </c>
      <c r="BG49" s="242">
        <f t="shared" si="22"/>
        <v>0</v>
      </c>
      <c r="BH49" s="242"/>
      <c r="BI49" s="242">
        <f t="shared" si="23"/>
        <v>0</v>
      </c>
      <c r="BJ49" s="242">
        <f t="shared" si="24"/>
        <v>0</v>
      </c>
      <c r="BK49" s="242">
        <f t="shared" si="25"/>
        <v>0</v>
      </c>
      <c r="BL49" s="242"/>
      <c r="BM49" s="242"/>
      <c r="BN49" s="242">
        <f t="shared" si="26"/>
        <v>0</v>
      </c>
      <c r="BO49" s="242"/>
      <c r="BP49" s="242"/>
      <c r="BQ49" s="242">
        <f t="shared" si="27"/>
        <v>0</v>
      </c>
      <c r="BR49" s="242"/>
      <c r="BS49" s="242"/>
      <c r="BT49" s="414">
        <v>742000</v>
      </c>
      <c r="BZ49" s="414"/>
      <c r="CA49" s="337"/>
      <c r="CB49" s="337">
        <f t="shared" si="1"/>
        <v>0</v>
      </c>
    </row>
    <row r="50" spans="1:85" s="428" customFormat="1" ht="15.75">
      <c r="A50" s="414">
        <f t="shared" si="28"/>
        <v>45</v>
      </c>
      <c r="B50" s="414">
        <v>1765</v>
      </c>
      <c r="C50" s="415" t="s">
        <v>219</v>
      </c>
      <c r="D50" s="416">
        <v>2800000</v>
      </c>
      <c r="E50" s="337">
        <v>2800000</v>
      </c>
      <c r="F50" s="337">
        <f t="shared" si="0"/>
        <v>0</v>
      </c>
      <c r="G50" s="337">
        <v>2100000</v>
      </c>
      <c r="H50" s="337">
        <v>643136</v>
      </c>
      <c r="I50" s="337">
        <v>256859</v>
      </c>
      <c r="J50" s="337"/>
      <c r="K50" s="337">
        <f t="shared" si="31"/>
        <v>256859</v>
      </c>
      <c r="L50" s="337">
        <f t="shared" si="3"/>
        <v>899995</v>
      </c>
      <c r="M50" s="416">
        <f t="shared" si="4"/>
        <v>1200005</v>
      </c>
      <c r="N50" s="416">
        <v>700000</v>
      </c>
      <c r="O50" s="337">
        <f t="shared" si="5"/>
        <v>0</v>
      </c>
      <c r="P50" s="337">
        <f t="shared" si="6"/>
        <v>1200005</v>
      </c>
      <c r="Q50" s="337"/>
      <c r="R50" s="416"/>
      <c r="S50" s="337">
        <f t="shared" si="29"/>
        <v>0</v>
      </c>
      <c r="T50" s="416">
        <f t="shared" si="8"/>
        <v>0</v>
      </c>
      <c r="U50" s="416">
        <f t="shared" si="30"/>
        <v>700000</v>
      </c>
      <c r="V50" s="416">
        <f t="shared" si="10"/>
        <v>700000</v>
      </c>
      <c r="W50" s="337"/>
      <c r="X50" s="337"/>
      <c r="Y50" s="415"/>
      <c r="Z50" s="242"/>
      <c r="AA50" s="242"/>
      <c r="AB50" s="242">
        <f t="shared" si="11"/>
        <v>0</v>
      </c>
      <c r="AC50" s="242"/>
      <c r="AD50" s="242"/>
      <c r="AE50" s="242">
        <f t="shared" si="12"/>
        <v>0</v>
      </c>
      <c r="AF50" s="242"/>
      <c r="AG50" s="242"/>
      <c r="AH50" s="242">
        <f t="shared" si="13"/>
        <v>0</v>
      </c>
      <c r="AI50" s="242"/>
      <c r="AJ50" s="242"/>
      <c r="AK50" s="242">
        <f t="shared" si="14"/>
        <v>0</v>
      </c>
      <c r="AL50" s="242"/>
      <c r="AM50" s="242"/>
      <c r="AN50" s="242">
        <f t="shared" si="15"/>
        <v>0</v>
      </c>
      <c r="AO50" s="242"/>
      <c r="AP50" s="242"/>
      <c r="AQ50" s="242">
        <f t="shared" si="16"/>
        <v>0</v>
      </c>
      <c r="AR50" s="242"/>
      <c r="AS50" s="242"/>
      <c r="AT50" s="242">
        <f t="shared" si="17"/>
        <v>0</v>
      </c>
      <c r="AU50" s="242"/>
      <c r="AV50" s="242"/>
      <c r="AW50" s="242">
        <f t="shared" si="18"/>
        <v>0</v>
      </c>
      <c r="AX50" s="242"/>
      <c r="AY50" s="242"/>
      <c r="AZ50" s="242">
        <f t="shared" si="19"/>
        <v>0</v>
      </c>
      <c r="BA50" s="242"/>
      <c r="BB50" s="242"/>
      <c r="BC50" s="242">
        <f t="shared" si="20"/>
        <v>0</v>
      </c>
      <c r="BD50" s="242">
        <v>700000</v>
      </c>
      <c r="BE50" s="242"/>
      <c r="BF50" s="242">
        <f t="shared" si="21"/>
        <v>700000</v>
      </c>
      <c r="BG50" s="242">
        <f t="shared" si="22"/>
        <v>700000</v>
      </c>
      <c r="BH50" s="242"/>
      <c r="BI50" s="242">
        <f t="shared" si="23"/>
        <v>700000</v>
      </c>
      <c r="BJ50" s="242">
        <f t="shared" si="24"/>
        <v>0</v>
      </c>
      <c r="BK50" s="242">
        <f t="shared" si="25"/>
        <v>700000</v>
      </c>
      <c r="BL50" s="242"/>
      <c r="BM50" s="242"/>
      <c r="BN50" s="242">
        <f t="shared" si="26"/>
        <v>0</v>
      </c>
      <c r="BO50" s="242"/>
      <c r="BP50" s="242"/>
      <c r="BQ50" s="242">
        <f t="shared" si="27"/>
        <v>0</v>
      </c>
      <c r="BR50" s="242"/>
      <c r="BS50" s="242"/>
      <c r="BT50" s="414">
        <v>742000</v>
      </c>
      <c r="BU50" s="413"/>
      <c r="BV50" s="413"/>
      <c r="BW50" s="413"/>
      <c r="BX50" s="413"/>
      <c r="BY50" s="413"/>
      <c r="BZ50" s="427"/>
      <c r="CA50" s="337"/>
      <c r="CB50" s="337">
        <f t="shared" si="1"/>
        <v>700000</v>
      </c>
      <c r="CC50" s="426"/>
      <c r="CD50" s="426"/>
      <c r="CE50" s="426"/>
      <c r="CF50" s="426"/>
      <c r="CG50" s="426"/>
    </row>
    <row r="51" spans="1:85" s="428" customFormat="1" ht="30">
      <c r="A51" s="414">
        <f t="shared" si="28"/>
        <v>46</v>
      </c>
      <c r="B51" s="414">
        <v>1772</v>
      </c>
      <c r="C51" s="415" t="s">
        <v>366</v>
      </c>
      <c r="D51" s="416">
        <v>3210000</v>
      </c>
      <c r="E51" s="337">
        <v>3210000</v>
      </c>
      <c r="F51" s="337">
        <f t="shared" si="0"/>
        <v>0</v>
      </c>
      <c r="G51" s="337">
        <f>400000+100000</f>
        <v>500000</v>
      </c>
      <c r="H51" s="337">
        <v>347127.84</v>
      </c>
      <c r="I51" s="337">
        <v>23843.81</v>
      </c>
      <c r="J51" s="337"/>
      <c r="K51" s="337">
        <f t="shared" si="31"/>
        <v>23843.81</v>
      </c>
      <c r="L51" s="337">
        <f t="shared" si="3"/>
        <v>370971.65</v>
      </c>
      <c r="M51" s="416">
        <f t="shared" si="4"/>
        <v>1429028.35</v>
      </c>
      <c r="N51" s="416">
        <v>1410000</v>
      </c>
      <c r="O51" s="337">
        <f t="shared" si="5"/>
        <v>0</v>
      </c>
      <c r="P51" s="337">
        <f t="shared" si="6"/>
        <v>129028.34999999998</v>
      </c>
      <c r="Q51" s="420">
        <f>1400000-100000</f>
        <v>1300000</v>
      </c>
      <c r="R51" s="416"/>
      <c r="S51" s="337">
        <f t="shared" si="29"/>
        <v>1300000</v>
      </c>
      <c r="T51" s="416">
        <f t="shared" si="8"/>
        <v>0</v>
      </c>
      <c r="U51" s="416">
        <f t="shared" si="30"/>
        <v>1410000</v>
      </c>
      <c r="V51" s="416">
        <f t="shared" si="10"/>
        <v>269414</v>
      </c>
      <c r="W51" s="337"/>
      <c r="X51" s="337"/>
      <c r="Y51" s="416">
        <v>1140586</v>
      </c>
      <c r="Z51" s="242"/>
      <c r="AA51" s="242"/>
      <c r="AB51" s="242">
        <f t="shared" si="11"/>
        <v>0</v>
      </c>
      <c r="AC51" s="242"/>
      <c r="AD51" s="242"/>
      <c r="AE51" s="242">
        <f t="shared" si="12"/>
        <v>0</v>
      </c>
      <c r="AF51" s="242">
        <v>1260000</v>
      </c>
      <c r="AG51" s="242">
        <v>150000</v>
      </c>
      <c r="AH51" s="242">
        <f t="shared" si="13"/>
        <v>1410000</v>
      </c>
      <c r="AI51" s="242"/>
      <c r="AJ51" s="242"/>
      <c r="AK51" s="242">
        <f t="shared" si="14"/>
        <v>0</v>
      </c>
      <c r="AL51" s="242"/>
      <c r="AM51" s="242"/>
      <c r="AN51" s="242">
        <f t="shared" si="15"/>
        <v>0</v>
      </c>
      <c r="AO51" s="242"/>
      <c r="AP51" s="242"/>
      <c r="AQ51" s="242">
        <f t="shared" si="16"/>
        <v>0</v>
      </c>
      <c r="AR51" s="242"/>
      <c r="AS51" s="242"/>
      <c r="AT51" s="242">
        <f t="shared" si="17"/>
        <v>0</v>
      </c>
      <c r="AU51" s="242"/>
      <c r="AV51" s="242"/>
      <c r="AW51" s="242">
        <f t="shared" si="18"/>
        <v>0</v>
      </c>
      <c r="AX51" s="242"/>
      <c r="AY51" s="242"/>
      <c r="AZ51" s="242">
        <f t="shared" si="19"/>
        <v>0</v>
      </c>
      <c r="BA51" s="242"/>
      <c r="BB51" s="242"/>
      <c r="BC51" s="242">
        <f t="shared" si="20"/>
        <v>0</v>
      </c>
      <c r="BD51" s="242"/>
      <c r="BE51" s="242"/>
      <c r="BF51" s="242">
        <f t="shared" si="21"/>
        <v>0</v>
      </c>
      <c r="BG51" s="242">
        <f t="shared" si="22"/>
        <v>1410000</v>
      </c>
      <c r="BH51" s="242"/>
      <c r="BI51" s="242">
        <f t="shared" si="23"/>
        <v>1410000</v>
      </c>
      <c r="BJ51" s="242">
        <f t="shared" si="24"/>
        <v>0</v>
      </c>
      <c r="BK51" s="242">
        <f t="shared" si="25"/>
        <v>269414</v>
      </c>
      <c r="BL51" s="242"/>
      <c r="BM51" s="242">
        <v>1140586</v>
      </c>
      <c r="BN51" s="242">
        <f t="shared" si="26"/>
        <v>0</v>
      </c>
      <c r="BO51" s="242"/>
      <c r="BP51" s="242"/>
      <c r="BQ51" s="242">
        <f t="shared" si="27"/>
        <v>0</v>
      </c>
      <c r="BR51" s="242"/>
      <c r="BS51" s="242"/>
      <c r="BT51" s="414">
        <v>829000</v>
      </c>
      <c r="BU51" s="413"/>
      <c r="BV51" s="413"/>
      <c r="BW51" s="413"/>
      <c r="BX51" s="413"/>
      <c r="BY51" s="413"/>
      <c r="BZ51" s="429"/>
      <c r="CA51" s="337"/>
      <c r="CB51" s="337">
        <f t="shared" si="1"/>
        <v>269414</v>
      </c>
    </row>
    <row r="52" spans="1:85" s="430" customFormat="1">
      <c r="A52" s="414">
        <f t="shared" si="28"/>
        <v>47</v>
      </c>
      <c r="B52" s="415">
        <v>1798</v>
      </c>
      <c r="C52" s="415" t="s">
        <v>233</v>
      </c>
      <c r="D52" s="416">
        <v>1600000</v>
      </c>
      <c r="E52" s="416">
        <v>1600000</v>
      </c>
      <c r="F52" s="337">
        <f t="shared" si="0"/>
        <v>0</v>
      </c>
      <c r="G52" s="416">
        <v>700000</v>
      </c>
      <c r="H52" s="416">
        <v>3557</v>
      </c>
      <c r="I52" s="416">
        <v>95777.37</v>
      </c>
      <c r="J52" s="416">
        <v>48196.1</v>
      </c>
      <c r="K52" s="416">
        <f>SUM(I52:J52)</f>
        <v>143973.47</v>
      </c>
      <c r="L52" s="416">
        <f t="shared" si="3"/>
        <v>147530.47</v>
      </c>
      <c r="M52" s="416">
        <f t="shared" si="4"/>
        <v>552469.53</v>
      </c>
      <c r="N52" s="416">
        <v>900000</v>
      </c>
      <c r="O52" s="416">
        <f t="shared" si="5"/>
        <v>0</v>
      </c>
      <c r="P52" s="416">
        <f t="shared" si="6"/>
        <v>552469.53</v>
      </c>
      <c r="Q52" s="416"/>
      <c r="R52" s="416"/>
      <c r="S52" s="416">
        <f>SUM(Q52:R52)</f>
        <v>0</v>
      </c>
      <c r="T52" s="416">
        <f t="shared" si="8"/>
        <v>0</v>
      </c>
      <c r="U52" s="416">
        <f t="shared" si="30"/>
        <v>900000</v>
      </c>
      <c r="V52" s="416">
        <f>U52-Y52-W52-X52</f>
        <v>900000</v>
      </c>
      <c r="W52" s="416"/>
      <c r="X52" s="416"/>
      <c r="Y52" s="415"/>
      <c r="Z52" s="242"/>
      <c r="AA52" s="242"/>
      <c r="AB52" s="242">
        <f t="shared" si="11"/>
        <v>0</v>
      </c>
      <c r="AC52" s="242"/>
      <c r="AD52" s="242"/>
      <c r="AE52" s="242">
        <f t="shared" si="12"/>
        <v>0</v>
      </c>
      <c r="AF52" s="242">
        <v>900000</v>
      </c>
      <c r="AG52" s="242"/>
      <c r="AH52" s="242">
        <f t="shared" si="13"/>
        <v>900000</v>
      </c>
      <c r="AI52" s="242"/>
      <c r="AJ52" s="242"/>
      <c r="AK52" s="242">
        <f t="shared" si="14"/>
        <v>0</v>
      </c>
      <c r="AL52" s="242"/>
      <c r="AM52" s="242"/>
      <c r="AN52" s="242">
        <f t="shared" si="15"/>
        <v>0</v>
      </c>
      <c r="AO52" s="242"/>
      <c r="AP52" s="242"/>
      <c r="AQ52" s="242">
        <f t="shared" si="16"/>
        <v>0</v>
      </c>
      <c r="AR52" s="242"/>
      <c r="AS52" s="242"/>
      <c r="AT52" s="242">
        <f t="shared" si="17"/>
        <v>0</v>
      </c>
      <c r="AU52" s="242"/>
      <c r="AV52" s="242"/>
      <c r="AW52" s="242">
        <f t="shared" si="18"/>
        <v>0</v>
      </c>
      <c r="AX52" s="242"/>
      <c r="AY52" s="242"/>
      <c r="AZ52" s="242">
        <f t="shared" si="19"/>
        <v>0</v>
      </c>
      <c r="BA52" s="242"/>
      <c r="BB52" s="242"/>
      <c r="BC52" s="242">
        <f t="shared" si="20"/>
        <v>0</v>
      </c>
      <c r="BD52" s="242"/>
      <c r="BE52" s="242"/>
      <c r="BF52" s="242">
        <f t="shared" si="21"/>
        <v>0</v>
      </c>
      <c r="BG52" s="242">
        <f t="shared" si="22"/>
        <v>900000</v>
      </c>
      <c r="BH52" s="242"/>
      <c r="BI52" s="242">
        <f t="shared" si="23"/>
        <v>900000</v>
      </c>
      <c r="BJ52" s="242">
        <f t="shared" si="24"/>
        <v>0</v>
      </c>
      <c r="BK52" s="242">
        <f t="shared" si="25"/>
        <v>900000</v>
      </c>
      <c r="BL52" s="242"/>
      <c r="BM52" s="242"/>
      <c r="BN52" s="242">
        <f t="shared" si="26"/>
        <v>0</v>
      </c>
      <c r="BO52" s="242"/>
      <c r="BP52" s="242"/>
      <c r="BQ52" s="242">
        <f t="shared" si="27"/>
        <v>0</v>
      </c>
      <c r="BR52" s="242"/>
      <c r="BS52" s="242"/>
      <c r="BT52" s="415">
        <v>829000</v>
      </c>
      <c r="BU52" s="424"/>
      <c r="BV52" s="424"/>
      <c r="BW52" s="424"/>
      <c r="BZ52" s="431"/>
      <c r="CA52" s="337"/>
      <c r="CB52" s="337">
        <f t="shared" si="1"/>
        <v>900000</v>
      </c>
    </row>
    <row r="53" spans="1:85">
      <c r="A53" s="414">
        <f t="shared" si="28"/>
        <v>48</v>
      </c>
      <c r="B53" s="414">
        <v>1806</v>
      </c>
      <c r="C53" s="415" t="s">
        <v>278</v>
      </c>
      <c r="D53" s="416">
        <v>500000</v>
      </c>
      <c r="E53" s="337">
        <v>500000</v>
      </c>
      <c r="F53" s="337">
        <f t="shared" si="0"/>
        <v>0</v>
      </c>
      <c r="G53" s="337">
        <v>200000</v>
      </c>
      <c r="H53" s="337">
        <v>55809</v>
      </c>
      <c r="I53" s="337">
        <v>143325</v>
      </c>
      <c r="J53" s="337"/>
      <c r="K53" s="337">
        <f t="shared" si="31"/>
        <v>143325</v>
      </c>
      <c r="L53" s="337">
        <f t="shared" si="3"/>
        <v>199134</v>
      </c>
      <c r="M53" s="416">
        <f t="shared" si="4"/>
        <v>150866</v>
      </c>
      <c r="N53" s="416"/>
      <c r="O53" s="337">
        <f t="shared" si="5"/>
        <v>150000</v>
      </c>
      <c r="P53" s="337">
        <f t="shared" si="6"/>
        <v>866</v>
      </c>
      <c r="Q53" s="417">
        <v>150000</v>
      </c>
      <c r="R53" s="416"/>
      <c r="S53" s="337">
        <f t="shared" si="29"/>
        <v>150000</v>
      </c>
      <c r="T53" s="416">
        <f t="shared" si="8"/>
        <v>0</v>
      </c>
      <c r="U53" s="416">
        <f t="shared" si="30"/>
        <v>0</v>
      </c>
      <c r="V53" s="416">
        <f t="shared" si="10"/>
        <v>0</v>
      </c>
      <c r="W53" s="337"/>
      <c r="X53" s="337"/>
      <c r="Y53" s="415"/>
      <c r="Z53" s="242"/>
      <c r="AA53" s="242"/>
      <c r="AB53" s="242">
        <f t="shared" si="11"/>
        <v>0</v>
      </c>
      <c r="AC53" s="242"/>
      <c r="AD53" s="242"/>
      <c r="AE53" s="242">
        <f t="shared" si="12"/>
        <v>0</v>
      </c>
      <c r="AF53" s="241"/>
      <c r="AG53" s="241"/>
      <c r="AH53" s="242">
        <f t="shared" si="13"/>
        <v>0</v>
      </c>
      <c r="AI53" s="241"/>
      <c r="AJ53" s="242"/>
      <c r="AK53" s="242">
        <f t="shared" si="14"/>
        <v>0</v>
      </c>
      <c r="AL53" s="241"/>
      <c r="AM53" s="242"/>
      <c r="AN53" s="242">
        <f t="shared" si="15"/>
        <v>0</v>
      </c>
      <c r="AO53" s="241"/>
      <c r="AP53" s="242"/>
      <c r="AQ53" s="242">
        <f t="shared" si="16"/>
        <v>0</v>
      </c>
      <c r="AR53" s="241"/>
      <c r="AS53" s="242"/>
      <c r="AT53" s="242">
        <f t="shared" si="17"/>
        <v>0</v>
      </c>
      <c r="AU53" s="241"/>
      <c r="AV53" s="242"/>
      <c r="AW53" s="242">
        <f t="shared" si="18"/>
        <v>0</v>
      </c>
      <c r="AX53" s="241"/>
      <c r="AY53" s="242"/>
      <c r="AZ53" s="242">
        <f t="shared" si="19"/>
        <v>0</v>
      </c>
      <c r="BA53" s="241"/>
      <c r="BB53" s="242"/>
      <c r="BC53" s="242">
        <f t="shared" si="20"/>
        <v>0</v>
      </c>
      <c r="BD53" s="241"/>
      <c r="BE53" s="242"/>
      <c r="BF53" s="242">
        <f t="shared" si="21"/>
        <v>0</v>
      </c>
      <c r="BG53" s="242">
        <f t="shared" si="22"/>
        <v>0</v>
      </c>
      <c r="BH53" s="242"/>
      <c r="BI53" s="242">
        <f t="shared" si="23"/>
        <v>0</v>
      </c>
      <c r="BJ53" s="242">
        <f t="shared" si="24"/>
        <v>0</v>
      </c>
      <c r="BK53" s="242">
        <f t="shared" si="25"/>
        <v>0</v>
      </c>
      <c r="BL53" s="242"/>
      <c r="BM53" s="242"/>
      <c r="BN53" s="242">
        <f t="shared" si="26"/>
        <v>0</v>
      </c>
      <c r="BO53" s="242"/>
      <c r="BP53" s="242"/>
      <c r="BQ53" s="242">
        <f t="shared" si="27"/>
        <v>0</v>
      </c>
      <c r="BR53" s="242"/>
      <c r="BS53" s="242"/>
      <c r="BT53" s="414">
        <v>732000</v>
      </c>
      <c r="BU53" s="413"/>
      <c r="BV53" s="428"/>
      <c r="BW53" s="428"/>
      <c r="BX53" s="428"/>
      <c r="BY53" s="428"/>
      <c r="BZ53" s="429"/>
      <c r="CA53" s="337"/>
      <c r="CB53" s="337">
        <f t="shared" si="1"/>
        <v>0</v>
      </c>
      <c r="CC53" s="428"/>
      <c r="CD53" s="428"/>
      <c r="CE53" s="428"/>
      <c r="CF53" s="428"/>
      <c r="CG53" s="428"/>
    </row>
    <row r="54" spans="1:85">
      <c r="A54" s="414">
        <f t="shared" si="28"/>
        <v>49</v>
      </c>
      <c r="B54" s="414">
        <v>1807</v>
      </c>
      <c r="C54" s="415" t="s">
        <v>239</v>
      </c>
      <c r="D54" s="416">
        <v>2700000</v>
      </c>
      <c r="E54" s="337">
        <v>2700000</v>
      </c>
      <c r="F54" s="337">
        <f t="shared" si="0"/>
        <v>0</v>
      </c>
      <c r="G54" s="337">
        <v>2700000</v>
      </c>
      <c r="H54" s="337">
        <v>1341645</v>
      </c>
      <c r="I54" s="337">
        <v>1250892.97</v>
      </c>
      <c r="J54" s="337"/>
      <c r="K54" s="337">
        <f t="shared" si="31"/>
        <v>1250892.97</v>
      </c>
      <c r="L54" s="337">
        <f t="shared" si="3"/>
        <v>2592537.9699999997</v>
      </c>
      <c r="M54" s="416">
        <f t="shared" si="4"/>
        <v>107462.03000000026</v>
      </c>
      <c r="N54" s="416"/>
      <c r="O54" s="337">
        <f t="shared" si="5"/>
        <v>0</v>
      </c>
      <c r="P54" s="337">
        <f t="shared" si="6"/>
        <v>107462.03000000026</v>
      </c>
      <c r="Q54" s="337"/>
      <c r="R54" s="416"/>
      <c r="S54" s="337">
        <f t="shared" si="29"/>
        <v>0</v>
      </c>
      <c r="T54" s="416">
        <f t="shared" si="8"/>
        <v>0</v>
      </c>
      <c r="U54" s="416">
        <f t="shared" si="30"/>
        <v>0</v>
      </c>
      <c r="V54" s="416">
        <f t="shared" si="10"/>
        <v>0</v>
      </c>
      <c r="W54" s="337"/>
      <c r="X54" s="337"/>
      <c r="Y54" s="415"/>
      <c r="Z54" s="242"/>
      <c r="AA54" s="242"/>
      <c r="AB54" s="242">
        <f t="shared" si="11"/>
        <v>0</v>
      </c>
      <c r="AC54" s="242"/>
      <c r="AD54" s="242"/>
      <c r="AE54" s="242">
        <f t="shared" si="12"/>
        <v>0</v>
      </c>
      <c r="AF54" s="241"/>
      <c r="AG54" s="241"/>
      <c r="AH54" s="242">
        <f t="shared" si="13"/>
        <v>0</v>
      </c>
      <c r="AI54" s="241"/>
      <c r="AJ54" s="242"/>
      <c r="AK54" s="242">
        <f t="shared" si="14"/>
        <v>0</v>
      </c>
      <c r="AL54" s="241"/>
      <c r="AM54" s="242"/>
      <c r="AN54" s="242">
        <f t="shared" si="15"/>
        <v>0</v>
      </c>
      <c r="AO54" s="241"/>
      <c r="AP54" s="242"/>
      <c r="AQ54" s="242">
        <f t="shared" si="16"/>
        <v>0</v>
      </c>
      <c r="AR54" s="241"/>
      <c r="AS54" s="242"/>
      <c r="AT54" s="242">
        <f t="shared" si="17"/>
        <v>0</v>
      </c>
      <c r="AU54" s="241"/>
      <c r="AV54" s="242"/>
      <c r="AW54" s="242">
        <f t="shared" si="18"/>
        <v>0</v>
      </c>
      <c r="AX54" s="241"/>
      <c r="AY54" s="242"/>
      <c r="AZ54" s="242">
        <f t="shared" si="19"/>
        <v>0</v>
      </c>
      <c r="BA54" s="241"/>
      <c r="BB54" s="242"/>
      <c r="BC54" s="242">
        <f t="shared" si="20"/>
        <v>0</v>
      </c>
      <c r="BD54" s="241"/>
      <c r="BE54" s="242"/>
      <c r="BF54" s="242">
        <f t="shared" si="21"/>
        <v>0</v>
      </c>
      <c r="BG54" s="242">
        <f t="shared" si="22"/>
        <v>0</v>
      </c>
      <c r="BH54" s="242"/>
      <c r="BI54" s="242">
        <f t="shared" si="23"/>
        <v>0</v>
      </c>
      <c r="BJ54" s="242">
        <f t="shared" si="24"/>
        <v>0</v>
      </c>
      <c r="BK54" s="242">
        <f t="shared" si="25"/>
        <v>0</v>
      </c>
      <c r="BL54" s="242"/>
      <c r="BM54" s="242"/>
      <c r="BN54" s="242">
        <f t="shared" si="26"/>
        <v>0</v>
      </c>
      <c r="BO54" s="242"/>
      <c r="BP54" s="242"/>
      <c r="BQ54" s="242">
        <f t="shared" si="27"/>
        <v>0</v>
      </c>
      <c r="BR54" s="242"/>
      <c r="BS54" s="242"/>
      <c r="BT54" s="414">
        <v>742000</v>
      </c>
      <c r="BU54" s="413"/>
      <c r="BV54" s="428"/>
      <c r="BW54" s="428"/>
      <c r="BX54" s="428"/>
      <c r="BY54" s="428"/>
      <c r="BZ54" s="429"/>
      <c r="CA54" s="337"/>
      <c r="CB54" s="337">
        <f t="shared" si="1"/>
        <v>0</v>
      </c>
      <c r="CC54" s="428"/>
      <c r="CD54" s="428"/>
      <c r="CE54" s="428"/>
      <c r="CF54" s="428"/>
      <c r="CG54" s="428"/>
    </row>
    <row r="55" spans="1:85" ht="15.75">
      <c r="A55" s="414">
        <f t="shared" si="28"/>
        <v>50</v>
      </c>
      <c r="B55" s="414">
        <v>1808</v>
      </c>
      <c r="C55" s="415" t="s">
        <v>240</v>
      </c>
      <c r="D55" s="416">
        <v>1400000</v>
      </c>
      <c r="E55" s="337">
        <v>1400000</v>
      </c>
      <c r="F55" s="337">
        <f t="shared" si="0"/>
        <v>0</v>
      </c>
      <c r="G55" s="337">
        <v>1200000</v>
      </c>
      <c r="H55" s="337">
        <v>84723</v>
      </c>
      <c r="I55" s="337">
        <v>15275.49</v>
      </c>
      <c r="J55" s="337"/>
      <c r="K55" s="337">
        <f t="shared" si="31"/>
        <v>15275.49</v>
      </c>
      <c r="L55" s="337">
        <f t="shared" si="3"/>
        <v>99998.49</v>
      </c>
      <c r="M55" s="416">
        <f t="shared" si="4"/>
        <v>1300001.51</v>
      </c>
      <c r="N55" s="416"/>
      <c r="O55" s="337">
        <f t="shared" si="5"/>
        <v>0</v>
      </c>
      <c r="P55" s="337">
        <f t="shared" si="6"/>
        <v>1100001.51</v>
      </c>
      <c r="Q55" s="421">
        <v>200000</v>
      </c>
      <c r="R55" s="416"/>
      <c r="S55" s="337">
        <f t="shared" ref="S55:S76" si="32">SUM(Q55:R55)</f>
        <v>200000</v>
      </c>
      <c r="T55" s="416">
        <f t="shared" si="8"/>
        <v>0</v>
      </c>
      <c r="U55" s="416">
        <f t="shared" si="30"/>
        <v>0</v>
      </c>
      <c r="V55" s="416">
        <f>U55-W55-X55-Y55</f>
        <v>0</v>
      </c>
      <c r="W55" s="337"/>
      <c r="X55" s="337"/>
      <c r="Y55" s="415"/>
      <c r="Z55" s="242"/>
      <c r="AA55" s="242"/>
      <c r="AB55" s="242">
        <f t="shared" si="11"/>
        <v>0</v>
      </c>
      <c r="AC55" s="242"/>
      <c r="AD55" s="242"/>
      <c r="AE55" s="242">
        <f t="shared" si="12"/>
        <v>0</v>
      </c>
      <c r="AF55" s="241"/>
      <c r="AG55" s="241"/>
      <c r="AH55" s="242">
        <f t="shared" si="13"/>
        <v>0</v>
      </c>
      <c r="AI55" s="241"/>
      <c r="AJ55" s="242"/>
      <c r="AK55" s="242">
        <f t="shared" si="14"/>
        <v>0</v>
      </c>
      <c r="AL55" s="241"/>
      <c r="AM55" s="242"/>
      <c r="AN55" s="242">
        <f t="shared" si="15"/>
        <v>0</v>
      </c>
      <c r="AO55" s="241"/>
      <c r="AP55" s="242"/>
      <c r="AQ55" s="242">
        <f t="shared" si="16"/>
        <v>0</v>
      </c>
      <c r="AR55" s="241"/>
      <c r="AS55" s="242"/>
      <c r="AT55" s="242">
        <f t="shared" si="17"/>
        <v>0</v>
      </c>
      <c r="AU55" s="241"/>
      <c r="AV55" s="242"/>
      <c r="AW55" s="242">
        <f t="shared" si="18"/>
        <v>0</v>
      </c>
      <c r="AX55" s="241"/>
      <c r="AY55" s="242"/>
      <c r="AZ55" s="242">
        <f t="shared" si="19"/>
        <v>0</v>
      </c>
      <c r="BA55" s="241"/>
      <c r="BB55" s="242"/>
      <c r="BC55" s="242">
        <f t="shared" si="20"/>
        <v>0</v>
      </c>
      <c r="BD55" s="241"/>
      <c r="BE55" s="242"/>
      <c r="BF55" s="242">
        <f t="shared" si="21"/>
        <v>0</v>
      </c>
      <c r="BG55" s="242">
        <f t="shared" si="22"/>
        <v>0</v>
      </c>
      <c r="BH55" s="242"/>
      <c r="BI55" s="242">
        <f t="shared" si="23"/>
        <v>0</v>
      </c>
      <c r="BJ55" s="242">
        <f t="shared" si="24"/>
        <v>0</v>
      </c>
      <c r="BK55" s="242">
        <f t="shared" si="25"/>
        <v>0</v>
      </c>
      <c r="BL55" s="242"/>
      <c r="BM55" s="242"/>
      <c r="BN55" s="242">
        <f t="shared" si="26"/>
        <v>0</v>
      </c>
      <c r="BO55" s="242"/>
      <c r="BP55" s="242"/>
      <c r="BQ55" s="242">
        <f t="shared" si="27"/>
        <v>0</v>
      </c>
      <c r="BR55" s="242"/>
      <c r="BS55" s="242"/>
      <c r="BT55" s="414">
        <v>742000</v>
      </c>
      <c r="BU55" s="426"/>
      <c r="BV55" s="428"/>
      <c r="BW55" s="428"/>
      <c r="BX55" s="428"/>
      <c r="BY55" s="428"/>
      <c r="BZ55" s="432"/>
      <c r="CA55" s="337"/>
      <c r="CB55" s="337">
        <f t="shared" si="1"/>
        <v>0</v>
      </c>
    </row>
    <row r="56" spans="1:85" ht="15.75">
      <c r="A56" s="414">
        <f t="shared" si="28"/>
        <v>51</v>
      </c>
      <c r="B56" s="429">
        <v>1809</v>
      </c>
      <c r="C56" s="415" t="s">
        <v>241</v>
      </c>
      <c r="D56" s="416">
        <v>680000</v>
      </c>
      <c r="E56" s="337">
        <v>680000</v>
      </c>
      <c r="F56" s="337">
        <f t="shared" si="0"/>
        <v>0</v>
      </c>
      <c r="G56" s="337">
        <v>680000</v>
      </c>
      <c r="H56" s="337">
        <v>69535</v>
      </c>
      <c r="I56" s="337">
        <v>600.29999999999995</v>
      </c>
      <c r="J56" s="337"/>
      <c r="K56" s="337">
        <f t="shared" si="31"/>
        <v>600.29999999999995</v>
      </c>
      <c r="L56" s="337">
        <f t="shared" si="3"/>
        <v>70135.3</v>
      </c>
      <c r="M56" s="416">
        <f t="shared" si="4"/>
        <v>609864.69999999995</v>
      </c>
      <c r="N56" s="416"/>
      <c r="O56" s="337">
        <f t="shared" si="5"/>
        <v>0</v>
      </c>
      <c r="P56" s="337">
        <f t="shared" si="6"/>
        <v>609864.69999999995</v>
      </c>
      <c r="Q56" s="337"/>
      <c r="R56" s="416"/>
      <c r="S56" s="337">
        <f t="shared" si="32"/>
        <v>0</v>
      </c>
      <c r="T56" s="416">
        <f t="shared" si="8"/>
        <v>0</v>
      </c>
      <c r="U56" s="416">
        <f t="shared" si="30"/>
        <v>0</v>
      </c>
      <c r="V56" s="416">
        <f>U56-W56-X56-Y56</f>
        <v>0</v>
      </c>
      <c r="W56" s="337"/>
      <c r="X56" s="337"/>
      <c r="Y56" s="415"/>
      <c r="Z56" s="242"/>
      <c r="AA56" s="242"/>
      <c r="AB56" s="242">
        <f t="shared" si="11"/>
        <v>0</v>
      </c>
      <c r="AC56" s="242"/>
      <c r="AD56" s="242"/>
      <c r="AE56" s="242">
        <f t="shared" si="12"/>
        <v>0</v>
      </c>
      <c r="AF56" s="241"/>
      <c r="AG56" s="241"/>
      <c r="AH56" s="242">
        <f t="shared" si="13"/>
        <v>0</v>
      </c>
      <c r="AI56" s="241"/>
      <c r="AJ56" s="242"/>
      <c r="AK56" s="242">
        <f t="shared" si="14"/>
        <v>0</v>
      </c>
      <c r="AL56" s="241"/>
      <c r="AM56" s="242"/>
      <c r="AN56" s="242">
        <f t="shared" si="15"/>
        <v>0</v>
      </c>
      <c r="AO56" s="241"/>
      <c r="AP56" s="242"/>
      <c r="AQ56" s="242">
        <f t="shared" si="16"/>
        <v>0</v>
      </c>
      <c r="AR56" s="241"/>
      <c r="AS56" s="242"/>
      <c r="AT56" s="242">
        <f t="shared" si="17"/>
        <v>0</v>
      </c>
      <c r="AU56" s="241"/>
      <c r="AV56" s="242"/>
      <c r="AW56" s="242">
        <f t="shared" si="18"/>
        <v>0</v>
      </c>
      <c r="AX56" s="241"/>
      <c r="AY56" s="242"/>
      <c r="AZ56" s="242">
        <f t="shared" si="19"/>
        <v>0</v>
      </c>
      <c r="BA56" s="241"/>
      <c r="BB56" s="242"/>
      <c r="BC56" s="242">
        <f t="shared" si="20"/>
        <v>0</v>
      </c>
      <c r="BD56" s="241"/>
      <c r="BE56" s="242"/>
      <c r="BF56" s="242">
        <f t="shared" si="21"/>
        <v>0</v>
      </c>
      <c r="BG56" s="242">
        <f t="shared" si="22"/>
        <v>0</v>
      </c>
      <c r="BH56" s="242"/>
      <c r="BI56" s="242">
        <f t="shared" si="23"/>
        <v>0</v>
      </c>
      <c r="BJ56" s="242">
        <f t="shared" si="24"/>
        <v>0</v>
      </c>
      <c r="BK56" s="242">
        <f t="shared" si="25"/>
        <v>0</v>
      </c>
      <c r="BL56" s="242"/>
      <c r="BM56" s="242"/>
      <c r="BN56" s="242">
        <f t="shared" si="26"/>
        <v>0</v>
      </c>
      <c r="BO56" s="242"/>
      <c r="BP56" s="242"/>
      <c r="BQ56" s="242">
        <f t="shared" si="27"/>
        <v>0</v>
      </c>
      <c r="BR56" s="242"/>
      <c r="BS56" s="242"/>
      <c r="BT56" s="414">
        <v>742000</v>
      </c>
      <c r="BU56" s="426"/>
      <c r="BV56" s="428"/>
      <c r="BW56" s="242"/>
      <c r="BX56" s="428"/>
      <c r="BY56" s="428"/>
      <c r="BZ56" s="432"/>
      <c r="CA56" s="337"/>
      <c r="CB56" s="337">
        <f t="shared" si="1"/>
        <v>0</v>
      </c>
    </row>
    <row r="57" spans="1:85" ht="15.75">
      <c r="A57" s="414">
        <f t="shared" si="28"/>
        <v>52</v>
      </c>
      <c r="B57" s="433">
        <v>1819</v>
      </c>
      <c r="C57" s="415" t="s">
        <v>238</v>
      </c>
      <c r="D57" s="416">
        <v>18000000</v>
      </c>
      <c r="E57" s="337">
        <v>18000000</v>
      </c>
      <c r="F57" s="337">
        <f t="shared" si="0"/>
        <v>0</v>
      </c>
      <c r="G57" s="337">
        <v>200000</v>
      </c>
      <c r="H57" s="337">
        <v>44271.1</v>
      </c>
      <c r="I57" s="337">
        <v>149629.1</v>
      </c>
      <c r="J57" s="337"/>
      <c r="K57" s="337">
        <f t="shared" si="31"/>
        <v>149629.1</v>
      </c>
      <c r="L57" s="337">
        <f t="shared" si="3"/>
        <v>193900.2</v>
      </c>
      <c r="M57" s="416">
        <f t="shared" si="4"/>
        <v>6099.7999999999884</v>
      </c>
      <c r="N57" s="416">
        <f>17800000-7800000-5000000-3000000</f>
        <v>2000000</v>
      </c>
      <c r="O57" s="337">
        <f t="shared" si="5"/>
        <v>15800000</v>
      </c>
      <c r="P57" s="337">
        <f t="shared" si="6"/>
        <v>6099.7999999999884</v>
      </c>
      <c r="Q57" s="337"/>
      <c r="R57" s="416"/>
      <c r="S57" s="337">
        <f t="shared" si="32"/>
        <v>0</v>
      </c>
      <c r="T57" s="416">
        <f t="shared" si="8"/>
        <v>0</v>
      </c>
      <c r="U57" s="416">
        <f t="shared" si="30"/>
        <v>2000000</v>
      </c>
      <c r="V57" s="416">
        <f>U57-W57-X57-Y57</f>
        <v>2000000</v>
      </c>
      <c r="W57" s="337"/>
      <c r="X57" s="337"/>
      <c r="Y57" s="415"/>
      <c r="Z57" s="242"/>
      <c r="AA57" s="242"/>
      <c r="AB57" s="242">
        <f t="shared" si="11"/>
        <v>0</v>
      </c>
      <c r="AC57" s="242"/>
      <c r="AD57" s="242"/>
      <c r="AE57" s="242">
        <f t="shared" si="12"/>
        <v>0</v>
      </c>
      <c r="AF57" s="241"/>
      <c r="AG57" s="241"/>
      <c r="AH57" s="242">
        <f t="shared" si="13"/>
        <v>0</v>
      </c>
      <c r="AI57" s="241"/>
      <c r="AJ57" s="242">
        <v>200000</v>
      </c>
      <c r="AK57" s="242">
        <f t="shared" si="14"/>
        <v>200000</v>
      </c>
      <c r="AL57" s="241"/>
      <c r="AM57" s="242"/>
      <c r="AN57" s="242">
        <f t="shared" si="15"/>
        <v>0</v>
      </c>
      <c r="AO57" s="241"/>
      <c r="AP57" s="242"/>
      <c r="AQ57" s="242">
        <f t="shared" si="16"/>
        <v>0</v>
      </c>
      <c r="AR57" s="241"/>
      <c r="AS57" s="242"/>
      <c r="AT57" s="242">
        <f t="shared" si="17"/>
        <v>0</v>
      </c>
      <c r="AU57" s="241"/>
      <c r="AV57" s="242"/>
      <c r="AW57" s="242">
        <f t="shared" si="18"/>
        <v>0</v>
      </c>
      <c r="AX57" s="241"/>
      <c r="AY57" s="242"/>
      <c r="AZ57" s="242">
        <f t="shared" si="19"/>
        <v>0</v>
      </c>
      <c r="BA57" s="241"/>
      <c r="BB57" s="242"/>
      <c r="BC57" s="242">
        <f t="shared" si="20"/>
        <v>0</v>
      </c>
      <c r="BD57" s="242"/>
      <c r="BE57" s="242"/>
      <c r="BF57" s="242">
        <f t="shared" si="21"/>
        <v>0</v>
      </c>
      <c r="BG57" s="242">
        <f t="shared" si="22"/>
        <v>200000</v>
      </c>
      <c r="BH57" s="242">
        <v>1800000</v>
      </c>
      <c r="BI57" s="242">
        <f t="shared" si="23"/>
        <v>2000000</v>
      </c>
      <c r="BJ57" s="242">
        <f t="shared" si="24"/>
        <v>0</v>
      </c>
      <c r="BK57" s="242">
        <f t="shared" si="25"/>
        <v>2000000</v>
      </c>
      <c r="BL57" s="242"/>
      <c r="BM57" s="242"/>
      <c r="BN57" s="242">
        <f t="shared" si="26"/>
        <v>1800000</v>
      </c>
      <c r="BO57" s="242"/>
      <c r="BP57" s="242"/>
      <c r="BQ57" s="242">
        <f t="shared" si="27"/>
        <v>0</v>
      </c>
      <c r="BR57" s="242"/>
      <c r="BS57" s="242"/>
      <c r="BT57" s="414">
        <v>742000</v>
      </c>
      <c r="BU57" s="426"/>
      <c r="BV57" s="428"/>
      <c r="BW57" s="242"/>
      <c r="BX57" s="428"/>
      <c r="BY57" s="428"/>
      <c r="BZ57" s="432"/>
      <c r="CA57" s="337"/>
      <c r="CB57" s="422">
        <f t="shared" si="1"/>
        <v>2000000</v>
      </c>
    </row>
    <row r="58" spans="1:85" s="424" customFormat="1" ht="30">
      <c r="A58" s="414">
        <f t="shared" si="28"/>
        <v>53</v>
      </c>
      <c r="B58" s="415">
        <v>1825</v>
      </c>
      <c r="C58" s="410" t="s">
        <v>698</v>
      </c>
      <c r="D58" s="416">
        <f>23500000+11500000</f>
        <v>35000000</v>
      </c>
      <c r="E58" s="416">
        <v>23500000</v>
      </c>
      <c r="F58" s="337">
        <f t="shared" si="0"/>
        <v>11500000</v>
      </c>
      <c r="G58" s="416">
        <v>700000</v>
      </c>
      <c r="H58" s="416">
        <v>0</v>
      </c>
      <c r="I58" s="416">
        <v>30818.74</v>
      </c>
      <c r="J58" s="416"/>
      <c r="K58" s="416">
        <f>SUM(I58:J58)</f>
        <v>30818.74</v>
      </c>
      <c r="L58" s="416">
        <f t="shared" si="3"/>
        <v>30818.74</v>
      </c>
      <c r="M58" s="416">
        <f t="shared" si="4"/>
        <v>669181.26</v>
      </c>
      <c r="N58" s="416">
        <f>23000000-3000000-2000000-3000000-1000000</f>
        <v>14000000</v>
      </c>
      <c r="O58" s="416">
        <f t="shared" si="5"/>
        <v>20300000</v>
      </c>
      <c r="P58" s="416">
        <f t="shared" si="6"/>
        <v>669181.26</v>
      </c>
      <c r="Q58" s="416"/>
      <c r="R58" s="416"/>
      <c r="S58" s="416">
        <f>SUM(Q58:R58)</f>
        <v>0</v>
      </c>
      <c r="T58" s="416">
        <f t="shared" si="8"/>
        <v>0</v>
      </c>
      <c r="U58" s="416">
        <f t="shared" si="30"/>
        <v>14000000</v>
      </c>
      <c r="V58" s="416">
        <f>U58-Y58-W58-X58</f>
        <v>1537850.299999997</v>
      </c>
      <c r="W58" s="416"/>
      <c r="X58" s="416"/>
      <c r="Y58" s="416">
        <v>12462149.700000003</v>
      </c>
      <c r="Z58" s="242"/>
      <c r="AA58" s="242"/>
      <c r="AB58" s="242">
        <f t="shared" si="11"/>
        <v>0</v>
      </c>
      <c r="AC58" s="242"/>
      <c r="AD58" s="242"/>
      <c r="AE58" s="242">
        <f t="shared" si="12"/>
        <v>0</v>
      </c>
      <c r="AF58" s="241"/>
      <c r="AG58" s="241"/>
      <c r="AH58" s="242">
        <f t="shared" si="13"/>
        <v>0</v>
      </c>
      <c r="AI58" s="241"/>
      <c r="AJ58" s="242">
        <v>200000</v>
      </c>
      <c r="AK58" s="242">
        <f t="shared" si="14"/>
        <v>200000</v>
      </c>
      <c r="AL58" s="241"/>
      <c r="AM58" s="242"/>
      <c r="AN58" s="242">
        <f t="shared" si="15"/>
        <v>0</v>
      </c>
      <c r="AO58" s="242">
        <v>5000000</v>
      </c>
      <c r="AP58" s="242"/>
      <c r="AQ58" s="242">
        <f t="shared" si="16"/>
        <v>5000000</v>
      </c>
      <c r="AR58" s="242"/>
      <c r="AS58" s="242"/>
      <c r="AT58" s="242">
        <f t="shared" si="17"/>
        <v>0</v>
      </c>
      <c r="AU58" s="242"/>
      <c r="AV58" s="242"/>
      <c r="AW58" s="242">
        <f t="shared" si="18"/>
        <v>0</v>
      </c>
      <c r="AX58" s="242"/>
      <c r="AY58" s="242"/>
      <c r="AZ58" s="242">
        <f t="shared" si="19"/>
        <v>0</v>
      </c>
      <c r="BA58" s="242"/>
      <c r="BB58" s="242"/>
      <c r="BC58" s="242">
        <f t="shared" si="20"/>
        <v>0</v>
      </c>
      <c r="BD58" s="242">
        <f>1537850-720840</f>
        <v>817010</v>
      </c>
      <c r="BE58" s="242"/>
      <c r="BF58" s="242">
        <f t="shared" si="21"/>
        <v>817010</v>
      </c>
      <c r="BG58" s="242">
        <f t="shared" si="22"/>
        <v>6017010</v>
      </c>
      <c r="BH58" s="242"/>
      <c r="BI58" s="242">
        <f t="shared" si="23"/>
        <v>6017010</v>
      </c>
      <c r="BJ58" s="242">
        <f t="shared" si="24"/>
        <v>7982990</v>
      </c>
      <c r="BK58" s="242">
        <f t="shared" si="25"/>
        <v>1537850</v>
      </c>
      <c r="BL58" s="242"/>
      <c r="BM58" s="242">
        <v>4479160</v>
      </c>
      <c r="BN58" s="242">
        <f t="shared" si="26"/>
        <v>0</v>
      </c>
      <c r="BO58" s="242"/>
      <c r="BP58" s="242"/>
      <c r="BQ58" s="242">
        <f t="shared" si="27"/>
        <v>0</v>
      </c>
      <c r="BR58" s="242"/>
      <c r="BS58" s="242">
        <f>12462150-BM58</f>
        <v>7982990</v>
      </c>
      <c r="BT58" s="415">
        <v>810000</v>
      </c>
      <c r="BW58" s="434"/>
      <c r="BZ58" s="415"/>
      <c r="CA58" s="337"/>
      <c r="CB58" s="422">
        <f t="shared" si="1"/>
        <v>1537850.299999997</v>
      </c>
    </row>
    <row r="59" spans="1:85" ht="15.75">
      <c r="A59" s="414">
        <f t="shared" si="28"/>
        <v>54</v>
      </c>
      <c r="B59" s="435">
        <v>1833</v>
      </c>
      <c r="C59" s="415" t="s">
        <v>699</v>
      </c>
      <c r="D59" s="416">
        <v>20000000</v>
      </c>
      <c r="E59" s="337">
        <v>20000000</v>
      </c>
      <c r="F59" s="337">
        <f t="shared" si="0"/>
        <v>0</v>
      </c>
      <c r="G59" s="337">
        <v>0</v>
      </c>
      <c r="H59" s="337">
        <v>0</v>
      </c>
      <c r="I59" s="337"/>
      <c r="J59" s="337"/>
      <c r="K59" s="337">
        <f t="shared" si="31"/>
        <v>0</v>
      </c>
      <c r="L59" s="337">
        <f t="shared" si="3"/>
        <v>0</v>
      </c>
      <c r="M59" s="416">
        <f t="shared" si="4"/>
        <v>0</v>
      </c>
      <c r="N59" s="416">
        <f>2000000-1000000+19000000</f>
        <v>20000000</v>
      </c>
      <c r="O59" s="337">
        <f t="shared" si="5"/>
        <v>0</v>
      </c>
      <c r="P59" s="337">
        <f t="shared" si="6"/>
        <v>0</v>
      </c>
      <c r="Q59" s="337"/>
      <c r="R59" s="416"/>
      <c r="S59" s="337">
        <f t="shared" si="32"/>
        <v>0</v>
      </c>
      <c r="T59" s="416">
        <f t="shared" si="8"/>
        <v>0</v>
      </c>
      <c r="U59" s="416">
        <f t="shared" si="30"/>
        <v>20000000</v>
      </c>
      <c r="V59" s="416">
        <f>U59-W59-X59-Y59</f>
        <v>1000000</v>
      </c>
      <c r="W59" s="337"/>
      <c r="X59" s="337"/>
      <c r="Y59" s="416">
        <v>19000000</v>
      </c>
      <c r="Z59" s="242"/>
      <c r="AA59" s="242"/>
      <c r="AB59" s="242">
        <f t="shared" si="11"/>
        <v>0</v>
      </c>
      <c r="AC59" s="242"/>
      <c r="AD59" s="242"/>
      <c r="AE59" s="242">
        <f t="shared" si="12"/>
        <v>0</v>
      </c>
      <c r="AF59" s="14"/>
      <c r="AG59" s="14">
        <v>500000</v>
      </c>
      <c r="AH59" s="242">
        <f t="shared" si="13"/>
        <v>500000</v>
      </c>
      <c r="AI59" s="14"/>
      <c r="AJ59" s="242"/>
      <c r="AK59" s="242">
        <f t="shared" si="14"/>
        <v>0</v>
      </c>
      <c r="AL59" s="14"/>
      <c r="AM59" s="242"/>
      <c r="AN59" s="242">
        <f t="shared" si="15"/>
        <v>0</v>
      </c>
      <c r="AO59" s="14"/>
      <c r="AP59" s="242"/>
      <c r="AQ59" s="242">
        <f t="shared" si="16"/>
        <v>0</v>
      </c>
      <c r="AR59" s="14"/>
      <c r="AS59" s="242"/>
      <c r="AT59" s="242">
        <f t="shared" si="17"/>
        <v>0</v>
      </c>
      <c r="AU59" s="14"/>
      <c r="AV59" s="242"/>
      <c r="AW59" s="242">
        <f t="shared" si="18"/>
        <v>0</v>
      </c>
      <c r="AX59" s="14"/>
      <c r="AY59" s="242"/>
      <c r="AZ59" s="242">
        <f t="shared" si="19"/>
        <v>0</v>
      </c>
      <c r="BA59" s="14"/>
      <c r="BB59" s="242"/>
      <c r="BC59" s="242">
        <f t="shared" si="20"/>
        <v>0</v>
      </c>
      <c r="BD59" s="14"/>
      <c r="BE59" s="242"/>
      <c r="BF59" s="242">
        <f t="shared" si="21"/>
        <v>0</v>
      </c>
      <c r="BG59" s="242">
        <f t="shared" si="22"/>
        <v>500000</v>
      </c>
      <c r="BH59" s="242"/>
      <c r="BI59" s="242">
        <f t="shared" si="23"/>
        <v>500000</v>
      </c>
      <c r="BJ59" s="242">
        <f t="shared" si="24"/>
        <v>19500000</v>
      </c>
      <c r="BK59" s="242">
        <f t="shared" si="25"/>
        <v>500000</v>
      </c>
      <c r="BL59" s="242"/>
      <c r="BM59" s="242"/>
      <c r="BN59" s="242">
        <f t="shared" si="26"/>
        <v>0</v>
      </c>
      <c r="BO59" s="242"/>
      <c r="BP59" s="242"/>
      <c r="BQ59" s="242">
        <f t="shared" si="27"/>
        <v>500000</v>
      </c>
      <c r="BR59" s="242"/>
      <c r="BS59" s="242">
        <v>19000000</v>
      </c>
      <c r="BT59" s="414">
        <v>829000</v>
      </c>
      <c r="BU59" s="426"/>
      <c r="BV59" s="428"/>
      <c r="BW59" s="428"/>
      <c r="BX59" s="428"/>
      <c r="BY59" s="428"/>
      <c r="BZ59" s="432"/>
      <c r="CA59" s="337"/>
      <c r="CB59" s="422">
        <f t="shared" si="1"/>
        <v>1000000</v>
      </c>
    </row>
    <row r="60" spans="1:85" s="424" customFormat="1">
      <c r="A60" s="414">
        <f t="shared" si="28"/>
        <v>55</v>
      </c>
      <c r="B60" s="415">
        <v>1834</v>
      </c>
      <c r="C60" s="410" t="s">
        <v>248</v>
      </c>
      <c r="D60" s="416">
        <v>40000000</v>
      </c>
      <c r="E60" s="416">
        <v>40000000</v>
      </c>
      <c r="F60" s="337">
        <f t="shared" si="0"/>
        <v>0</v>
      </c>
      <c r="G60" s="416">
        <v>100000</v>
      </c>
      <c r="H60" s="416">
        <v>0</v>
      </c>
      <c r="I60" s="416">
        <v>31590</v>
      </c>
      <c r="J60" s="416"/>
      <c r="K60" s="416">
        <f>SUM(I60:J60)</f>
        <v>31590</v>
      </c>
      <c r="L60" s="416">
        <f t="shared" si="3"/>
        <v>31590</v>
      </c>
      <c r="M60" s="416">
        <f t="shared" si="4"/>
        <v>68410</v>
      </c>
      <c r="N60" s="416">
        <f>3000000-1000000</f>
        <v>2000000</v>
      </c>
      <c r="O60" s="416">
        <f t="shared" si="5"/>
        <v>37900000</v>
      </c>
      <c r="P60" s="416">
        <f t="shared" si="6"/>
        <v>68410</v>
      </c>
      <c r="Q60" s="416"/>
      <c r="R60" s="416"/>
      <c r="S60" s="416">
        <f>SUM(Q60:R60)</f>
        <v>0</v>
      </c>
      <c r="T60" s="416">
        <f t="shared" si="8"/>
        <v>0</v>
      </c>
      <c r="U60" s="416">
        <f t="shared" si="30"/>
        <v>2000000</v>
      </c>
      <c r="V60" s="416">
        <f>U60-Y60-W60-X60</f>
        <v>2000000</v>
      </c>
      <c r="W60" s="416"/>
      <c r="X60" s="416"/>
      <c r="Y60" s="415"/>
      <c r="Z60" s="242"/>
      <c r="AA60" s="242"/>
      <c r="AB60" s="242">
        <f t="shared" si="11"/>
        <v>0</v>
      </c>
      <c r="AC60" s="242"/>
      <c r="AD60" s="242"/>
      <c r="AE60" s="242">
        <f t="shared" si="12"/>
        <v>0</v>
      </c>
      <c r="AF60" s="241"/>
      <c r="AG60" s="14">
        <v>250000</v>
      </c>
      <c r="AH60" s="14">
        <f t="shared" si="13"/>
        <v>250000</v>
      </c>
      <c r="AI60" s="241"/>
      <c r="AJ60" s="242"/>
      <c r="AK60" s="242">
        <f t="shared" si="14"/>
        <v>0</v>
      </c>
      <c r="AL60" s="241"/>
      <c r="AM60" s="242"/>
      <c r="AN60" s="242">
        <f t="shared" si="15"/>
        <v>0</v>
      </c>
      <c r="AO60" s="241"/>
      <c r="AP60" s="242"/>
      <c r="AQ60" s="242">
        <f t="shared" si="16"/>
        <v>0</v>
      </c>
      <c r="AR60" s="241"/>
      <c r="AS60" s="242"/>
      <c r="AT60" s="242">
        <f t="shared" si="17"/>
        <v>0</v>
      </c>
      <c r="AU60" s="241"/>
      <c r="AV60" s="242"/>
      <c r="AW60" s="242">
        <f t="shared" si="18"/>
        <v>0</v>
      </c>
      <c r="AX60" s="241"/>
      <c r="AY60" s="242"/>
      <c r="AZ60" s="242">
        <f t="shared" si="19"/>
        <v>0</v>
      </c>
      <c r="BA60" s="241"/>
      <c r="BB60" s="242"/>
      <c r="BC60" s="242">
        <f t="shared" si="20"/>
        <v>0</v>
      </c>
      <c r="BD60" s="241"/>
      <c r="BE60" s="242"/>
      <c r="BF60" s="242">
        <f t="shared" si="21"/>
        <v>0</v>
      </c>
      <c r="BG60" s="242">
        <f t="shared" si="22"/>
        <v>250000</v>
      </c>
      <c r="BH60" s="242">
        <v>1750000</v>
      </c>
      <c r="BI60" s="242">
        <f t="shared" si="23"/>
        <v>2000000</v>
      </c>
      <c r="BJ60" s="242">
        <f t="shared" si="24"/>
        <v>0</v>
      </c>
      <c r="BK60" s="242">
        <f t="shared" si="25"/>
        <v>2000000</v>
      </c>
      <c r="BL60" s="242"/>
      <c r="BM60" s="242"/>
      <c r="BN60" s="242">
        <f t="shared" si="26"/>
        <v>1750000</v>
      </c>
      <c r="BO60" s="242"/>
      <c r="BP60" s="242"/>
      <c r="BQ60" s="242">
        <f t="shared" si="27"/>
        <v>0</v>
      </c>
      <c r="BR60" s="242"/>
      <c r="BS60" s="242"/>
      <c r="BT60" s="415">
        <v>824000</v>
      </c>
      <c r="BZ60" s="415"/>
      <c r="CA60" s="337"/>
      <c r="CB60" s="422">
        <f t="shared" si="1"/>
        <v>2000000</v>
      </c>
    </row>
    <row r="61" spans="1:85" s="424" customFormat="1">
      <c r="A61" s="414">
        <f t="shared" si="28"/>
        <v>56</v>
      </c>
      <c r="B61" s="415">
        <v>1835</v>
      </c>
      <c r="C61" s="410" t="s">
        <v>249</v>
      </c>
      <c r="D61" s="416">
        <v>30000000</v>
      </c>
      <c r="E61" s="416">
        <v>30000000</v>
      </c>
      <c r="F61" s="337">
        <f t="shared" si="0"/>
        <v>0</v>
      </c>
      <c r="G61" s="416">
        <v>400000</v>
      </c>
      <c r="H61" s="416">
        <v>43143</v>
      </c>
      <c r="I61" s="416">
        <v>59870</v>
      </c>
      <c r="J61" s="416"/>
      <c r="K61" s="416">
        <f>SUM(I61:J61)</f>
        <v>59870</v>
      </c>
      <c r="L61" s="416">
        <f t="shared" si="3"/>
        <v>103013</v>
      </c>
      <c r="M61" s="416">
        <f t="shared" si="4"/>
        <v>296987</v>
      </c>
      <c r="N61" s="416">
        <f>10000000-5000000-1000000-1000000</f>
        <v>3000000</v>
      </c>
      <c r="O61" s="416">
        <f t="shared" si="5"/>
        <v>26600000</v>
      </c>
      <c r="P61" s="416">
        <f t="shared" si="6"/>
        <v>296987</v>
      </c>
      <c r="Q61" s="416"/>
      <c r="R61" s="416"/>
      <c r="S61" s="416">
        <f>SUM(Q61:R61)</f>
        <v>0</v>
      </c>
      <c r="T61" s="416">
        <f t="shared" si="8"/>
        <v>0</v>
      </c>
      <c r="U61" s="416">
        <f t="shared" si="30"/>
        <v>3000000</v>
      </c>
      <c r="V61" s="416">
        <f>U61-Y61-W61-X61</f>
        <v>3000000</v>
      </c>
      <c r="W61" s="416"/>
      <c r="X61" s="416"/>
      <c r="Y61" s="415"/>
      <c r="Z61" s="242"/>
      <c r="AA61" s="242"/>
      <c r="AB61" s="242">
        <f t="shared" si="11"/>
        <v>0</v>
      </c>
      <c r="AC61" s="242"/>
      <c r="AD61" s="242"/>
      <c r="AE61" s="242">
        <f t="shared" si="12"/>
        <v>0</v>
      </c>
      <c r="AF61" s="241"/>
      <c r="AG61" s="14"/>
      <c r="AH61" s="14">
        <f t="shared" si="13"/>
        <v>0</v>
      </c>
      <c r="AI61" s="241"/>
      <c r="AJ61" s="242"/>
      <c r="AK61" s="242">
        <f t="shared" si="14"/>
        <v>0</v>
      </c>
      <c r="AL61" s="241"/>
      <c r="AM61" s="242"/>
      <c r="AN61" s="242">
        <f t="shared" si="15"/>
        <v>0</v>
      </c>
      <c r="AO61" s="241"/>
      <c r="AP61" s="242"/>
      <c r="AQ61" s="242">
        <f t="shared" si="16"/>
        <v>0</v>
      </c>
      <c r="AR61" s="241"/>
      <c r="AS61" s="242"/>
      <c r="AT61" s="242">
        <f t="shared" si="17"/>
        <v>0</v>
      </c>
      <c r="AU61" s="241"/>
      <c r="AV61" s="242"/>
      <c r="AW61" s="242">
        <f t="shared" si="18"/>
        <v>0</v>
      </c>
      <c r="AX61" s="241"/>
      <c r="AY61" s="242"/>
      <c r="AZ61" s="242">
        <f t="shared" si="19"/>
        <v>0</v>
      </c>
      <c r="BA61" s="241"/>
      <c r="BB61" s="242"/>
      <c r="BC61" s="242">
        <f t="shared" si="20"/>
        <v>0</v>
      </c>
      <c r="BD61" s="241"/>
      <c r="BE61" s="242">
        <v>200000</v>
      </c>
      <c r="BF61" s="242">
        <f t="shared" si="21"/>
        <v>200000</v>
      </c>
      <c r="BG61" s="242">
        <f t="shared" si="22"/>
        <v>200000</v>
      </c>
      <c r="BH61" s="242">
        <v>2800000</v>
      </c>
      <c r="BI61" s="242">
        <f t="shared" si="23"/>
        <v>3000000</v>
      </c>
      <c r="BJ61" s="242">
        <f t="shared" si="24"/>
        <v>0</v>
      </c>
      <c r="BK61" s="242">
        <f t="shared" si="25"/>
        <v>3000000</v>
      </c>
      <c r="BL61" s="242"/>
      <c r="BM61" s="242"/>
      <c r="BN61" s="242">
        <f t="shared" si="26"/>
        <v>2800000</v>
      </c>
      <c r="BO61" s="242"/>
      <c r="BP61" s="242"/>
      <c r="BQ61" s="242">
        <f t="shared" si="27"/>
        <v>0</v>
      </c>
      <c r="BR61" s="242"/>
      <c r="BS61" s="242"/>
      <c r="BT61" s="415">
        <v>824000</v>
      </c>
      <c r="BZ61" s="415"/>
      <c r="CA61" s="337"/>
      <c r="CB61" s="422">
        <f t="shared" si="1"/>
        <v>3000000</v>
      </c>
    </row>
    <row r="62" spans="1:85" s="424" customFormat="1">
      <c r="A62" s="414">
        <f t="shared" si="28"/>
        <v>57</v>
      </c>
      <c r="B62" s="415">
        <v>1836</v>
      </c>
      <c r="C62" s="410" t="s">
        <v>250</v>
      </c>
      <c r="D62" s="416">
        <v>500000</v>
      </c>
      <c r="E62" s="416">
        <v>500000</v>
      </c>
      <c r="F62" s="337">
        <f t="shared" si="0"/>
        <v>0</v>
      </c>
      <c r="G62" s="416">
        <v>0</v>
      </c>
      <c r="H62" s="416">
        <v>0</v>
      </c>
      <c r="I62" s="416"/>
      <c r="J62" s="416"/>
      <c r="K62" s="416">
        <f>SUM(I62:J62)</f>
        <v>0</v>
      </c>
      <c r="L62" s="416">
        <f t="shared" si="3"/>
        <v>0</v>
      </c>
      <c r="M62" s="416">
        <f t="shared" si="4"/>
        <v>500000</v>
      </c>
      <c r="N62" s="416"/>
      <c r="O62" s="416">
        <f t="shared" si="5"/>
        <v>0</v>
      </c>
      <c r="P62" s="416">
        <f t="shared" si="6"/>
        <v>0</v>
      </c>
      <c r="Q62" s="416">
        <v>500000</v>
      </c>
      <c r="R62" s="416"/>
      <c r="S62" s="416">
        <f>SUM(Q62:R62)</f>
        <v>500000</v>
      </c>
      <c r="T62" s="416">
        <f t="shared" si="8"/>
        <v>0</v>
      </c>
      <c r="U62" s="416">
        <f t="shared" si="30"/>
        <v>0</v>
      </c>
      <c r="V62" s="416">
        <f>U62-Y62-W62-X62</f>
        <v>0</v>
      </c>
      <c r="W62" s="416"/>
      <c r="X62" s="416"/>
      <c r="Y62" s="415"/>
      <c r="Z62" s="242"/>
      <c r="AA62" s="242"/>
      <c r="AB62" s="242">
        <f t="shared" si="11"/>
        <v>0</v>
      </c>
      <c r="AC62" s="242"/>
      <c r="AD62" s="242"/>
      <c r="AE62" s="242">
        <f t="shared" si="12"/>
        <v>0</v>
      </c>
      <c r="AF62" s="241"/>
      <c r="AG62" s="14"/>
      <c r="AH62" s="14">
        <f t="shared" si="13"/>
        <v>0</v>
      </c>
      <c r="AI62" s="241"/>
      <c r="AJ62" s="242"/>
      <c r="AK62" s="242">
        <f t="shared" si="14"/>
        <v>0</v>
      </c>
      <c r="AL62" s="241"/>
      <c r="AM62" s="242"/>
      <c r="AN62" s="242">
        <f t="shared" si="15"/>
        <v>0</v>
      </c>
      <c r="AO62" s="241"/>
      <c r="AP62" s="242"/>
      <c r="AQ62" s="242">
        <f t="shared" si="16"/>
        <v>0</v>
      </c>
      <c r="AR62" s="241"/>
      <c r="AS62" s="242"/>
      <c r="AT62" s="242">
        <f t="shared" si="17"/>
        <v>0</v>
      </c>
      <c r="AU62" s="241"/>
      <c r="AV62" s="242"/>
      <c r="AW62" s="242">
        <f t="shared" si="18"/>
        <v>0</v>
      </c>
      <c r="AX62" s="241"/>
      <c r="AY62" s="242"/>
      <c r="AZ62" s="242">
        <f t="shared" si="19"/>
        <v>0</v>
      </c>
      <c r="BA62" s="241"/>
      <c r="BB62" s="242"/>
      <c r="BC62" s="242">
        <f t="shared" si="20"/>
        <v>0</v>
      </c>
      <c r="BD62" s="241"/>
      <c r="BE62" s="242"/>
      <c r="BF62" s="242">
        <f t="shared" si="21"/>
        <v>0</v>
      </c>
      <c r="BG62" s="242">
        <f t="shared" si="22"/>
        <v>0</v>
      </c>
      <c r="BH62" s="242"/>
      <c r="BI62" s="242">
        <f t="shared" si="23"/>
        <v>0</v>
      </c>
      <c r="BJ62" s="242">
        <f t="shared" si="24"/>
        <v>0</v>
      </c>
      <c r="BK62" s="242">
        <f t="shared" si="25"/>
        <v>0</v>
      </c>
      <c r="BL62" s="242"/>
      <c r="BM62" s="242"/>
      <c r="BN62" s="242">
        <f t="shared" si="26"/>
        <v>0</v>
      </c>
      <c r="BO62" s="242"/>
      <c r="BP62" s="242"/>
      <c r="BQ62" s="242">
        <f t="shared" si="27"/>
        <v>0</v>
      </c>
      <c r="BR62" s="242"/>
      <c r="BS62" s="242"/>
      <c r="BT62" s="415">
        <v>930000</v>
      </c>
      <c r="BZ62" s="415"/>
      <c r="CA62" s="337"/>
      <c r="CB62" s="337">
        <f t="shared" si="1"/>
        <v>0</v>
      </c>
    </row>
    <row r="63" spans="1:85" ht="15.75">
      <c r="A63" s="414">
        <f t="shared" si="28"/>
        <v>58</v>
      </c>
      <c r="B63" s="433">
        <v>1837</v>
      </c>
      <c r="C63" s="415" t="s">
        <v>268</v>
      </c>
      <c r="D63" s="416">
        <v>3000000</v>
      </c>
      <c r="E63" s="337">
        <v>3000000</v>
      </c>
      <c r="F63" s="337">
        <f t="shared" si="0"/>
        <v>0</v>
      </c>
      <c r="G63" s="337">
        <v>0</v>
      </c>
      <c r="H63" s="337">
        <v>0</v>
      </c>
      <c r="I63" s="337"/>
      <c r="J63" s="337"/>
      <c r="K63" s="337">
        <f t="shared" si="31"/>
        <v>0</v>
      </c>
      <c r="L63" s="337">
        <f t="shared" si="3"/>
        <v>0</v>
      </c>
      <c r="M63" s="416">
        <f t="shared" si="4"/>
        <v>0</v>
      </c>
      <c r="N63" s="416">
        <f>3000000-1000000</f>
        <v>2000000</v>
      </c>
      <c r="O63" s="337">
        <f t="shared" si="5"/>
        <v>1000000</v>
      </c>
      <c r="P63" s="337">
        <f t="shared" si="6"/>
        <v>0</v>
      </c>
      <c r="Q63" s="337"/>
      <c r="R63" s="416"/>
      <c r="S63" s="337">
        <f t="shared" si="32"/>
        <v>0</v>
      </c>
      <c r="T63" s="416">
        <f t="shared" si="8"/>
        <v>0</v>
      </c>
      <c r="U63" s="416">
        <f t="shared" si="30"/>
        <v>2000000</v>
      </c>
      <c r="V63" s="416">
        <f t="shared" ref="V63:V70" si="33">U63-W63-X63-Y63</f>
        <v>2000000</v>
      </c>
      <c r="W63" s="337"/>
      <c r="X63" s="337"/>
      <c r="Y63" s="415"/>
      <c r="Z63" s="242"/>
      <c r="AA63" s="242"/>
      <c r="AB63" s="242">
        <f t="shared" si="11"/>
        <v>0</v>
      </c>
      <c r="AC63" s="242"/>
      <c r="AD63" s="242"/>
      <c r="AE63" s="242">
        <f t="shared" si="12"/>
        <v>0</v>
      </c>
      <c r="AF63" s="242"/>
      <c r="AG63" s="14">
        <v>100000</v>
      </c>
      <c r="AH63" s="14">
        <f t="shared" si="13"/>
        <v>100000</v>
      </c>
      <c r="AI63" s="242"/>
      <c r="AJ63" s="242"/>
      <c r="AK63" s="242">
        <f t="shared" si="14"/>
        <v>0</v>
      </c>
      <c r="AL63" s="242"/>
      <c r="AM63" s="242"/>
      <c r="AN63" s="242">
        <f t="shared" si="15"/>
        <v>0</v>
      </c>
      <c r="AO63" s="242"/>
      <c r="AP63" s="242"/>
      <c r="AQ63" s="242">
        <f t="shared" si="16"/>
        <v>0</v>
      </c>
      <c r="AR63" s="242"/>
      <c r="AS63" s="242"/>
      <c r="AT63" s="242">
        <f t="shared" si="17"/>
        <v>0</v>
      </c>
      <c r="AU63" s="242"/>
      <c r="AV63" s="242"/>
      <c r="AW63" s="242">
        <f t="shared" si="18"/>
        <v>0</v>
      </c>
      <c r="AX63" s="242"/>
      <c r="AY63" s="242">
        <v>75000</v>
      </c>
      <c r="AZ63" s="242">
        <f t="shared" si="19"/>
        <v>75000</v>
      </c>
      <c r="BA63" s="242"/>
      <c r="BB63" s="242"/>
      <c r="BC63" s="242">
        <f t="shared" si="20"/>
        <v>0</v>
      </c>
      <c r="BD63" s="242"/>
      <c r="BE63" s="242"/>
      <c r="BF63" s="242">
        <f t="shared" si="21"/>
        <v>0</v>
      </c>
      <c r="BG63" s="242">
        <f t="shared" si="22"/>
        <v>175000</v>
      </c>
      <c r="BH63" s="242">
        <v>1825000</v>
      </c>
      <c r="BI63" s="242">
        <f t="shared" si="23"/>
        <v>2000000</v>
      </c>
      <c r="BJ63" s="242">
        <f t="shared" si="24"/>
        <v>0</v>
      </c>
      <c r="BK63" s="242">
        <f t="shared" si="25"/>
        <v>2000000</v>
      </c>
      <c r="BL63" s="242"/>
      <c r="BM63" s="242"/>
      <c r="BN63" s="242">
        <f t="shared" si="26"/>
        <v>1825000</v>
      </c>
      <c r="BO63" s="242"/>
      <c r="BP63" s="242"/>
      <c r="BQ63" s="242">
        <f t="shared" si="27"/>
        <v>0</v>
      </c>
      <c r="BR63" s="242"/>
      <c r="BS63" s="242"/>
      <c r="BT63" s="414">
        <v>850000</v>
      </c>
      <c r="BU63" s="426"/>
      <c r="BV63" s="428"/>
      <c r="BW63" s="428"/>
      <c r="BX63" s="428"/>
      <c r="BY63" s="428"/>
      <c r="BZ63" s="432"/>
      <c r="CA63" s="337"/>
      <c r="CB63" s="422">
        <f t="shared" si="1"/>
        <v>2000000</v>
      </c>
    </row>
    <row r="64" spans="1:85" ht="15.75">
      <c r="A64" s="414">
        <f t="shared" si="28"/>
        <v>59</v>
      </c>
      <c r="B64" s="433">
        <v>1845</v>
      </c>
      <c r="C64" s="415" t="s">
        <v>269</v>
      </c>
      <c r="D64" s="416">
        <v>1500000</v>
      </c>
      <c r="E64" s="337">
        <v>1500000</v>
      </c>
      <c r="F64" s="337">
        <f t="shared" si="0"/>
        <v>0</v>
      </c>
      <c r="G64" s="337">
        <v>0</v>
      </c>
      <c r="H64" s="337">
        <v>0</v>
      </c>
      <c r="I64" s="337"/>
      <c r="J64" s="337"/>
      <c r="K64" s="337">
        <f t="shared" si="31"/>
        <v>0</v>
      </c>
      <c r="L64" s="337">
        <f t="shared" si="3"/>
        <v>0</v>
      </c>
      <c r="M64" s="416">
        <f t="shared" si="4"/>
        <v>200000</v>
      </c>
      <c r="N64" s="416">
        <v>200000</v>
      </c>
      <c r="O64" s="337">
        <f t="shared" si="5"/>
        <v>1100000</v>
      </c>
      <c r="P64" s="337">
        <f t="shared" si="6"/>
        <v>0</v>
      </c>
      <c r="Q64" s="417">
        <v>200000</v>
      </c>
      <c r="R64" s="416"/>
      <c r="S64" s="337">
        <f t="shared" si="32"/>
        <v>200000</v>
      </c>
      <c r="T64" s="416">
        <f t="shared" si="8"/>
        <v>0</v>
      </c>
      <c r="U64" s="416">
        <f t="shared" si="30"/>
        <v>200000</v>
      </c>
      <c r="V64" s="416">
        <f t="shared" si="33"/>
        <v>200000</v>
      </c>
      <c r="W64" s="337"/>
      <c r="X64" s="337"/>
      <c r="Y64" s="415"/>
      <c r="Z64" s="242"/>
      <c r="AA64" s="242"/>
      <c r="AB64" s="242">
        <f t="shared" si="11"/>
        <v>0</v>
      </c>
      <c r="AC64" s="242"/>
      <c r="AD64" s="242"/>
      <c r="AE64" s="242">
        <f t="shared" si="12"/>
        <v>0</v>
      </c>
      <c r="AF64" s="242"/>
      <c r="AG64" s="14"/>
      <c r="AH64" s="14">
        <f t="shared" si="13"/>
        <v>0</v>
      </c>
      <c r="AI64" s="242"/>
      <c r="AJ64" s="242"/>
      <c r="AK64" s="242">
        <f t="shared" si="14"/>
        <v>0</v>
      </c>
      <c r="AL64" s="242"/>
      <c r="AM64" s="242"/>
      <c r="AN64" s="242">
        <f t="shared" si="15"/>
        <v>0</v>
      </c>
      <c r="AO64" s="242"/>
      <c r="AP64" s="242"/>
      <c r="AQ64" s="242">
        <f t="shared" si="16"/>
        <v>0</v>
      </c>
      <c r="AR64" s="242"/>
      <c r="AS64" s="242"/>
      <c r="AT64" s="242">
        <f t="shared" si="17"/>
        <v>0</v>
      </c>
      <c r="AU64" s="242"/>
      <c r="AV64" s="242"/>
      <c r="AW64" s="242">
        <f t="shared" si="18"/>
        <v>0</v>
      </c>
      <c r="AX64" s="242"/>
      <c r="AY64" s="242"/>
      <c r="AZ64" s="242">
        <f t="shared" si="19"/>
        <v>0</v>
      </c>
      <c r="BA64" s="242"/>
      <c r="BB64" s="242"/>
      <c r="BC64" s="242">
        <f t="shared" si="20"/>
        <v>0</v>
      </c>
      <c r="BD64" s="242"/>
      <c r="BE64" s="242"/>
      <c r="BF64" s="242">
        <f t="shared" si="21"/>
        <v>0</v>
      </c>
      <c r="BG64" s="242">
        <f t="shared" si="22"/>
        <v>0</v>
      </c>
      <c r="BH64" s="242">
        <v>200000</v>
      </c>
      <c r="BI64" s="242">
        <f t="shared" si="23"/>
        <v>200000</v>
      </c>
      <c r="BJ64" s="242">
        <f t="shared" si="24"/>
        <v>0</v>
      </c>
      <c r="BK64" s="242">
        <f t="shared" si="25"/>
        <v>200000</v>
      </c>
      <c r="BL64" s="242"/>
      <c r="BM64" s="242"/>
      <c r="BN64" s="242">
        <f t="shared" si="26"/>
        <v>200000</v>
      </c>
      <c r="BO64" s="242"/>
      <c r="BP64" s="242"/>
      <c r="BQ64" s="242">
        <f t="shared" si="27"/>
        <v>0</v>
      </c>
      <c r="BR64" s="242"/>
      <c r="BS64" s="242"/>
      <c r="BT64" s="414">
        <v>742000</v>
      </c>
      <c r="BU64" s="426"/>
      <c r="BV64" s="428"/>
      <c r="BW64" s="428"/>
      <c r="BX64" s="428"/>
      <c r="BY64" s="428"/>
      <c r="BZ64" s="432"/>
      <c r="CA64" s="337"/>
      <c r="CB64" s="337">
        <f t="shared" si="1"/>
        <v>200000</v>
      </c>
    </row>
    <row r="65" spans="1:83" ht="15.75">
      <c r="A65" s="414">
        <f t="shared" si="28"/>
        <v>60</v>
      </c>
      <c r="B65" s="433">
        <v>1846</v>
      </c>
      <c r="C65" s="415" t="s">
        <v>270</v>
      </c>
      <c r="D65" s="416">
        <v>2500000</v>
      </c>
      <c r="E65" s="337">
        <v>2500000</v>
      </c>
      <c r="F65" s="337">
        <f t="shared" si="0"/>
        <v>0</v>
      </c>
      <c r="G65" s="337">
        <v>500000</v>
      </c>
      <c r="H65" s="337">
        <v>15502</v>
      </c>
      <c r="I65" s="337">
        <v>484497</v>
      </c>
      <c r="J65" s="337"/>
      <c r="K65" s="337">
        <f t="shared" si="31"/>
        <v>484497</v>
      </c>
      <c r="L65" s="337">
        <f t="shared" si="3"/>
        <v>499999</v>
      </c>
      <c r="M65" s="416">
        <f t="shared" si="4"/>
        <v>2000001</v>
      </c>
      <c r="N65" s="416"/>
      <c r="O65" s="337">
        <f t="shared" si="5"/>
        <v>0</v>
      </c>
      <c r="P65" s="337">
        <f t="shared" si="6"/>
        <v>1</v>
      </c>
      <c r="Q65" s="337"/>
      <c r="R65" s="417">
        <v>2000000</v>
      </c>
      <c r="S65" s="337">
        <f t="shared" si="32"/>
        <v>2000000</v>
      </c>
      <c r="T65" s="416">
        <f t="shared" si="8"/>
        <v>0</v>
      </c>
      <c r="U65" s="416">
        <f t="shared" si="30"/>
        <v>0</v>
      </c>
      <c r="V65" s="416">
        <f t="shared" si="33"/>
        <v>0</v>
      </c>
      <c r="W65" s="337"/>
      <c r="X65" s="337"/>
      <c r="Y65" s="415"/>
      <c r="Z65" s="242"/>
      <c r="AA65" s="242"/>
      <c r="AB65" s="242">
        <f t="shared" si="11"/>
        <v>0</v>
      </c>
      <c r="AC65" s="242"/>
      <c r="AD65" s="242"/>
      <c r="AE65" s="242">
        <f t="shared" si="12"/>
        <v>0</v>
      </c>
      <c r="AF65" s="241"/>
      <c r="AG65" s="14"/>
      <c r="AH65" s="14">
        <f t="shared" si="13"/>
        <v>0</v>
      </c>
      <c r="AI65" s="241"/>
      <c r="AJ65" s="242"/>
      <c r="AK65" s="242">
        <f t="shared" si="14"/>
        <v>0</v>
      </c>
      <c r="AL65" s="241"/>
      <c r="AM65" s="242"/>
      <c r="AN65" s="242">
        <f t="shared" si="15"/>
        <v>0</v>
      </c>
      <c r="AO65" s="241"/>
      <c r="AP65" s="242"/>
      <c r="AQ65" s="242">
        <f t="shared" si="16"/>
        <v>0</v>
      </c>
      <c r="AR65" s="241"/>
      <c r="AS65" s="242"/>
      <c r="AT65" s="242">
        <f t="shared" si="17"/>
        <v>0</v>
      </c>
      <c r="AU65" s="241"/>
      <c r="AV65" s="242"/>
      <c r="AW65" s="242">
        <f t="shared" si="18"/>
        <v>0</v>
      </c>
      <c r="AX65" s="241"/>
      <c r="AY65" s="242"/>
      <c r="AZ65" s="242">
        <f t="shared" si="19"/>
        <v>0</v>
      </c>
      <c r="BA65" s="241"/>
      <c r="BB65" s="242"/>
      <c r="BC65" s="242">
        <f t="shared" si="20"/>
        <v>0</v>
      </c>
      <c r="BD65" s="241"/>
      <c r="BE65" s="242"/>
      <c r="BF65" s="242">
        <f t="shared" si="21"/>
        <v>0</v>
      </c>
      <c r="BG65" s="242">
        <f t="shared" si="22"/>
        <v>0</v>
      </c>
      <c r="BH65" s="242"/>
      <c r="BI65" s="242">
        <f t="shared" si="23"/>
        <v>0</v>
      </c>
      <c r="BJ65" s="242">
        <f t="shared" si="24"/>
        <v>0</v>
      </c>
      <c r="BK65" s="242">
        <f t="shared" si="25"/>
        <v>0</v>
      </c>
      <c r="BL65" s="242"/>
      <c r="BM65" s="242"/>
      <c r="BN65" s="242">
        <f t="shared" si="26"/>
        <v>0</v>
      </c>
      <c r="BO65" s="242"/>
      <c r="BP65" s="242"/>
      <c r="BQ65" s="242">
        <f t="shared" si="27"/>
        <v>0</v>
      </c>
      <c r="BR65" s="242"/>
      <c r="BS65" s="242"/>
      <c r="BT65" s="414">
        <v>732000</v>
      </c>
      <c r="BU65" s="426"/>
      <c r="BV65" s="428"/>
      <c r="BW65" s="428"/>
      <c r="BX65" s="428"/>
      <c r="BY65" s="428"/>
      <c r="BZ65" s="432"/>
      <c r="CA65" s="432"/>
      <c r="CB65" s="337">
        <f t="shared" si="1"/>
        <v>0</v>
      </c>
    </row>
    <row r="66" spans="1:83" ht="15.75">
      <c r="A66" s="414">
        <f t="shared" si="28"/>
        <v>61</v>
      </c>
      <c r="B66" s="433">
        <v>1847</v>
      </c>
      <c r="C66" s="415" t="s">
        <v>700</v>
      </c>
      <c r="D66" s="416">
        <f>7200000+140000</f>
        <v>7340000</v>
      </c>
      <c r="E66" s="337">
        <f>7200000+140000</f>
        <v>7340000</v>
      </c>
      <c r="F66" s="337">
        <f t="shared" si="0"/>
        <v>0</v>
      </c>
      <c r="G66" s="337">
        <f>2600000+1000000</f>
        <v>3600000</v>
      </c>
      <c r="H66" s="337">
        <v>2500752</v>
      </c>
      <c r="I66" s="337">
        <v>1097352</v>
      </c>
      <c r="J66" s="337"/>
      <c r="K66" s="337">
        <f t="shared" si="31"/>
        <v>1097352</v>
      </c>
      <c r="L66" s="337">
        <f t="shared" si="3"/>
        <v>3598104</v>
      </c>
      <c r="M66" s="416">
        <f t="shared" si="4"/>
        <v>3741896</v>
      </c>
      <c r="N66" s="416"/>
      <c r="O66" s="337">
        <f t="shared" si="5"/>
        <v>0</v>
      </c>
      <c r="P66" s="337">
        <f t="shared" si="6"/>
        <v>1896</v>
      </c>
      <c r="Q66" s="337">
        <f>1000000-1000000</f>
        <v>0</v>
      </c>
      <c r="R66" s="420">
        <v>3740000</v>
      </c>
      <c r="S66" s="337">
        <f t="shared" si="32"/>
        <v>3740000</v>
      </c>
      <c r="T66" s="416">
        <f t="shared" si="8"/>
        <v>0</v>
      </c>
      <c r="U66" s="416">
        <f t="shared" si="30"/>
        <v>0</v>
      </c>
      <c r="V66" s="416">
        <f t="shared" si="33"/>
        <v>0</v>
      </c>
      <c r="W66" s="337"/>
      <c r="X66" s="337"/>
      <c r="Y66" s="415"/>
      <c r="Z66" s="242"/>
      <c r="AA66" s="242"/>
      <c r="AB66" s="242">
        <f t="shared" si="11"/>
        <v>0</v>
      </c>
      <c r="AC66" s="242"/>
      <c r="AD66" s="242"/>
      <c r="AE66" s="242">
        <f t="shared" si="12"/>
        <v>0</v>
      </c>
      <c r="AF66" s="241"/>
      <c r="AG66" s="14"/>
      <c r="AH66" s="14">
        <f t="shared" si="13"/>
        <v>0</v>
      </c>
      <c r="AI66" s="241"/>
      <c r="AJ66" s="242"/>
      <c r="AK66" s="242">
        <f t="shared" si="14"/>
        <v>0</v>
      </c>
      <c r="AL66" s="241"/>
      <c r="AM66" s="242"/>
      <c r="AN66" s="242">
        <f t="shared" si="15"/>
        <v>0</v>
      </c>
      <c r="AO66" s="241"/>
      <c r="AP66" s="242"/>
      <c r="AQ66" s="242">
        <f t="shared" si="16"/>
        <v>0</v>
      </c>
      <c r="AR66" s="241"/>
      <c r="AS66" s="242"/>
      <c r="AT66" s="242">
        <f t="shared" si="17"/>
        <v>0</v>
      </c>
      <c r="AU66" s="241"/>
      <c r="AV66" s="242"/>
      <c r="AW66" s="242">
        <f t="shared" si="18"/>
        <v>0</v>
      </c>
      <c r="AX66" s="241"/>
      <c r="AY66" s="242"/>
      <c r="AZ66" s="242">
        <f t="shared" si="19"/>
        <v>0</v>
      </c>
      <c r="BA66" s="241"/>
      <c r="BB66" s="242"/>
      <c r="BC66" s="242">
        <f t="shared" si="20"/>
        <v>0</v>
      </c>
      <c r="BD66" s="241"/>
      <c r="BE66" s="242"/>
      <c r="BF66" s="242">
        <f t="shared" si="21"/>
        <v>0</v>
      </c>
      <c r="BG66" s="242">
        <f t="shared" si="22"/>
        <v>0</v>
      </c>
      <c r="BH66" s="242"/>
      <c r="BI66" s="242">
        <f t="shared" si="23"/>
        <v>0</v>
      </c>
      <c r="BJ66" s="242">
        <f t="shared" si="24"/>
        <v>0</v>
      </c>
      <c r="BK66" s="242">
        <f t="shared" si="25"/>
        <v>0</v>
      </c>
      <c r="BL66" s="242"/>
      <c r="BM66" s="242"/>
      <c r="BN66" s="242">
        <f t="shared" si="26"/>
        <v>0</v>
      </c>
      <c r="BO66" s="242"/>
      <c r="BP66" s="242"/>
      <c r="BQ66" s="242">
        <f t="shared" si="27"/>
        <v>0</v>
      </c>
      <c r="BR66" s="242"/>
      <c r="BS66" s="242"/>
      <c r="BT66" s="414">
        <v>810000</v>
      </c>
      <c r="BU66" s="426"/>
      <c r="BV66" s="428"/>
      <c r="BW66" s="428"/>
      <c r="BX66" s="428"/>
      <c r="BY66" s="428"/>
      <c r="BZ66" s="432"/>
      <c r="CA66" s="432"/>
      <c r="CB66" s="337">
        <f t="shared" si="1"/>
        <v>0</v>
      </c>
    </row>
    <row r="67" spans="1:83" s="413" customFormat="1" ht="30">
      <c r="A67" s="414">
        <f t="shared" si="28"/>
        <v>62</v>
      </c>
      <c r="B67" s="414">
        <v>1854</v>
      </c>
      <c r="C67" s="415" t="s">
        <v>701</v>
      </c>
      <c r="D67" s="416">
        <v>5600000</v>
      </c>
      <c r="E67" s="337">
        <v>8000000</v>
      </c>
      <c r="F67" s="337">
        <f t="shared" si="0"/>
        <v>-2400000</v>
      </c>
      <c r="G67" s="337">
        <v>200000</v>
      </c>
      <c r="H67" s="337">
        <v>10033</v>
      </c>
      <c r="I67" s="337">
        <v>189922</v>
      </c>
      <c r="J67" s="337"/>
      <c r="K67" s="337">
        <f>SUM(I67:J67)</f>
        <v>189922</v>
      </c>
      <c r="L67" s="337">
        <f t="shared" si="3"/>
        <v>199955</v>
      </c>
      <c r="M67" s="416">
        <f t="shared" si="4"/>
        <v>2401165</v>
      </c>
      <c r="N67" s="416">
        <v>2998880</v>
      </c>
      <c r="O67" s="337">
        <f t="shared" si="5"/>
        <v>0</v>
      </c>
      <c r="P67" s="337">
        <f t="shared" si="6"/>
        <v>45</v>
      </c>
      <c r="Q67" s="417">
        <v>2401120</v>
      </c>
      <c r="R67" s="337"/>
      <c r="S67" s="337">
        <f t="shared" si="32"/>
        <v>2401120</v>
      </c>
      <c r="T67" s="416">
        <f t="shared" si="8"/>
        <v>0</v>
      </c>
      <c r="U67" s="416">
        <f t="shared" si="30"/>
        <v>2998880</v>
      </c>
      <c r="V67" s="416">
        <f t="shared" si="33"/>
        <v>2998880</v>
      </c>
      <c r="W67" s="337"/>
      <c r="X67" s="337"/>
      <c r="Y67" s="416"/>
      <c r="Z67" s="242"/>
      <c r="AA67" s="242"/>
      <c r="AB67" s="242">
        <f t="shared" si="11"/>
        <v>0</v>
      </c>
      <c r="AC67" s="242"/>
      <c r="AD67" s="242"/>
      <c r="AE67" s="242">
        <f t="shared" si="12"/>
        <v>0</v>
      </c>
      <c r="AF67" s="241"/>
      <c r="AG67" s="241"/>
      <c r="AH67" s="242">
        <f t="shared" si="13"/>
        <v>0</v>
      </c>
      <c r="AI67" s="241"/>
      <c r="AJ67" s="242"/>
      <c r="AK67" s="242">
        <f t="shared" si="14"/>
        <v>0</v>
      </c>
      <c r="AL67" s="241"/>
      <c r="AM67" s="242"/>
      <c r="AN67" s="242">
        <f t="shared" si="15"/>
        <v>0</v>
      </c>
      <c r="AO67" s="242">
        <v>1750000</v>
      </c>
      <c r="AP67" s="242">
        <v>250000</v>
      </c>
      <c r="AQ67" s="242">
        <f t="shared" si="16"/>
        <v>2000000</v>
      </c>
      <c r="AR67" s="242"/>
      <c r="AS67" s="242"/>
      <c r="AT67" s="242">
        <f t="shared" si="17"/>
        <v>0</v>
      </c>
      <c r="AU67" s="242"/>
      <c r="AV67" s="242"/>
      <c r="AW67" s="242">
        <f t="shared" si="18"/>
        <v>0</v>
      </c>
      <c r="AX67" s="242"/>
      <c r="AY67" s="242"/>
      <c r="AZ67" s="242">
        <f t="shared" si="19"/>
        <v>0</v>
      </c>
      <c r="BA67" s="242"/>
      <c r="BB67" s="242"/>
      <c r="BC67" s="242">
        <f t="shared" si="20"/>
        <v>0</v>
      </c>
      <c r="BD67" s="242">
        <v>998880</v>
      </c>
      <c r="BE67" s="242"/>
      <c r="BF67" s="242">
        <f t="shared" si="21"/>
        <v>998880</v>
      </c>
      <c r="BG67" s="242">
        <f t="shared" si="22"/>
        <v>2998880</v>
      </c>
      <c r="BH67" s="242"/>
      <c r="BI67" s="242">
        <f t="shared" si="23"/>
        <v>2998880</v>
      </c>
      <c r="BJ67" s="242">
        <f t="shared" si="24"/>
        <v>0</v>
      </c>
      <c r="BK67" s="242">
        <f t="shared" si="25"/>
        <v>2998880</v>
      </c>
      <c r="BL67" s="242"/>
      <c r="BM67" s="242"/>
      <c r="BN67" s="242">
        <f t="shared" si="26"/>
        <v>0</v>
      </c>
      <c r="BO67" s="242"/>
      <c r="BP67" s="242"/>
      <c r="BQ67" s="242">
        <f t="shared" si="27"/>
        <v>0</v>
      </c>
      <c r="BR67" s="242"/>
      <c r="BS67" s="242"/>
      <c r="BT67" s="436">
        <v>810000</v>
      </c>
      <c r="BU67" s="437"/>
      <c r="BZ67" s="414"/>
      <c r="CA67" s="414"/>
      <c r="CB67" s="337">
        <f t="shared" si="1"/>
        <v>2998880</v>
      </c>
    </row>
    <row r="68" spans="1:83" ht="15.75">
      <c r="A68" s="414">
        <f t="shared" si="28"/>
        <v>63</v>
      </c>
      <c r="B68" s="433">
        <v>1894</v>
      </c>
      <c r="C68" s="415" t="s">
        <v>702</v>
      </c>
      <c r="D68" s="416">
        <f>3600000+3500000</f>
        <v>7100000</v>
      </c>
      <c r="E68" s="337">
        <v>7100000</v>
      </c>
      <c r="F68" s="337">
        <f t="shared" si="0"/>
        <v>0</v>
      </c>
      <c r="G68" s="337">
        <v>700000</v>
      </c>
      <c r="H68" s="337">
        <v>63175</v>
      </c>
      <c r="I68" s="337">
        <v>636601.21</v>
      </c>
      <c r="J68" s="337"/>
      <c r="K68" s="337">
        <f t="shared" si="31"/>
        <v>636601.21</v>
      </c>
      <c r="L68" s="337">
        <f t="shared" si="3"/>
        <v>699776.21</v>
      </c>
      <c r="M68" s="416">
        <f t="shared" si="4"/>
        <v>6400223.79</v>
      </c>
      <c r="N68" s="416"/>
      <c r="O68" s="337">
        <f t="shared" si="5"/>
        <v>0</v>
      </c>
      <c r="P68" s="337">
        <f t="shared" si="6"/>
        <v>223.79000000003725</v>
      </c>
      <c r="Q68" s="337"/>
      <c r="R68" s="417">
        <f>2900000+3500000</f>
        <v>6400000</v>
      </c>
      <c r="S68" s="337">
        <f t="shared" si="32"/>
        <v>6400000</v>
      </c>
      <c r="T68" s="416">
        <f t="shared" si="8"/>
        <v>0</v>
      </c>
      <c r="U68" s="416">
        <f t="shared" si="30"/>
        <v>0</v>
      </c>
      <c r="V68" s="416">
        <f t="shared" si="33"/>
        <v>0</v>
      </c>
      <c r="W68" s="337"/>
      <c r="X68" s="337"/>
      <c r="Y68" s="415"/>
      <c r="Z68" s="242"/>
      <c r="AA68" s="242"/>
      <c r="AB68" s="242">
        <f t="shared" si="11"/>
        <v>0</v>
      </c>
      <c r="AC68" s="242"/>
      <c r="AD68" s="242"/>
      <c r="AE68" s="242">
        <f t="shared" si="12"/>
        <v>0</v>
      </c>
      <c r="AF68" s="241"/>
      <c r="AG68" s="241"/>
      <c r="AH68" s="242">
        <f t="shared" si="13"/>
        <v>0</v>
      </c>
      <c r="AI68" s="241"/>
      <c r="AJ68" s="242"/>
      <c r="AK68" s="242">
        <f t="shared" si="14"/>
        <v>0</v>
      </c>
      <c r="AL68" s="241"/>
      <c r="AM68" s="242"/>
      <c r="AN68" s="242">
        <f t="shared" si="15"/>
        <v>0</v>
      </c>
      <c r="AO68" s="241"/>
      <c r="AP68" s="242"/>
      <c r="AQ68" s="242">
        <f t="shared" si="16"/>
        <v>0</v>
      </c>
      <c r="AR68" s="241"/>
      <c r="AS68" s="242"/>
      <c r="AT68" s="242">
        <f t="shared" si="17"/>
        <v>0</v>
      </c>
      <c r="AU68" s="241"/>
      <c r="AV68" s="242"/>
      <c r="AW68" s="242">
        <f t="shared" si="18"/>
        <v>0</v>
      </c>
      <c r="AX68" s="241"/>
      <c r="AY68" s="242"/>
      <c r="AZ68" s="242">
        <f t="shared" si="19"/>
        <v>0</v>
      </c>
      <c r="BA68" s="241"/>
      <c r="BB68" s="242"/>
      <c r="BC68" s="242">
        <f t="shared" si="20"/>
        <v>0</v>
      </c>
      <c r="BD68" s="241"/>
      <c r="BE68" s="242"/>
      <c r="BF68" s="242">
        <f t="shared" si="21"/>
        <v>0</v>
      </c>
      <c r="BG68" s="242">
        <f t="shared" si="22"/>
        <v>0</v>
      </c>
      <c r="BH68" s="242"/>
      <c r="BI68" s="242">
        <f t="shared" si="23"/>
        <v>0</v>
      </c>
      <c r="BJ68" s="242">
        <f t="shared" si="24"/>
        <v>0</v>
      </c>
      <c r="BK68" s="242">
        <f t="shared" si="25"/>
        <v>0</v>
      </c>
      <c r="BL68" s="242"/>
      <c r="BM68" s="242"/>
      <c r="BN68" s="242">
        <f t="shared" si="26"/>
        <v>0</v>
      </c>
      <c r="BO68" s="242"/>
      <c r="BP68" s="242"/>
      <c r="BQ68" s="242">
        <f t="shared" si="27"/>
        <v>0</v>
      </c>
      <c r="BR68" s="242"/>
      <c r="BS68" s="242"/>
      <c r="BT68" s="414">
        <v>810000</v>
      </c>
      <c r="BU68" s="426"/>
      <c r="BV68" s="428"/>
      <c r="BW68" s="428"/>
      <c r="BX68" s="428"/>
      <c r="BY68" s="428"/>
      <c r="BZ68" s="432"/>
      <c r="CA68" s="432"/>
      <c r="CB68" s="337">
        <f t="shared" si="1"/>
        <v>0</v>
      </c>
    </row>
    <row r="69" spans="1:83" ht="30">
      <c r="A69" s="414">
        <f t="shared" si="28"/>
        <v>64</v>
      </c>
      <c r="B69" s="433">
        <v>1896</v>
      </c>
      <c r="C69" s="415" t="s">
        <v>297</v>
      </c>
      <c r="D69" s="416">
        <v>18560000</v>
      </c>
      <c r="E69" s="337">
        <v>18560000</v>
      </c>
      <c r="F69" s="337">
        <f t="shared" si="0"/>
        <v>0</v>
      </c>
      <c r="G69" s="337">
        <v>0</v>
      </c>
      <c r="H69" s="337">
        <v>0</v>
      </c>
      <c r="I69" s="337"/>
      <c r="J69" s="337"/>
      <c r="K69" s="337">
        <f t="shared" si="31"/>
        <v>0</v>
      </c>
      <c r="L69" s="337">
        <f t="shared" si="3"/>
        <v>0</v>
      </c>
      <c r="M69" s="416">
        <f t="shared" si="4"/>
        <v>0</v>
      </c>
      <c r="N69" s="416">
        <f>4000000-2000000-1000000</f>
        <v>1000000</v>
      </c>
      <c r="O69" s="337">
        <f t="shared" si="5"/>
        <v>17560000</v>
      </c>
      <c r="P69" s="337">
        <f t="shared" si="6"/>
        <v>0</v>
      </c>
      <c r="Q69" s="337"/>
      <c r="R69" s="416"/>
      <c r="S69" s="337">
        <f t="shared" si="32"/>
        <v>0</v>
      </c>
      <c r="T69" s="416">
        <f t="shared" si="8"/>
        <v>0</v>
      </c>
      <c r="U69" s="416">
        <f t="shared" si="30"/>
        <v>1000000</v>
      </c>
      <c r="V69" s="416">
        <f t="shared" si="33"/>
        <v>1000000</v>
      </c>
      <c r="W69" s="337"/>
      <c r="X69" s="337"/>
      <c r="Y69" s="415"/>
      <c r="Z69" s="242"/>
      <c r="AA69" s="242"/>
      <c r="AB69" s="242">
        <f t="shared" si="11"/>
        <v>0</v>
      </c>
      <c r="AC69" s="242"/>
      <c r="AD69" s="242"/>
      <c r="AE69" s="242">
        <f t="shared" si="12"/>
        <v>0</v>
      </c>
      <c r="AF69" s="13"/>
      <c r="AG69" s="13"/>
      <c r="AH69" s="242">
        <f t="shared" si="13"/>
        <v>0</v>
      </c>
      <c r="AI69" s="13"/>
      <c r="AJ69" s="242"/>
      <c r="AK69" s="242">
        <f t="shared" si="14"/>
        <v>0</v>
      </c>
      <c r="AL69" s="13"/>
      <c r="AM69" s="242"/>
      <c r="AN69" s="242">
        <f t="shared" si="15"/>
        <v>0</v>
      </c>
      <c r="AO69" s="13"/>
      <c r="AP69" s="242"/>
      <c r="AQ69" s="242">
        <f t="shared" si="16"/>
        <v>0</v>
      </c>
      <c r="AR69" s="13"/>
      <c r="AS69" s="242"/>
      <c r="AT69" s="242">
        <f t="shared" si="17"/>
        <v>0</v>
      </c>
      <c r="AU69" s="13"/>
      <c r="AV69" s="242"/>
      <c r="AW69" s="242">
        <f t="shared" si="18"/>
        <v>0</v>
      </c>
      <c r="AX69" s="13"/>
      <c r="AY69" s="242"/>
      <c r="AZ69" s="242">
        <f t="shared" si="19"/>
        <v>0</v>
      </c>
      <c r="BA69" s="13"/>
      <c r="BB69" s="242"/>
      <c r="BC69" s="242">
        <f t="shared" si="20"/>
        <v>0</v>
      </c>
      <c r="BD69" s="242">
        <v>925000</v>
      </c>
      <c r="BE69" s="242">
        <v>75000</v>
      </c>
      <c r="BF69" s="242">
        <f t="shared" si="21"/>
        <v>1000000</v>
      </c>
      <c r="BG69" s="242">
        <f t="shared" si="22"/>
        <v>1000000</v>
      </c>
      <c r="BH69" s="242"/>
      <c r="BI69" s="242">
        <f t="shared" si="23"/>
        <v>1000000</v>
      </c>
      <c r="BJ69" s="242">
        <f t="shared" si="24"/>
        <v>0</v>
      </c>
      <c r="BK69" s="242">
        <f t="shared" si="25"/>
        <v>1000000</v>
      </c>
      <c r="BL69" s="242"/>
      <c r="BM69" s="242"/>
      <c r="BN69" s="242">
        <f t="shared" si="26"/>
        <v>0</v>
      </c>
      <c r="BO69" s="242"/>
      <c r="BP69" s="242"/>
      <c r="BQ69" s="242">
        <f t="shared" si="27"/>
        <v>0</v>
      </c>
      <c r="BR69" s="242"/>
      <c r="BS69" s="242"/>
      <c r="BT69" s="414">
        <v>829000</v>
      </c>
      <c r="BU69" s="426"/>
      <c r="BV69" s="428"/>
      <c r="BW69" s="428"/>
      <c r="BX69" s="428"/>
      <c r="BY69" s="428"/>
      <c r="BZ69" s="432"/>
      <c r="CA69" s="337"/>
      <c r="CB69" s="337">
        <f t="shared" si="1"/>
        <v>1000000</v>
      </c>
    </row>
    <row r="70" spans="1:83" ht="15.75">
      <c r="A70" s="414">
        <f t="shared" si="28"/>
        <v>65</v>
      </c>
      <c r="B70" s="433">
        <v>1903</v>
      </c>
      <c r="C70" s="415" t="s">
        <v>271</v>
      </c>
      <c r="D70" s="416">
        <v>1700000</v>
      </c>
      <c r="E70" s="337">
        <v>1700000</v>
      </c>
      <c r="F70" s="337">
        <f t="shared" ref="F70:F83" si="34">D70-E70</f>
        <v>0</v>
      </c>
      <c r="G70" s="337">
        <v>200000</v>
      </c>
      <c r="H70" s="337">
        <v>0</v>
      </c>
      <c r="I70" s="337"/>
      <c r="J70" s="337"/>
      <c r="K70" s="337">
        <f t="shared" si="31"/>
        <v>0</v>
      </c>
      <c r="L70" s="337">
        <f t="shared" si="3"/>
        <v>0</v>
      </c>
      <c r="M70" s="416">
        <f t="shared" si="4"/>
        <v>900000</v>
      </c>
      <c r="N70" s="416">
        <v>800000</v>
      </c>
      <c r="O70" s="337">
        <f t="shared" si="5"/>
        <v>0</v>
      </c>
      <c r="P70" s="337">
        <f t="shared" si="6"/>
        <v>200000</v>
      </c>
      <c r="Q70" s="337"/>
      <c r="R70" s="417">
        <v>700000</v>
      </c>
      <c r="S70" s="337">
        <f t="shared" si="32"/>
        <v>700000</v>
      </c>
      <c r="T70" s="416">
        <f t="shared" si="8"/>
        <v>0</v>
      </c>
      <c r="U70" s="416">
        <f t="shared" si="30"/>
        <v>800000</v>
      </c>
      <c r="V70" s="416">
        <f t="shared" si="33"/>
        <v>800000</v>
      </c>
      <c r="W70" s="337"/>
      <c r="X70" s="337"/>
      <c r="Y70" s="415"/>
      <c r="Z70" s="242"/>
      <c r="AA70" s="242"/>
      <c r="AB70" s="242">
        <f t="shared" si="11"/>
        <v>0</v>
      </c>
      <c r="AC70" s="242"/>
      <c r="AD70" s="242"/>
      <c r="AE70" s="242">
        <f t="shared" si="12"/>
        <v>0</v>
      </c>
      <c r="AF70" s="14"/>
      <c r="AG70" s="14"/>
      <c r="AH70" s="242">
        <f t="shared" si="13"/>
        <v>0</v>
      </c>
      <c r="AI70" s="14"/>
      <c r="AJ70" s="242"/>
      <c r="AK70" s="242">
        <f t="shared" si="14"/>
        <v>0</v>
      </c>
      <c r="AL70" s="14"/>
      <c r="AM70" s="242"/>
      <c r="AN70" s="242">
        <f t="shared" si="15"/>
        <v>0</v>
      </c>
      <c r="AO70" s="14"/>
      <c r="AP70" s="242"/>
      <c r="AQ70" s="242">
        <f t="shared" si="16"/>
        <v>0</v>
      </c>
      <c r="AR70" s="14"/>
      <c r="AS70" s="242"/>
      <c r="AT70" s="242">
        <f t="shared" si="17"/>
        <v>0</v>
      </c>
      <c r="AU70" s="14">
        <v>800000</v>
      </c>
      <c r="AV70" s="242"/>
      <c r="AW70" s="242">
        <f t="shared" si="18"/>
        <v>800000</v>
      </c>
      <c r="AX70" s="14"/>
      <c r="AY70" s="242"/>
      <c r="AZ70" s="242">
        <f t="shared" si="19"/>
        <v>0</v>
      </c>
      <c r="BA70" s="14"/>
      <c r="BB70" s="242"/>
      <c r="BC70" s="242">
        <f t="shared" si="20"/>
        <v>0</v>
      </c>
      <c r="BD70" s="14"/>
      <c r="BE70" s="242"/>
      <c r="BF70" s="242">
        <f t="shared" si="21"/>
        <v>0</v>
      </c>
      <c r="BG70" s="242">
        <f t="shared" si="22"/>
        <v>800000</v>
      </c>
      <c r="BH70" s="242"/>
      <c r="BI70" s="242">
        <f t="shared" si="23"/>
        <v>800000</v>
      </c>
      <c r="BJ70" s="242">
        <f t="shared" si="24"/>
        <v>0</v>
      </c>
      <c r="BK70" s="242">
        <f t="shared" si="25"/>
        <v>800000</v>
      </c>
      <c r="BL70" s="242"/>
      <c r="BM70" s="242"/>
      <c r="BN70" s="242">
        <f t="shared" si="26"/>
        <v>0</v>
      </c>
      <c r="BO70" s="242"/>
      <c r="BP70" s="242"/>
      <c r="BQ70" s="242">
        <f t="shared" si="27"/>
        <v>0</v>
      </c>
      <c r="BR70" s="242"/>
      <c r="BS70" s="242"/>
      <c r="BT70" s="414">
        <v>930000</v>
      </c>
      <c r="BU70" s="426"/>
      <c r="BV70" s="428"/>
      <c r="BW70" s="428"/>
      <c r="BX70" s="428"/>
      <c r="BY70" s="428"/>
      <c r="BZ70" s="432"/>
      <c r="CA70" s="432"/>
      <c r="CB70" s="337">
        <f t="shared" ref="CB70:CB83" si="35">V70-CA70</f>
        <v>800000</v>
      </c>
    </row>
    <row r="71" spans="1:83" s="413" customFormat="1">
      <c r="A71" s="414">
        <f t="shared" si="28"/>
        <v>66</v>
      </c>
      <c r="B71" s="414">
        <v>1904</v>
      </c>
      <c r="C71" s="410" t="s">
        <v>257</v>
      </c>
      <c r="D71" s="416">
        <v>5700000</v>
      </c>
      <c r="E71" s="337">
        <v>5700000</v>
      </c>
      <c r="F71" s="337">
        <f t="shared" si="34"/>
        <v>0</v>
      </c>
      <c r="G71" s="337">
        <v>350000</v>
      </c>
      <c r="H71" s="337">
        <v>0</v>
      </c>
      <c r="I71" s="337"/>
      <c r="J71" s="337"/>
      <c r="K71" s="337">
        <f>SUM(I71:J71)</f>
        <v>0</v>
      </c>
      <c r="L71" s="337">
        <f t="shared" ref="L71:L77" si="36">H71+K71</f>
        <v>0</v>
      </c>
      <c r="M71" s="416">
        <f t="shared" ref="M71:M78" si="37">P71+S71</f>
        <v>2000000</v>
      </c>
      <c r="N71" s="416"/>
      <c r="O71" s="337">
        <f>D71-L71-M71-N71</f>
        <v>3700000</v>
      </c>
      <c r="P71" s="337">
        <f t="shared" ref="P71:P78" si="38">G71-L71</f>
        <v>350000</v>
      </c>
      <c r="Q71" s="337"/>
      <c r="R71" s="417">
        <f>5350000-3700000</f>
        <v>1650000</v>
      </c>
      <c r="S71" s="337">
        <f>SUM(Q71:R71)</f>
        <v>1650000</v>
      </c>
      <c r="T71" s="416">
        <f t="shared" ref="T71:T77" si="39">P71-M71+S71</f>
        <v>0</v>
      </c>
      <c r="U71" s="416">
        <f t="shared" si="30"/>
        <v>0</v>
      </c>
      <c r="V71" s="416">
        <f>U71-Y71-W71-X71</f>
        <v>0</v>
      </c>
      <c r="W71" s="337"/>
      <c r="X71" s="337"/>
      <c r="Y71" s="415"/>
      <c r="Z71" s="242"/>
      <c r="AA71" s="242"/>
      <c r="AB71" s="242">
        <f t="shared" ref="AB71:AB83" si="40">SUM(Z71:AA71)</f>
        <v>0</v>
      </c>
      <c r="AC71" s="242"/>
      <c r="AD71" s="242"/>
      <c r="AE71" s="242">
        <f t="shared" ref="AE71:AE83" si="41">SUM(AC71:AD71)</f>
        <v>0</v>
      </c>
      <c r="AF71" s="13"/>
      <c r="AG71" s="13"/>
      <c r="AH71" s="242">
        <f t="shared" ref="AH71:AH83" si="42">SUM(AF71:AG71)</f>
        <v>0</v>
      </c>
      <c r="AI71" s="13"/>
      <c r="AJ71" s="242"/>
      <c r="AK71" s="242">
        <f t="shared" ref="AK71:AK83" si="43">SUM(AI71:AJ71)</f>
        <v>0</v>
      </c>
      <c r="AL71" s="13"/>
      <c r="AM71" s="242"/>
      <c r="AN71" s="242">
        <f t="shared" ref="AN71:AN83" si="44">SUM(AL71:AM71)</f>
        <v>0</v>
      </c>
      <c r="AO71" s="13"/>
      <c r="AP71" s="242"/>
      <c r="AQ71" s="242">
        <f t="shared" ref="AQ71:AQ83" si="45">SUM(AO71:AP71)</f>
        <v>0</v>
      </c>
      <c r="AR71" s="13"/>
      <c r="AS71" s="242"/>
      <c r="AT71" s="242">
        <f t="shared" ref="AT71:AT83" si="46">SUM(AR71:AS71)</f>
        <v>0</v>
      </c>
      <c r="AU71" s="13"/>
      <c r="AV71" s="242"/>
      <c r="AW71" s="242">
        <f t="shared" ref="AW71:AW83" si="47">SUM(AU71:AV71)</f>
        <v>0</v>
      </c>
      <c r="AX71" s="13"/>
      <c r="AY71" s="242"/>
      <c r="AZ71" s="242">
        <f t="shared" ref="AZ71:AZ83" si="48">SUM(AX71:AY71)</f>
        <v>0</v>
      </c>
      <c r="BA71" s="13"/>
      <c r="BB71" s="242"/>
      <c r="BC71" s="242">
        <f t="shared" ref="BC71:BC83" si="49">SUM(BA71:BB71)</f>
        <v>0</v>
      </c>
      <c r="BD71" s="13"/>
      <c r="BE71" s="242"/>
      <c r="BF71" s="242">
        <f t="shared" ref="BF71:BF83" si="50">SUM(BD71:BE71)</f>
        <v>0</v>
      </c>
      <c r="BG71" s="242">
        <f t="shared" ref="BG71:BG83" si="51">BF71+AB71+AE71+AH71+AK71+AN71+AQ71+AT71+AW71+AZ71+BC71</f>
        <v>0</v>
      </c>
      <c r="BH71" s="242"/>
      <c r="BI71" s="242">
        <f t="shared" ref="BI71:BI83" si="52">BG71+BH71</f>
        <v>0</v>
      </c>
      <c r="BJ71" s="242">
        <f t="shared" ref="BJ71:BJ83" si="53">U71-BI71</f>
        <v>0</v>
      </c>
      <c r="BK71" s="242">
        <f t="shared" ref="BK71:BK83" si="54">BI71-BL71-BM71</f>
        <v>0</v>
      </c>
      <c r="BL71" s="242"/>
      <c r="BM71" s="242"/>
      <c r="BN71" s="242">
        <f t="shared" ref="BN71:BN83" si="55">BH71-BO71-BP71</f>
        <v>0</v>
      </c>
      <c r="BO71" s="242"/>
      <c r="BP71" s="242"/>
      <c r="BQ71" s="242">
        <f t="shared" ref="BQ71:BQ83" si="56">BJ71-BR71-BS71</f>
        <v>0</v>
      </c>
      <c r="BR71" s="242"/>
      <c r="BS71" s="242"/>
      <c r="BT71" s="414">
        <v>742000</v>
      </c>
      <c r="BZ71" s="414"/>
      <c r="CA71" s="414"/>
      <c r="CB71" s="337">
        <f t="shared" si="35"/>
        <v>0</v>
      </c>
    </row>
    <row r="72" spans="1:83" ht="15.75">
      <c r="A72" s="414">
        <f t="shared" ref="A72:A83" si="57">A71+1</f>
        <v>67</v>
      </c>
      <c r="B72" s="433">
        <v>1921</v>
      </c>
      <c r="C72" s="415" t="s">
        <v>274</v>
      </c>
      <c r="D72" s="416">
        <v>4500000</v>
      </c>
      <c r="E72" s="337">
        <v>4500000</v>
      </c>
      <c r="F72" s="337">
        <f t="shared" si="34"/>
        <v>0</v>
      </c>
      <c r="G72" s="337">
        <f>500000+500000</f>
        <v>1000000</v>
      </c>
      <c r="H72" s="337">
        <v>7246</v>
      </c>
      <c r="I72" s="337"/>
      <c r="J72" s="337"/>
      <c r="K72" s="337">
        <f t="shared" si="31"/>
        <v>0</v>
      </c>
      <c r="L72" s="337">
        <f t="shared" si="36"/>
        <v>7246</v>
      </c>
      <c r="M72" s="416">
        <f t="shared" si="37"/>
        <v>4492754</v>
      </c>
      <c r="N72" s="416"/>
      <c r="O72" s="337">
        <f t="shared" ref="O72:O105" si="58">D72-L72-M72-N72</f>
        <v>0</v>
      </c>
      <c r="P72" s="337">
        <f t="shared" si="38"/>
        <v>992754</v>
      </c>
      <c r="Q72" s="337"/>
      <c r="R72" s="420">
        <f>4000000-500000</f>
        <v>3500000</v>
      </c>
      <c r="S72" s="337">
        <f t="shared" si="32"/>
        <v>3500000</v>
      </c>
      <c r="T72" s="416">
        <f t="shared" si="39"/>
        <v>0</v>
      </c>
      <c r="U72" s="416">
        <f t="shared" si="30"/>
        <v>0</v>
      </c>
      <c r="V72" s="416">
        <f t="shared" ref="V72:V83" si="59">U72-W72-X72-Y72</f>
        <v>0</v>
      </c>
      <c r="W72" s="337"/>
      <c r="X72" s="337"/>
      <c r="Y72" s="415"/>
      <c r="Z72" s="242"/>
      <c r="AA72" s="242"/>
      <c r="AB72" s="242">
        <f t="shared" si="40"/>
        <v>0</v>
      </c>
      <c r="AC72" s="242"/>
      <c r="AD72" s="242"/>
      <c r="AE72" s="242">
        <f t="shared" si="41"/>
        <v>0</v>
      </c>
      <c r="AF72" s="14"/>
      <c r="AG72" s="14"/>
      <c r="AH72" s="242">
        <f t="shared" si="42"/>
        <v>0</v>
      </c>
      <c r="AI72" s="14"/>
      <c r="AJ72" s="242"/>
      <c r="AK72" s="242">
        <f t="shared" si="43"/>
        <v>0</v>
      </c>
      <c r="AL72" s="14"/>
      <c r="AM72" s="242"/>
      <c r="AN72" s="242">
        <f t="shared" si="44"/>
        <v>0</v>
      </c>
      <c r="AO72" s="14"/>
      <c r="AP72" s="242"/>
      <c r="AQ72" s="242">
        <f t="shared" si="45"/>
        <v>0</v>
      </c>
      <c r="AR72" s="14"/>
      <c r="AS72" s="242"/>
      <c r="AT72" s="242">
        <f t="shared" si="46"/>
        <v>0</v>
      </c>
      <c r="AU72" s="14"/>
      <c r="AV72" s="242"/>
      <c r="AW72" s="242">
        <f t="shared" si="47"/>
        <v>0</v>
      </c>
      <c r="AX72" s="14"/>
      <c r="AY72" s="242"/>
      <c r="AZ72" s="242">
        <f t="shared" si="48"/>
        <v>0</v>
      </c>
      <c r="BA72" s="14"/>
      <c r="BB72" s="242"/>
      <c r="BC72" s="242">
        <f t="shared" si="49"/>
        <v>0</v>
      </c>
      <c r="BD72" s="14"/>
      <c r="BE72" s="242"/>
      <c r="BF72" s="242">
        <f t="shared" si="50"/>
        <v>0</v>
      </c>
      <c r="BG72" s="242">
        <f t="shared" si="51"/>
        <v>0</v>
      </c>
      <c r="BH72" s="242"/>
      <c r="BI72" s="242">
        <f t="shared" si="52"/>
        <v>0</v>
      </c>
      <c r="BJ72" s="242">
        <f t="shared" si="53"/>
        <v>0</v>
      </c>
      <c r="BK72" s="242">
        <f t="shared" si="54"/>
        <v>0</v>
      </c>
      <c r="BL72" s="242"/>
      <c r="BM72" s="242"/>
      <c r="BN72" s="242">
        <f t="shared" si="55"/>
        <v>0</v>
      </c>
      <c r="BO72" s="242"/>
      <c r="BP72" s="242"/>
      <c r="BQ72" s="242">
        <f t="shared" si="56"/>
        <v>0</v>
      </c>
      <c r="BR72" s="242"/>
      <c r="BS72" s="242"/>
      <c r="BT72" s="414">
        <v>829000</v>
      </c>
      <c r="BU72" s="426"/>
      <c r="BV72" s="428"/>
      <c r="BW72" s="428"/>
      <c r="BX72" s="428"/>
      <c r="BY72" s="428"/>
      <c r="BZ72" s="432"/>
      <c r="CA72" s="432"/>
      <c r="CB72" s="337">
        <f t="shared" si="35"/>
        <v>0</v>
      </c>
    </row>
    <row r="73" spans="1:83" ht="15.75">
      <c r="A73" s="414">
        <f t="shared" si="57"/>
        <v>68</v>
      </c>
      <c r="B73" s="433">
        <v>1924</v>
      </c>
      <c r="C73" s="415" t="s">
        <v>275</v>
      </c>
      <c r="D73" s="416">
        <v>1800000</v>
      </c>
      <c r="E73" s="337">
        <v>1800000</v>
      </c>
      <c r="F73" s="337">
        <f t="shared" si="34"/>
        <v>0</v>
      </c>
      <c r="G73" s="337">
        <v>100000</v>
      </c>
      <c r="H73" s="337">
        <v>17895</v>
      </c>
      <c r="I73" s="337">
        <v>47625</v>
      </c>
      <c r="J73" s="337"/>
      <c r="K73" s="337">
        <f t="shared" si="31"/>
        <v>47625</v>
      </c>
      <c r="L73" s="337">
        <f t="shared" si="36"/>
        <v>65520</v>
      </c>
      <c r="M73" s="416">
        <f t="shared" si="37"/>
        <v>1734480</v>
      </c>
      <c r="N73" s="416"/>
      <c r="O73" s="337">
        <f t="shared" si="58"/>
        <v>0</v>
      </c>
      <c r="P73" s="337">
        <f t="shared" si="38"/>
        <v>34480</v>
      </c>
      <c r="Q73" s="337"/>
      <c r="R73" s="420">
        <v>1700000</v>
      </c>
      <c r="S73" s="337">
        <f t="shared" si="32"/>
        <v>1700000</v>
      </c>
      <c r="T73" s="416">
        <f t="shared" si="39"/>
        <v>0</v>
      </c>
      <c r="U73" s="416">
        <f t="shared" si="30"/>
        <v>0</v>
      </c>
      <c r="V73" s="416">
        <f t="shared" si="59"/>
        <v>0</v>
      </c>
      <c r="W73" s="337"/>
      <c r="X73" s="337"/>
      <c r="Y73" s="415"/>
      <c r="Z73" s="242"/>
      <c r="AA73" s="242"/>
      <c r="AB73" s="242">
        <f t="shared" si="40"/>
        <v>0</v>
      </c>
      <c r="AC73" s="242"/>
      <c r="AD73" s="242"/>
      <c r="AE73" s="242">
        <f t="shared" si="41"/>
        <v>0</v>
      </c>
      <c r="AF73" s="20"/>
      <c r="AG73" s="20"/>
      <c r="AH73" s="242">
        <f t="shared" si="42"/>
        <v>0</v>
      </c>
      <c r="AI73" s="20"/>
      <c r="AJ73" s="242"/>
      <c r="AK73" s="242">
        <f t="shared" si="43"/>
        <v>0</v>
      </c>
      <c r="AL73" s="20"/>
      <c r="AM73" s="242"/>
      <c r="AN73" s="242">
        <f t="shared" si="44"/>
        <v>0</v>
      </c>
      <c r="AO73" s="20"/>
      <c r="AP73" s="242"/>
      <c r="AQ73" s="242">
        <f t="shared" si="45"/>
        <v>0</v>
      </c>
      <c r="AR73" s="20"/>
      <c r="AS73" s="242"/>
      <c r="AT73" s="242">
        <f t="shared" si="46"/>
        <v>0</v>
      </c>
      <c r="AU73" s="20"/>
      <c r="AV73" s="242"/>
      <c r="AW73" s="242">
        <f t="shared" si="47"/>
        <v>0</v>
      </c>
      <c r="AX73" s="20"/>
      <c r="AY73" s="242"/>
      <c r="AZ73" s="242">
        <f t="shared" si="48"/>
        <v>0</v>
      </c>
      <c r="BA73" s="20"/>
      <c r="BB73" s="242"/>
      <c r="BC73" s="242">
        <f t="shared" si="49"/>
        <v>0</v>
      </c>
      <c r="BD73" s="20"/>
      <c r="BE73" s="242"/>
      <c r="BF73" s="242">
        <f t="shared" si="50"/>
        <v>0</v>
      </c>
      <c r="BG73" s="242">
        <f t="shared" si="51"/>
        <v>0</v>
      </c>
      <c r="BH73" s="242"/>
      <c r="BI73" s="242">
        <f t="shared" si="52"/>
        <v>0</v>
      </c>
      <c r="BJ73" s="242">
        <f t="shared" si="53"/>
        <v>0</v>
      </c>
      <c r="BK73" s="242">
        <f t="shared" si="54"/>
        <v>0</v>
      </c>
      <c r="BL73" s="242"/>
      <c r="BM73" s="242"/>
      <c r="BN73" s="242">
        <f t="shared" si="55"/>
        <v>0</v>
      </c>
      <c r="BO73" s="242"/>
      <c r="BP73" s="242"/>
      <c r="BQ73" s="242">
        <f t="shared" si="56"/>
        <v>0</v>
      </c>
      <c r="BR73" s="242"/>
      <c r="BS73" s="242"/>
      <c r="BT73" s="414">
        <v>826000</v>
      </c>
      <c r="BU73" s="426"/>
      <c r="BV73" s="428"/>
      <c r="BW73" s="428"/>
      <c r="BX73" s="428"/>
      <c r="BY73" s="428"/>
      <c r="BZ73" s="432"/>
      <c r="CA73" s="432"/>
      <c r="CB73" s="337">
        <f t="shared" si="35"/>
        <v>0</v>
      </c>
    </row>
    <row r="74" spans="1:83" ht="30">
      <c r="A74" s="414">
        <f t="shared" si="57"/>
        <v>69</v>
      </c>
      <c r="B74" s="433">
        <v>1927</v>
      </c>
      <c r="C74" s="415" t="s">
        <v>276</v>
      </c>
      <c r="D74" s="416">
        <v>860000</v>
      </c>
      <c r="E74" s="337">
        <v>860000</v>
      </c>
      <c r="F74" s="337">
        <f t="shared" si="34"/>
        <v>0</v>
      </c>
      <c r="G74" s="337">
        <v>0</v>
      </c>
      <c r="H74" s="337">
        <v>0</v>
      </c>
      <c r="I74" s="337"/>
      <c r="J74" s="337"/>
      <c r="K74" s="337">
        <f t="shared" si="31"/>
        <v>0</v>
      </c>
      <c r="L74" s="337">
        <f t="shared" si="36"/>
        <v>0</v>
      </c>
      <c r="M74" s="416">
        <f t="shared" si="37"/>
        <v>860000</v>
      </c>
      <c r="N74" s="416"/>
      <c r="O74" s="337">
        <f t="shared" si="58"/>
        <v>0</v>
      </c>
      <c r="P74" s="337">
        <f t="shared" si="38"/>
        <v>0</v>
      </c>
      <c r="Q74" s="337"/>
      <c r="R74" s="416">
        <v>860000</v>
      </c>
      <c r="S74" s="337">
        <f t="shared" si="32"/>
        <v>860000</v>
      </c>
      <c r="T74" s="416">
        <f t="shared" si="39"/>
        <v>0</v>
      </c>
      <c r="U74" s="416">
        <f t="shared" si="30"/>
        <v>0</v>
      </c>
      <c r="V74" s="416">
        <f t="shared" si="59"/>
        <v>0</v>
      </c>
      <c r="W74" s="337"/>
      <c r="X74" s="337"/>
      <c r="Y74" s="415"/>
      <c r="Z74" s="242"/>
      <c r="AA74" s="242"/>
      <c r="AB74" s="242">
        <f t="shared" si="40"/>
        <v>0</v>
      </c>
      <c r="AC74" s="242"/>
      <c r="AD74" s="242"/>
      <c r="AE74" s="242">
        <f t="shared" si="41"/>
        <v>0</v>
      </c>
      <c r="AF74" s="242"/>
      <c r="AG74" s="242"/>
      <c r="AH74" s="242">
        <f t="shared" si="42"/>
        <v>0</v>
      </c>
      <c r="AI74" s="242"/>
      <c r="AJ74" s="242"/>
      <c r="AK74" s="242">
        <f t="shared" si="43"/>
        <v>0</v>
      </c>
      <c r="AL74" s="242"/>
      <c r="AM74" s="242"/>
      <c r="AN74" s="242">
        <f t="shared" si="44"/>
        <v>0</v>
      </c>
      <c r="AO74" s="242"/>
      <c r="AP74" s="242"/>
      <c r="AQ74" s="242">
        <f t="shared" si="45"/>
        <v>0</v>
      </c>
      <c r="AR74" s="242"/>
      <c r="AS74" s="242"/>
      <c r="AT74" s="242">
        <f t="shared" si="46"/>
        <v>0</v>
      </c>
      <c r="AU74" s="242"/>
      <c r="AV74" s="242"/>
      <c r="AW74" s="242">
        <f t="shared" si="47"/>
        <v>0</v>
      </c>
      <c r="AX74" s="242"/>
      <c r="AY74" s="242"/>
      <c r="AZ74" s="242">
        <f t="shared" si="48"/>
        <v>0</v>
      </c>
      <c r="BA74" s="242"/>
      <c r="BB74" s="242"/>
      <c r="BC74" s="242">
        <f t="shared" si="49"/>
        <v>0</v>
      </c>
      <c r="BD74" s="242"/>
      <c r="BE74" s="242"/>
      <c r="BF74" s="242">
        <f t="shared" si="50"/>
        <v>0</v>
      </c>
      <c r="BG74" s="242">
        <f t="shared" si="51"/>
        <v>0</v>
      </c>
      <c r="BH74" s="242"/>
      <c r="BI74" s="242">
        <f t="shared" si="52"/>
        <v>0</v>
      </c>
      <c r="BJ74" s="242">
        <f t="shared" si="53"/>
        <v>0</v>
      </c>
      <c r="BK74" s="242">
        <f t="shared" si="54"/>
        <v>0</v>
      </c>
      <c r="BL74" s="242"/>
      <c r="BM74" s="242"/>
      <c r="BN74" s="242">
        <f t="shared" si="55"/>
        <v>0</v>
      </c>
      <c r="BO74" s="242"/>
      <c r="BP74" s="242"/>
      <c r="BQ74" s="242">
        <f t="shared" si="56"/>
        <v>0</v>
      </c>
      <c r="BR74" s="242"/>
      <c r="BS74" s="242"/>
      <c r="BT74" s="414">
        <v>824000</v>
      </c>
      <c r="BU74" s="426"/>
      <c r="BV74" s="428"/>
      <c r="BW74" s="428"/>
      <c r="BX74" s="428"/>
      <c r="BY74" s="428"/>
      <c r="BZ74" s="432"/>
      <c r="CA74" s="432"/>
      <c r="CB74" s="337">
        <f t="shared" si="35"/>
        <v>0</v>
      </c>
    </row>
    <row r="75" spans="1:83" ht="15.75">
      <c r="A75" s="414">
        <f t="shared" si="57"/>
        <v>70</v>
      </c>
      <c r="B75" s="394">
        <v>1929</v>
      </c>
      <c r="C75" s="394" t="s">
        <v>884</v>
      </c>
      <c r="D75" s="416">
        <v>525000</v>
      </c>
      <c r="E75" s="337">
        <v>1050000</v>
      </c>
      <c r="F75" s="337">
        <f t="shared" si="34"/>
        <v>-525000</v>
      </c>
      <c r="G75" s="337">
        <v>525000</v>
      </c>
      <c r="H75" s="337">
        <v>0</v>
      </c>
      <c r="I75" s="337"/>
      <c r="J75" s="337"/>
      <c r="K75" s="337">
        <f t="shared" si="31"/>
        <v>0</v>
      </c>
      <c r="L75" s="337">
        <f t="shared" si="36"/>
        <v>0</v>
      </c>
      <c r="M75" s="416">
        <f t="shared" si="37"/>
        <v>525000</v>
      </c>
      <c r="N75" s="416"/>
      <c r="O75" s="337">
        <f t="shared" si="58"/>
        <v>0</v>
      </c>
      <c r="P75" s="337">
        <f t="shared" si="38"/>
        <v>525000</v>
      </c>
      <c r="Q75" s="337"/>
      <c r="R75" s="337"/>
      <c r="S75" s="337">
        <f t="shared" si="32"/>
        <v>0</v>
      </c>
      <c r="T75" s="416">
        <f t="shared" si="39"/>
        <v>0</v>
      </c>
      <c r="U75" s="416">
        <f t="shared" si="30"/>
        <v>0</v>
      </c>
      <c r="V75" s="416">
        <f t="shared" si="59"/>
        <v>0</v>
      </c>
      <c r="W75" s="337"/>
      <c r="X75" s="337"/>
      <c r="Y75" s="415"/>
      <c r="Z75" s="242"/>
      <c r="AA75" s="242"/>
      <c r="AB75" s="242">
        <f t="shared" si="40"/>
        <v>0</v>
      </c>
      <c r="AC75" s="242"/>
      <c r="AD75" s="242"/>
      <c r="AE75" s="242">
        <f t="shared" si="41"/>
        <v>0</v>
      </c>
      <c r="AF75" s="241"/>
      <c r="AG75" s="241"/>
      <c r="AH75" s="242">
        <f t="shared" si="42"/>
        <v>0</v>
      </c>
      <c r="AI75" s="241"/>
      <c r="AJ75" s="242"/>
      <c r="AK75" s="242">
        <f t="shared" si="43"/>
        <v>0</v>
      </c>
      <c r="AL75" s="241"/>
      <c r="AM75" s="242"/>
      <c r="AN75" s="242">
        <f t="shared" si="44"/>
        <v>0</v>
      </c>
      <c r="AO75" s="241"/>
      <c r="AP75" s="242"/>
      <c r="AQ75" s="242">
        <f t="shared" si="45"/>
        <v>0</v>
      </c>
      <c r="AR75" s="241"/>
      <c r="AS75" s="242"/>
      <c r="AT75" s="242">
        <f t="shared" si="46"/>
        <v>0</v>
      </c>
      <c r="AU75" s="241"/>
      <c r="AV75" s="242"/>
      <c r="AW75" s="242">
        <f t="shared" si="47"/>
        <v>0</v>
      </c>
      <c r="AX75" s="241"/>
      <c r="AY75" s="242"/>
      <c r="AZ75" s="242">
        <f t="shared" si="48"/>
        <v>0</v>
      </c>
      <c r="BA75" s="241"/>
      <c r="BB75" s="242"/>
      <c r="BC75" s="242">
        <f t="shared" si="49"/>
        <v>0</v>
      </c>
      <c r="BD75" s="241"/>
      <c r="BE75" s="242"/>
      <c r="BF75" s="242">
        <f t="shared" si="50"/>
        <v>0</v>
      </c>
      <c r="BG75" s="242">
        <f t="shared" si="51"/>
        <v>0</v>
      </c>
      <c r="BH75" s="242"/>
      <c r="BI75" s="242">
        <f t="shared" si="52"/>
        <v>0</v>
      </c>
      <c r="BJ75" s="242">
        <f t="shared" si="53"/>
        <v>0</v>
      </c>
      <c r="BK75" s="242">
        <f t="shared" si="54"/>
        <v>0</v>
      </c>
      <c r="BL75" s="242"/>
      <c r="BM75" s="242"/>
      <c r="BN75" s="242">
        <f t="shared" si="55"/>
        <v>0</v>
      </c>
      <c r="BO75" s="242"/>
      <c r="BP75" s="242"/>
      <c r="BQ75" s="242">
        <f t="shared" si="56"/>
        <v>0</v>
      </c>
      <c r="BR75" s="242"/>
      <c r="BS75" s="242"/>
      <c r="BT75" s="414">
        <v>840000</v>
      </c>
      <c r="BU75" s="426"/>
      <c r="BV75" s="428"/>
      <c r="BW75" s="428"/>
      <c r="BX75" s="428"/>
      <c r="BY75" s="428"/>
      <c r="BZ75" s="432"/>
      <c r="CA75" s="432"/>
      <c r="CB75" s="337">
        <f t="shared" si="35"/>
        <v>0</v>
      </c>
    </row>
    <row r="76" spans="1:83" ht="30">
      <c r="A76" s="414">
        <f t="shared" si="57"/>
        <v>71</v>
      </c>
      <c r="B76" s="433">
        <v>1936</v>
      </c>
      <c r="C76" s="415" t="s">
        <v>703</v>
      </c>
      <c r="D76" s="416">
        <v>6082795</v>
      </c>
      <c r="E76" s="337">
        <v>5198540</v>
      </c>
      <c r="F76" s="337">
        <f t="shared" si="34"/>
        <v>884255</v>
      </c>
      <c r="G76" s="337">
        <v>0</v>
      </c>
      <c r="H76" s="337">
        <v>0</v>
      </c>
      <c r="I76" s="337"/>
      <c r="J76" s="337"/>
      <c r="K76" s="337">
        <f>SUM(I76:J76)</f>
        <v>0</v>
      </c>
      <c r="L76" s="337">
        <f t="shared" si="36"/>
        <v>0</v>
      </c>
      <c r="M76" s="416">
        <f t="shared" si="37"/>
        <v>0</v>
      </c>
      <c r="N76" s="416">
        <v>6082795</v>
      </c>
      <c r="O76" s="337">
        <f t="shared" si="58"/>
        <v>0</v>
      </c>
      <c r="P76" s="337">
        <f t="shared" si="38"/>
        <v>0</v>
      </c>
      <c r="Q76" s="337"/>
      <c r="R76" s="337"/>
      <c r="S76" s="337">
        <f t="shared" si="32"/>
        <v>0</v>
      </c>
      <c r="T76" s="416">
        <f t="shared" si="39"/>
        <v>0</v>
      </c>
      <c r="U76" s="416">
        <f t="shared" si="30"/>
        <v>6082795</v>
      </c>
      <c r="V76" s="416">
        <f t="shared" si="59"/>
        <v>0</v>
      </c>
      <c r="W76" s="337"/>
      <c r="X76" s="337"/>
      <c r="Y76" s="416">
        <v>6082795</v>
      </c>
      <c r="Z76" s="242"/>
      <c r="AA76" s="242"/>
      <c r="AB76" s="242">
        <f t="shared" si="40"/>
        <v>0</v>
      </c>
      <c r="AC76" s="242"/>
      <c r="AD76" s="242"/>
      <c r="AE76" s="242">
        <f t="shared" si="41"/>
        <v>0</v>
      </c>
      <c r="AF76" s="241"/>
      <c r="AG76" s="241"/>
      <c r="AH76" s="242">
        <f t="shared" si="42"/>
        <v>0</v>
      </c>
      <c r="AI76" s="241"/>
      <c r="AJ76" s="242"/>
      <c r="AK76" s="242">
        <f t="shared" si="43"/>
        <v>0</v>
      </c>
      <c r="AL76" s="241"/>
      <c r="AM76" s="242">
        <v>150000</v>
      </c>
      <c r="AN76" s="242">
        <f t="shared" si="44"/>
        <v>150000</v>
      </c>
      <c r="AO76" s="241"/>
      <c r="AP76" s="242">
        <v>550000</v>
      </c>
      <c r="AQ76" s="242">
        <f t="shared" si="45"/>
        <v>550000</v>
      </c>
      <c r="AR76" s="241"/>
      <c r="AS76" s="242"/>
      <c r="AT76" s="242">
        <f t="shared" si="46"/>
        <v>0</v>
      </c>
      <c r="AU76" s="241"/>
      <c r="AV76" s="242"/>
      <c r="AW76" s="242">
        <f t="shared" si="47"/>
        <v>0</v>
      </c>
      <c r="AX76" s="241"/>
      <c r="AY76" s="242"/>
      <c r="AZ76" s="242">
        <f t="shared" si="48"/>
        <v>0</v>
      </c>
      <c r="BA76" s="241"/>
      <c r="BB76" s="242"/>
      <c r="BC76" s="242">
        <f t="shared" si="49"/>
        <v>0</v>
      </c>
      <c r="BD76" s="241"/>
      <c r="BE76" s="242"/>
      <c r="BF76" s="242">
        <f t="shared" si="50"/>
        <v>0</v>
      </c>
      <c r="BG76" s="242">
        <f t="shared" si="51"/>
        <v>700000</v>
      </c>
      <c r="BH76" s="242"/>
      <c r="BI76" s="242">
        <f t="shared" si="52"/>
        <v>700000</v>
      </c>
      <c r="BJ76" s="242">
        <f t="shared" si="53"/>
        <v>5382795</v>
      </c>
      <c r="BK76" s="242">
        <f t="shared" si="54"/>
        <v>0</v>
      </c>
      <c r="BL76" s="242"/>
      <c r="BM76" s="242">
        <v>700000</v>
      </c>
      <c r="BN76" s="242">
        <f t="shared" si="55"/>
        <v>0</v>
      </c>
      <c r="BO76" s="242"/>
      <c r="BP76" s="242"/>
      <c r="BQ76" s="242">
        <f t="shared" si="56"/>
        <v>0</v>
      </c>
      <c r="BR76" s="242"/>
      <c r="BS76" s="242">
        <v>5382795</v>
      </c>
      <c r="BT76" s="414">
        <v>732000</v>
      </c>
      <c r="BU76" s="426"/>
      <c r="BV76" s="428"/>
      <c r="BW76" s="428"/>
      <c r="BX76" s="428"/>
      <c r="BY76" s="428"/>
      <c r="BZ76" s="432"/>
      <c r="CA76" s="432"/>
      <c r="CB76" s="337">
        <f t="shared" si="35"/>
        <v>0</v>
      </c>
      <c r="CE76" s="438"/>
    </row>
    <row r="77" spans="1:83" ht="15.75">
      <c r="A77" s="414">
        <f t="shared" si="57"/>
        <v>72</v>
      </c>
      <c r="B77" s="433">
        <v>1940</v>
      </c>
      <c r="C77" s="415" t="s">
        <v>339</v>
      </c>
      <c r="D77" s="416">
        <v>186000</v>
      </c>
      <c r="E77" s="337">
        <v>186000</v>
      </c>
      <c r="F77" s="337">
        <f t="shared" si="34"/>
        <v>0</v>
      </c>
      <c r="G77" s="337">
        <v>0</v>
      </c>
      <c r="H77" s="337">
        <v>0</v>
      </c>
      <c r="I77" s="337"/>
      <c r="J77" s="337"/>
      <c r="K77" s="337">
        <f>SUM(I77:J77)</f>
        <v>0</v>
      </c>
      <c r="L77" s="337">
        <f t="shared" si="36"/>
        <v>0</v>
      </c>
      <c r="M77" s="416">
        <f t="shared" si="37"/>
        <v>186000</v>
      </c>
      <c r="N77" s="416"/>
      <c r="O77" s="337">
        <f t="shared" si="58"/>
        <v>0</v>
      </c>
      <c r="P77" s="337">
        <f t="shared" si="38"/>
        <v>0</v>
      </c>
      <c r="Q77" s="337"/>
      <c r="R77" s="337">
        <v>186000</v>
      </c>
      <c r="S77" s="337">
        <f>SUM(Q77:R77)</f>
        <v>186000</v>
      </c>
      <c r="T77" s="416">
        <f t="shared" si="39"/>
        <v>0</v>
      </c>
      <c r="U77" s="416">
        <f t="shared" si="30"/>
        <v>0</v>
      </c>
      <c r="V77" s="416">
        <f t="shared" si="59"/>
        <v>0</v>
      </c>
      <c r="W77" s="337"/>
      <c r="X77" s="337"/>
      <c r="Y77" s="415"/>
      <c r="Z77" s="242"/>
      <c r="AA77" s="242"/>
      <c r="AB77" s="242">
        <f t="shared" si="40"/>
        <v>0</v>
      </c>
      <c r="AC77" s="242"/>
      <c r="AD77" s="242"/>
      <c r="AE77" s="242">
        <f t="shared" si="41"/>
        <v>0</v>
      </c>
      <c r="AF77" s="241"/>
      <c r="AG77" s="241"/>
      <c r="AH77" s="242">
        <f t="shared" si="42"/>
        <v>0</v>
      </c>
      <c r="AI77" s="241"/>
      <c r="AJ77" s="242"/>
      <c r="AK77" s="242">
        <f t="shared" si="43"/>
        <v>0</v>
      </c>
      <c r="AL77" s="241"/>
      <c r="AM77" s="242"/>
      <c r="AN77" s="242">
        <f t="shared" si="44"/>
        <v>0</v>
      </c>
      <c r="AO77" s="241"/>
      <c r="AP77" s="242"/>
      <c r="AQ77" s="242">
        <f t="shared" si="45"/>
        <v>0</v>
      </c>
      <c r="AR77" s="241"/>
      <c r="AS77" s="242"/>
      <c r="AT77" s="242">
        <f t="shared" si="46"/>
        <v>0</v>
      </c>
      <c r="AU77" s="241"/>
      <c r="AV77" s="242"/>
      <c r="AW77" s="242">
        <f t="shared" si="47"/>
        <v>0</v>
      </c>
      <c r="AX77" s="241"/>
      <c r="AY77" s="242"/>
      <c r="AZ77" s="242">
        <f t="shared" si="48"/>
        <v>0</v>
      </c>
      <c r="BA77" s="241"/>
      <c r="BB77" s="242"/>
      <c r="BC77" s="242">
        <f t="shared" si="49"/>
        <v>0</v>
      </c>
      <c r="BD77" s="241"/>
      <c r="BE77" s="242"/>
      <c r="BF77" s="242">
        <f t="shared" si="50"/>
        <v>0</v>
      </c>
      <c r="BG77" s="242">
        <f t="shared" si="51"/>
        <v>0</v>
      </c>
      <c r="BH77" s="242"/>
      <c r="BI77" s="242">
        <f t="shared" si="52"/>
        <v>0</v>
      </c>
      <c r="BJ77" s="242">
        <f t="shared" si="53"/>
        <v>0</v>
      </c>
      <c r="BK77" s="242">
        <f t="shared" si="54"/>
        <v>0</v>
      </c>
      <c r="BL77" s="242"/>
      <c r="BM77" s="242"/>
      <c r="BN77" s="242">
        <f t="shared" si="55"/>
        <v>0</v>
      </c>
      <c r="BO77" s="242"/>
      <c r="BP77" s="242"/>
      <c r="BQ77" s="242">
        <f t="shared" si="56"/>
        <v>0</v>
      </c>
      <c r="BR77" s="242"/>
      <c r="BS77" s="242"/>
      <c r="BT77" s="414">
        <v>732000</v>
      </c>
      <c r="BU77" s="426"/>
      <c r="BV77" s="428"/>
      <c r="BW77" s="428"/>
      <c r="BX77" s="428"/>
      <c r="BY77" s="428"/>
      <c r="BZ77" s="432"/>
      <c r="CA77" s="432"/>
      <c r="CB77" s="337">
        <f t="shared" si="35"/>
        <v>0</v>
      </c>
      <c r="CE77" s="438"/>
    </row>
    <row r="78" spans="1:83" ht="30">
      <c r="A78" s="414">
        <f t="shared" si="57"/>
        <v>73</v>
      </c>
      <c r="B78" s="241">
        <v>1953</v>
      </c>
      <c r="C78" s="415" t="s">
        <v>336</v>
      </c>
      <c r="D78" s="416">
        <v>1800000</v>
      </c>
      <c r="E78" s="337"/>
      <c r="F78" s="337">
        <f t="shared" si="34"/>
        <v>1800000</v>
      </c>
      <c r="G78" s="337"/>
      <c r="H78" s="337"/>
      <c r="I78" s="337"/>
      <c r="J78" s="337"/>
      <c r="K78" s="337"/>
      <c r="L78" s="337"/>
      <c r="M78" s="416">
        <f t="shared" si="37"/>
        <v>0</v>
      </c>
      <c r="N78" s="416">
        <f>1800000-900000-400000</f>
        <v>500000</v>
      </c>
      <c r="O78" s="337">
        <f t="shared" si="58"/>
        <v>1300000</v>
      </c>
      <c r="P78" s="337">
        <f t="shared" si="38"/>
        <v>0</v>
      </c>
      <c r="Q78" s="337"/>
      <c r="R78" s="337"/>
      <c r="S78" s="337"/>
      <c r="T78" s="416"/>
      <c r="U78" s="416">
        <f t="shared" si="30"/>
        <v>500000</v>
      </c>
      <c r="V78" s="416">
        <f t="shared" si="59"/>
        <v>500000</v>
      </c>
      <c r="W78" s="337"/>
      <c r="X78" s="337"/>
      <c r="Y78" s="415"/>
      <c r="Z78" s="242"/>
      <c r="AA78" s="242"/>
      <c r="AB78" s="242">
        <f t="shared" si="40"/>
        <v>0</v>
      </c>
      <c r="AC78" s="242"/>
      <c r="AD78" s="242"/>
      <c r="AE78" s="242">
        <f t="shared" si="41"/>
        <v>0</v>
      </c>
      <c r="AF78" s="241"/>
      <c r="AG78" s="241"/>
      <c r="AH78" s="242">
        <f t="shared" si="42"/>
        <v>0</v>
      </c>
      <c r="AI78" s="242">
        <v>500000</v>
      </c>
      <c r="AJ78" s="242"/>
      <c r="AK78" s="242">
        <f t="shared" si="43"/>
        <v>500000</v>
      </c>
      <c r="AL78" s="242"/>
      <c r="AM78" s="242"/>
      <c r="AN78" s="242">
        <f t="shared" si="44"/>
        <v>0</v>
      </c>
      <c r="AO78" s="242"/>
      <c r="AP78" s="242"/>
      <c r="AQ78" s="242">
        <f t="shared" si="45"/>
        <v>0</v>
      </c>
      <c r="AR78" s="242"/>
      <c r="AS78" s="242"/>
      <c r="AT78" s="242">
        <f t="shared" si="46"/>
        <v>0</v>
      </c>
      <c r="AU78" s="242"/>
      <c r="AV78" s="242"/>
      <c r="AW78" s="242">
        <f t="shared" si="47"/>
        <v>0</v>
      </c>
      <c r="AX78" s="242"/>
      <c r="AY78" s="242"/>
      <c r="AZ78" s="242">
        <f t="shared" si="48"/>
        <v>0</v>
      </c>
      <c r="BA78" s="242"/>
      <c r="BB78" s="242"/>
      <c r="BC78" s="242">
        <f t="shared" si="49"/>
        <v>0</v>
      </c>
      <c r="BD78" s="242"/>
      <c r="BE78" s="242"/>
      <c r="BF78" s="242">
        <f t="shared" si="50"/>
        <v>0</v>
      </c>
      <c r="BG78" s="242">
        <f t="shared" si="51"/>
        <v>500000</v>
      </c>
      <c r="BH78" s="242"/>
      <c r="BI78" s="242">
        <f t="shared" si="52"/>
        <v>500000</v>
      </c>
      <c r="BJ78" s="242">
        <f t="shared" si="53"/>
        <v>0</v>
      </c>
      <c r="BK78" s="242">
        <f t="shared" si="54"/>
        <v>500000</v>
      </c>
      <c r="BL78" s="242"/>
      <c r="BM78" s="242"/>
      <c r="BN78" s="242">
        <f t="shared" si="55"/>
        <v>0</v>
      </c>
      <c r="BO78" s="242"/>
      <c r="BP78" s="242"/>
      <c r="BQ78" s="242">
        <f t="shared" si="56"/>
        <v>0</v>
      </c>
      <c r="BR78" s="242"/>
      <c r="BS78" s="242"/>
      <c r="BT78" s="414">
        <v>742000</v>
      </c>
      <c r="BU78" s="426"/>
      <c r="BV78" s="428"/>
      <c r="BW78" s="428"/>
      <c r="BX78" s="428"/>
      <c r="BY78" s="428"/>
      <c r="BZ78" s="432"/>
      <c r="CA78" s="432"/>
      <c r="CB78" s="422">
        <f t="shared" si="35"/>
        <v>500000</v>
      </c>
      <c r="CE78" s="438"/>
    </row>
    <row r="79" spans="1:83" ht="15.75">
      <c r="A79" s="414">
        <f t="shared" si="57"/>
        <v>74</v>
      </c>
      <c r="B79" s="241">
        <v>1954</v>
      </c>
      <c r="C79" s="415" t="s">
        <v>337</v>
      </c>
      <c r="D79" s="416">
        <v>2000000</v>
      </c>
      <c r="E79" s="337"/>
      <c r="F79" s="337">
        <f t="shared" si="34"/>
        <v>2000000</v>
      </c>
      <c r="G79" s="337"/>
      <c r="H79" s="337"/>
      <c r="I79" s="337"/>
      <c r="J79" s="337"/>
      <c r="K79" s="337"/>
      <c r="L79" s="337"/>
      <c r="M79" s="416"/>
      <c r="N79" s="416">
        <f>2000000-1000000+1000000</f>
        <v>2000000</v>
      </c>
      <c r="O79" s="337">
        <f t="shared" si="58"/>
        <v>0</v>
      </c>
      <c r="P79" s="337"/>
      <c r="Q79" s="337"/>
      <c r="R79" s="337"/>
      <c r="S79" s="337"/>
      <c r="T79" s="416"/>
      <c r="U79" s="416">
        <f t="shared" si="30"/>
        <v>2000000</v>
      </c>
      <c r="V79" s="416">
        <f t="shared" si="59"/>
        <v>2000000</v>
      </c>
      <c r="W79" s="337"/>
      <c r="X79" s="337"/>
      <c r="Y79" s="415"/>
      <c r="Z79" s="242"/>
      <c r="AA79" s="242"/>
      <c r="AB79" s="242">
        <f t="shared" si="40"/>
        <v>0</v>
      </c>
      <c r="AC79" s="242"/>
      <c r="AD79" s="242"/>
      <c r="AE79" s="242">
        <f t="shared" si="41"/>
        <v>0</v>
      </c>
      <c r="AF79" s="241"/>
      <c r="AG79" s="241"/>
      <c r="AH79" s="242">
        <f t="shared" si="42"/>
        <v>0</v>
      </c>
      <c r="AI79" s="241"/>
      <c r="AJ79" s="242"/>
      <c r="AK79" s="242">
        <f t="shared" si="43"/>
        <v>0</v>
      </c>
      <c r="AL79" s="241"/>
      <c r="AM79" s="242"/>
      <c r="AN79" s="242">
        <f t="shared" si="44"/>
        <v>0</v>
      </c>
      <c r="AO79" s="241"/>
      <c r="AP79" s="242"/>
      <c r="AQ79" s="242">
        <f t="shared" si="45"/>
        <v>0</v>
      </c>
      <c r="AR79" s="241"/>
      <c r="AS79" s="242">
        <v>400000</v>
      </c>
      <c r="AT79" s="242">
        <f t="shared" si="46"/>
        <v>400000</v>
      </c>
      <c r="AU79" s="241"/>
      <c r="AV79" s="242"/>
      <c r="AW79" s="242">
        <f t="shared" si="47"/>
        <v>0</v>
      </c>
      <c r="AX79" s="241"/>
      <c r="AY79" s="242"/>
      <c r="AZ79" s="242">
        <f t="shared" si="48"/>
        <v>0</v>
      </c>
      <c r="BA79" s="241"/>
      <c r="BB79" s="242"/>
      <c r="BC79" s="242">
        <f t="shared" si="49"/>
        <v>0</v>
      </c>
      <c r="BD79" s="241"/>
      <c r="BE79" s="242"/>
      <c r="BF79" s="242">
        <f t="shared" si="50"/>
        <v>0</v>
      </c>
      <c r="BG79" s="242">
        <f t="shared" si="51"/>
        <v>400000</v>
      </c>
      <c r="BH79" s="242">
        <v>1600000</v>
      </c>
      <c r="BI79" s="242">
        <f t="shared" si="52"/>
        <v>2000000</v>
      </c>
      <c r="BJ79" s="242">
        <f t="shared" si="53"/>
        <v>0</v>
      </c>
      <c r="BK79" s="242">
        <f t="shared" si="54"/>
        <v>2000000</v>
      </c>
      <c r="BL79" s="242"/>
      <c r="BM79" s="242"/>
      <c r="BN79" s="242">
        <f t="shared" si="55"/>
        <v>1600000</v>
      </c>
      <c r="BO79" s="242"/>
      <c r="BP79" s="242"/>
      <c r="BQ79" s="242">
        <f t="shared" si="56"/>
        <v>0</v>
      </c>
      <c r="BR79" s="242"/>
      <c r="BS79" s="242"/>
      <c r="BT79" s="414">
        <v>742000</v>
      </c>
      <c r="BU79" s="426"/>
      <c r="BV79" s="428"/>
      <c r="BW79" s="428"/>
      <c r="BX79" s="428"/>
      <c r="BY79" s="428"/>
      <c r="BZ79" s="432"/>
      <c r="CA79" s="432"/>
      <c r="CB79" s="422">
        <f t="shared" si="35"/>
        <v>2000000</v>
      </c>
      <c r="CE79" s="438"/>
    </row>
    <row r="80" spans="1:83" ht="15.75">
      <c r="A80" s="414">
        <f t="shared" si="57"/>
        <v>75</v>
      </c>
      <c r="B80" s="241">
        <v>1955</v>
      </c>
      <c r="C80" s="415" t="s">
        <v>338</v>
      </c>
      <c r="D80" s="416">
        <v>250000</v>
      </c>
      <c r="E80" s="337"/>
      <c r="F80" s="337">
        <f t="shared" si="34"/>
        <v>250000</v>
      </c>
      <c r="G80" s="337"/>
      <c r="H80" s="337"/>
      <c r="I80" s="337"/>
      <c r="J80" s="337"/>
      <c r="K80" s="337"/>
      <c r="L80" s="337"/>
      <c r="M80" s="416"/>
      <c r="N80" s="416">
        <v>250000</v>
      </c>
      <c r="O80" s="337">
        <f t="shared" si="58"/>
        <v>0</v>
      </c>
      <c r="P80" s="337"/>
      <c r="Q80" s="337"/>
      <c r="R80" s="337"/>
      <c r="S80" s="337"/>
      <c r="T80" s="416"/>
      <c r="U80" s="416">
        <f t="shared" si="30"/>
        <v>250000</v>
      </c>
      <c r="V80" s="416">
        <f t="shared" si="59"/>
        <v>250000</v>
      </c>
      <c r="W80" s="337"/>
      <c r="X80" s="337"/>
      <c r="Y80" s="415"/>
      <c r="Z80" s="242"/>
      <c r="AA80" s="242"/>
      <c r="AB80" s="242">
        <f t="shared" si="40"/>
        <v>0</v>
      </c>
      <c r="AC80" s="242"/>
      <c r="AD80" s="242"/>
      <c r="AE80" s="242">
        <f t="shared" si="41"/>
        <v>0</v>
      </c>
      <c r="AF80" s="13"/>
      <c r="AG80" s="13"/>
      <c r="AH80" s="242">
        <f t="shared" si="42"/>
        <v>0</v>
      </c>
      <c r="AI80" s="13"/>
      <c r="AJ80" s="242"/>
      <c r="AK80" s="242">
        <f t="shared" si="43"/>
        <v>0</v>
      </c>
      <c r="AL80" s="13"/>
      <c r="AM80" s="242"/>
      <c r="AN80" s="242">
        <f t="shared" si="44"/>
        <v>0</v>
      </c>
      <c r="AO80" s="13"/>
      <c r="AP80" s="242"/>
      <c r="AQ80" s="242">
        <f t="shared" si="45"/>
        <v>0</v>
      </c>
      <c r="AR80" s="13"/>
      <c r="AS80" s="242"/>
      <c r="AT80" s="242">
        <f t="shared" si="46"/>
        <v>0</v>
      </c>
      <c r="AU80" s="13"/>
      <c r="AV80" s="242"/>
      <c r="AW80" s="242">
        <f t="shared" si="47"/>
        <v>0</v>
      </c>
      <c r="AX80" s="13"/>
      <c r="AY80" s="242">
        <v>50000</v>
      </c>
      <c r="AZ80" s="242">
        <f t="shared" si="48"/>
        <v>50000</v>
      </c>
      <c r="BA80" s="13"/>
      <c r="BB80" s="242"/>
      <c r="BC80" s="242">
        <f t="shared" si="49"/>
        <v>0</v>
      </c>
      <c r="BD80" s="13"/>
      <c r="BE80" s="242">
        <v>200000</v>
      </c>
      <c r="BF80" s="242">
        <f t="shared" si="50"/>
        <v>200000</v>
      </c>
      <c r="BG80" s="242">
        <f t="shared" si="51"/>
        <v>250000</v>
      </c>
      <c r="BH80" s="242"/>
      <c r="BI80" s="242">
        <f t="shared" si="52"/>
        <v>250000</v>
      </c>
      <c r="BJ80" s="242">
        <f t="shared" si="53"/>
        <v>0</v>
      </c>
      <c r="BK80" s="242">
        <f t="shared" si="54"/>
        <v>250000</v>
      </c>
      <c r="BL80" s="242"/>
      <c r="BM80" s="242"/>
      <c r="BN80" s="242">
        <f t="shared" si="55"/>
        <v>0</v>
      </c>
      <c r="BO80" s="242"/>
      <c r="BP80" s="242"/>
      <c r="BQ80" s="242">
        <f t="shared" si="56"/>
        <v>0</v>
      </c>
      <c r="BR80" s="242"/>
      <c r="BS80" s="242"/>
      <c r="BT80" s="414">
        <v>742000</v>
      </c>
      <c r="BU80" s="426"/>
      <c r="BV80" s="428"/>
      <c r="BW80" s="428"/>
      <c r="BX80" s="428"/>
      <c r="BY80" s="428"/>
      <c r="BZ80" s="432"/>
      <c r="CA80" s="432"/>
      <c r="CB80" s="337">
        <f t="shared" si="35"/>
        <v>250000</v>
      </c>
      <c r="CE80" s="438"/>
    </row>
    <row r="81" spans="1:83" ht="15.75">
      <c r="A81" s="414">
        <f t="shared" si="57"/>
        <v>76</v>
      </c>
      <c r="B81" s="241">
        <v>1956</v>
      </c>
      <c r="C81" s="415" t="s">
        <v>387</v>
      </c>
      <c r="D81" s="416">
        <v>1500000</v>
      </c>
      <c r="E81" s="337"/>
      <c r="F81" s="337">
        <f t="shared" si="34"/>
        <v>1500000</v>
      </c>
      <c r="G81" s="337"/>
      <c r="H81" s="337"/>
      <c r="I81" s="337"/>
      <c r="J81" s="337"/>
      <c r="K81" s="337"/>
      <c r="L81" s="337"/>
      <c r="M81" s="416"/>
      <c r="N81" s="416">
        <f>1500000-750000</f>
        <v>750000</v>
      </c>
      <c r="O81" s="337">
        <f t="shared" si="58"/>
        <v>750000</v>
      </c>
      <c r="P81" s="337"/>
      <c r="Q81" s="337"/>
      <c r="R81" s="337"/>
      <c r="S81" s="337"/>
      <c r="T81" s="416"/>
      <c r="U81" s="416">
        <f t="shared" si="30"/>
        <v>750000</v>
      </c>
      <c r="V81" s="416">
        <f t="shared" si="59"/>
        <v>750000</v>
      </c>
      <c r="W81" s="337"/>
      <c r="X81" s="337"/>
      <c r="Y81" s="415"/>
      <c r="Z81" s="242"/>
      <c r="AA81" s="242"/>
      <c r="AB81" s="242">
        <f t="shared" si="40"/>
        <v>0</v>
      </c>
      <c r="AC81" s="242"/>
      <c r="AD81" s="242"/>
      <c r="AE81" s="242">
        <f t="shared" si="41"/>
        <v>0</v>
      </c>
      <c r="AF81" s="13"/>
      <c r="AG81" s="13"/>
      <c r="AH81" s="242">
        <f t="shared" si="42"/>
        <v>0</v>
      </c>
      <c r="AI81" s="13"/>
      <c r="AJ81" s="242"/>
      <c r="AK81" s="242">
        <f t="shared" si="43"/>
        <v>0</v>
      </c>
      <c r="AL81" s="13"/>
      <c r="AM81" s="242"/>
      <c r="AN81" s="242">
        <f t="shared" si="44"/>
        <v>0</v>
      </c>
      <c r="AO81" s="13"/>
      <c r="AP81" s="242"/>
      <c r="AQ81" s="242">
        <f t="shared" si="45"/>
        <v>0</v>
      </c>
      <c r="AR81" s="13"/>
      <c r="AS81" s="242"/>
      <c r="AT81" s="242">
        <f t="shared" si="46"/>
        <v>0</v>
      </c>
      <c r="AU81" s="13"/>
      <c r="AV81" s="242"/>
      <c r="AW81" s="242">
        <f t="shared" si="47"/>
        <v>0</v>
      </c>
      <c r="AX81" s="13"/>
      <c r="AY81" s="242"/>
      <c r="AZ81" s="242">
        <f t="shared" si="48"/>
        <v>0</v>
      </c>
      <c r="BA81" s="13"/>
      <c r="BB81" s="242"/>
      <c r="BC81" s="242">
        <f t="shared" si="49"/>
        <v>0</v>
      </c>
      <c r="BD81" s="242">
        <v>700000</v>
      </c>
      <c r="BE81" s="242">
        <v>50000</v>
      </c>
      <c r="BF81" s="242">
        <f t="shared" si="50"/>
        <v>750000</v>
      </c>
      <c r="BG81" s="242">
        <f t="shared" si="51"/>
        <v>750000</v>
      </c>
      <c r="BH81" s="242"/>
      <c r="BI81" s="242">
        <f t="shared" si="52"/>
        <v>750000</v>
      </c>
      <c r="BJ81" s="242">
        <f t="shared" si="53"/>
        <v>0</v>
      </c>
      <c r="BK81" s="242">
        <f t="shared" si="54"/>
        <v>750000</v>
      </c>
      <c r="BL81" s="242"/>
      <c r="BM81" s="242"/>
      <c r="BN81" s="242">
        <f t="shared" si="55"/>
        <v>0</v>
      </c>
      <c r="BO81" s="242"/>
      <c r="BP81" s="242"/>
      <c r="BQ81" s="242">
        <f t="shared" si="56"/>
        <v>0</v>
      </c>
      <c r="BR81" s="242"/>
      <c r="BS81" s="242"/>
      <c r="BT81" s="414">
        <v>742000</v>
      </c>
      <c r="BU81" s="426"/>
      <c r="BV81" s="428"/>
      <c r="BW81" s="428"/>
      <c r="BX81" s="428"/>
      <c r="BY81" s="428"/>
      <c r="BZ81" s="432"/>
      <c r="CA81" s="432"/>
      <c r="CB81" s="422">
        <f t="shared" si="35"/>
        <v>750000</v>
      </c>
      <c r="CE81" s="438"/>
    </row>
    <row r="82" spans="1:83" ht="15.75">
      <c r="A82" s="414">
        <f t="shared" si="57"/>
        <v>77</v>
      </c>
      <c r="B82" s="241">
        <v>1957</v>
      </c>
      <c r="C82" s="415" t="s">
        <v>403</v>
      </c>
      <c r="D82" s="416">
        <v>60000000</v>
      </c>
      <c r="E82" s="337"/>
      <c r="F82" s="337">
        <f t="shared" si="34"/>
        <v>60000000</v>
      </c>
      <c r="G82" s="337"/>
      <c r="H82" s="337"/>
      <c r="I82" s="337"/>
      <c r="J82" s="337"/>
      <c r="K82" s="337"/>
      <c r="L82" s="337"/>
      <c r="M82" s="416"/>
      <c r="N82" s="416">
        <f>6000000-1500000-2000000-1000000</f>
        <v>1500000</v>
      </c>
      <c r="O82" s="242">
        <f t="shared" si="58"/>
        <v>58500000</v>
      </c>
      <c r="P82" s="337"/>
      <c r="Q82" s="337"/>
      <c r="R82" s="337"/>
      <c r="S82" s="337"/>
      <c r="T82" s="416"/>
      <c r="U82" s="416">
        <f t="shared" si="30"/>
        <v>1500000</v>
      </c>
      <c r="V82" s="416">
        <f t="shared" si="59"/>
        <v>1500000</v>
      </c>
      <c r="W82" s="337"/>
      <c r="X82" s="337"/>
      <c r="Y82" s="415"/>
      <c r="Z82" s="242"/>
      <c r="AA82" s="242"/>
      <c r="AB82" s="242">
        <f t="shared" si="40"/>
        <v>0</v>
      </c>
      <c r="AC82" s="242"/>
      <c r="AD82" s="242"/>
      <c r="AE82" s="242">
        <f t="shared" si="41"/>
        <v>0</v>
      </c>
      <c r="AF82" s="13"/>
      <c r="AG82" s="13"/>
      <c r="AH82" s="242">
        <f t="shared" si="42"/>
        <v>0</v>
      </c>
      <c r="AI82" s="13"/>
      <c r="AJ82" s="242"/>
      <c r="AK82" s="242">
        <f t="shared" si="43"/>
        <v>0</v>
      </c>
      <c r="AL82" s="13"/>
      <c r="AM82" s="242"/>
      <c r="AN82" s="242">
        <f t="shared" si="44"/>
        <v>0</v>
      </c>
      <c r="AO82" s="13"/>
      <c r="AP82" s="242"/>
      <c r="AQ82" s="242">
        <f t="shared" si="45"/>
        <v>0</v>
      </c>
      <c r="AR82" s="13"/>
      <c r="AS82" s="242">
        <v>400000</v>
      </c>
      <c r="AT82" s="242">
        <f t="shared" si="46"/>
        <v>400000</v>
      </c>
      <c r="AU82" s="13"/>
      <c r="AV82" s="242"/>
      <c r="AW82" s="242">
        <f t="shared" si="47"/>
        <v>0</v>
      </c>
      <c r="AX82" s="13"/>
      <c r="AY82" s="242"/>
      <c r="AZ82" s="242">
        <f t="shared" si="48"/>
        <v>0</v>
      </c>
      <c r="BA82" s="13"/>
      <c r="BB82" s="242"/>
      <c r="BC82" s="242">
        <f t="shared" si="49"/>
        <v>0</v>
      </c>
      <c r="BD82" s="13"/>
      <c r="BE82" s="242"/>
      <c r="BF82" s="242">
        <f t="shared" si="50"/>
        <v>0</v>
      </c>
      <c r="BG82" s="242">
        <f t="shared" si="51"/>
        <v>400000</v>
      </c>
      <c r="BH82" s="242">
        <v>1100000</v>
      </c>
      <c r="BI82" s="242">
        <f t="shared" si="52"/>
        <v>1500000</v>
      </c>
      <c r="BJ82" s="242">
        <f t="shared" si="53"/>
        <v>0</v>
      </c>
      <c r="BK82" s="242">
        <f t="shared" si="54"/>
        <v>1500000</v>
      </c>
      <c r="BL82" s="242"/>
      <c r="BM82" s="242"/>
      <c r="BN82" s="242">
        <f t="shared" si="55"/>
        <v>1100000</v>
      </c>
      <c r="BO82" s="242"/>
      <c r="BP82" s="242"/>
      <c r="BQ82" s="242">
        <f t="shared" si="56"/>
        <v>0</v>
      </c>
      <c r="BR82" s="242"/>
      <c r="BS82" s="242"/>
      <c r="BT82" s="414">
        <v>810000</v>
      </c>
      <c r="BU82" s="426"/>
      <c r="BV82" s="428"/>
      <c r="BW82" s="428"/>
      <c r="BX82" s="428"/>
      <c r="BY82" s="428"/>
      <c r="BZ82" s="432"/>
      <c r="CA82" s="337"/>
      <c r="CB82" s="422">
        <f t="shared" si="35"/>
        <v>1500000</v>
      </c>
    </row>
    <row r="83" spans="1:83" ht="15.75">
      <c r="A83" s="414">
        <f t="shared" si="57"/>
        <v>78</v>
      </c>
      <c r="B83" s="241">
        <v>1958</v>
      </c>
      <c r="C83" s="415" t="s">
        <v>398</v>
      </c>
      <c r="D83" s="416">
        <v>850000</v>
      </c>
      <c r="E83" s="337"/>
      <c r="F83" s="337">
        <f t="shared" si="34"/>
        <v>850000</v>
      </c>
      <c r="G83" s="337"/>
      <c r="H83" s="337"/>
      <c r="I83" s="337"/>
      <c r="J83" s="337"/>
      <c r="K83" s="337"/>
      <c r="L83" s="337"/>
      <c r="M83" s="416"/>
      <c r="N83" s="416">
        <v>850000</v>
      </c>
      <c r="O83" s="242">
        <f t="shared" si="58"/>
        <v>0</v>
      </c>
      <c r="P83" s="337"/>
      <c r="Q83" s="337"/>
      <c r="R83" s="337"/>
      <c r="S83" s="337"/>
      <c r="T83" s="416"/>
      <c r="U83" s="416">
        <f>N83-T83</f>
        <v>850000</v>
      </c>
      <c r="V83" s="416">
        <f t="shared" si="59"/>
        <v>850000</v>
      </c>
      <c r="W83" s="337"/>
      <c r="X83" s="337"/>
      <c r="Y83" s="415"/>
      <c r="Z83" s="242"/>
      <c r="AA83" s="242"/>
      <c r="AB83" s="242">
        <f t="shared" si="40"/>
        <v>0</v>
      </c>
      <c r="AC83" s="242"/>
      <c r="AD83" s="242"/>
      <c r="AE83" s="242">
        <f t="shared" si="41"/>
        <v>0</v>
      </c>
      <c r="AF83" s="242">
        <v>800000</v>
      </c>
      <c r="AG83" s="242">
        <v>50000</v>
      </c>
      <c r="AH83" s="242">
        <f t="shared" si="42"/>
        <v>850000</v>
      </c>
      <c r="AI83" s="242"/>
      <c r="AJ83" s="242"/>
      <c r="AK83" s="242">
        <f t="shared" si="43"/>
        <v>0</v>
      </c>
      <c r="AL83" s="242"/>
      <c r="AM83" s="242"/>
      <c r="AN83" s="242">
        <f t="shared" si="44"/>
        <v>0</v>
      </c>
      <c r="AO83" s="242"/>
      <c r="AP83" s="242"/>
      <c r="AQ83" s="242">
        <f t="shared" si="45"/>
        <v>0</v>
      </c>
      <c r="AR83" s="242"/>
      <c r="AS83" s="242"/>
      <c r="AT83" s="242">
        <f t="shared" si="46"/>
        <v>0</v>
      </c>
      <c r="AU83" s="242"/>
      <c r="AV83" s="242"/>
      <c r="AW83" s="242">
        <f t="shared" si="47"/>
        <v>0</v>
      </c>
      <c r="AX83" s="242"/>
      <c r="AY83" s="242"/>
      <c r="AZ83" s="242">
        <f t="shared" si="48"/>
        <v>0</v>
      </c>
      <c r="BA83" s="242"/>
      <c r="BB83" s="242"/>
      <c r="BC83" s="242">
        <f t="shared" si="49"/>
        <v>0</v>
      </c>
      <c r="BD83" s="242"/>
      <c r="BE83" s="242"/>
      <c r="BF83" s="242">
        <f t="shared" si="50"/>
        <v>0</v>
      </c>
      <c r="BG83" s="242">
        <f t="shared" si="51"/>
        <v>850000</v>
      </c>
      <c r="BH83" s="242"/>
      <c r="BI83" s="242">
        <f t="shared" si="52"/>
        <v>850000</v>
      </c>
      <c r="BJ83" s="242">
        <f t="shared" si="53"/>
        <v>0</v>
      </c>
      <c r="BK83" s="242">
        <f t="shared" si="54"/>
        <v>850000</v>
      </c>
      <c r="BL83" s="242"/>
      <c r="BM83" s="242"/>
      <c r="BN83" s="242">
        <f t="shared" si="55"/>
        <v>0</v>
      </c>
      <c r="BO83" s="242"/>
      <c r="BP83" s="242"/>
      <c r="BQ83" s="242">
        <f t="shared" si="56"/>
        <v>0</v>
      </c>
      <c r="BR83" s="242"/>
      <c r="BS83" s="242"/>
      <c r="BT83" s="414">
        <v>829000</v>
      </c>
      <c r="BU83" s="426"/>
      <c r="BV83" s="428"/>
      <c r="BW83" s="428"/>
      <c r="BX83" s="428"/>
      <c r="BY83" s="428"/>
      <c r="BZ83" s="432"/>
      <c r="CA83" s="337"/>
      <c r="CB83" s="337">
        <f t="shared" si="35"/>
        <v>850000</v>
      </c>
    </row>
    <row r="84" spans="1:83" s="444" customFormat="1" ht="15.75">
      <c r="A84" s="419"/>
      <c r="B84" s="439"/>
      <c r="C84" s="431" t="s">
        <v>558</v>
      </c>
      <c r="D84" s="440">
        <f t="shared" ref="D84:AI84" si="60">SUM(D6:D83)</f>
        <v>1193472405</v>
      </c>
      <c r="E84" s="440">
        <f t="shared" si="60"/>
        <v>1112242347</v>
      </c>
      <c r="F84" s="440">
        <f t="shared" si="60"/>
        <v>81230058</v>
      </c>
      <c r="G84" s="440">
        <f t="shared" si="60"/>
        <v>538064738</v>
      </c>
      <c r="H84" s="440">
        <f t="shared" si="60"/>
        <v>414455777.31999999</v>
      </c>
      <c r="I84" s="440">
        <f t="shared" si="60"/>
        <v>44979492.860000007</v>
      </c>
      <c r="J84" s="440">
        <f t="shared" si="60"/>
        <v>6155440.2599999998</v>
      </c>
      <c r="K84" s="440">
        <f t="shared" si="60"/>
        <v>51134933.119999982</v>
      </c>
      <c r="L84" s="440">
        <f t="shared" si="60"/>
        <v>465590710.44000006</v>
      </c>
      <c r="M84" s="440">
        <f t="shared" si="60"/>
        <v>182219419.55999994</v>
      </c>
      <c r="N84" s="440">
        <f t="shared" si="60"/>
        <v>168977275</v>
      </c>
      <c r="O84" s="440">
        <f t="shared" si="60"/>
        <v>376685000</v>
      </c>
      <c r="P84" s="440">
        <f t="shared" si="60"/>
        <v>72474027.560000017</v>
      </c>
      <c r="Q84" s="440">
        <f t="shared" si="60"/>
        <v>75143589</v>
      </c>
      <c r="R84" s="440">
        <f t="shared" si="60"/>
        <v>34836000</v>
      </c>
      <c r="S84" s="440">
        <f t="shared" si="60"/>
        <v>109979589</v>
      </c>
      <c r="T84" s="440">
        <f t="shared" si="60"/>
        <v>234197</v>
      </c>
      <c r="U84" s="440">
        <f t="shared" si="60"/>
        <v>168743078</v>
      </c>
      <c r="V84" s="440">
        <f t="shared" si="60"/>
        <v>82697547.299999997</v>
      </c>
      <c r="W84" s="440">
        <f t="shared" si="60"/>
        <v>6500000</v>
      </c>
      <c r="X84" s="440">
        <f t="shared" si="60"/>
        <v>0</v>
      </c>
      <c r="Y84" s="440">
        <f t="shared" si="60"/>
        <v>79545530.700000003</v>
      </c>
      <c r="Z84" s="440">
        <f t="shared" si="60"/>
        <v>-234197</v>
      </c>
      <c r="AA84" s="440">
        <f t="shared" si="60"/>
        <v>0</v>
      </c>
      <c r="AB84" s="440">
        <f t="shared" si="60"/>
        <v>-234197</v>
      </c>
      <c r="AC84" s="440">
        <f t="shared" si="60"/>
        <v>0</v>
      </c>
      <c r="AD84" s="440">
        <f t="shared" si="60"/>
        <v>0</v>
      </c>
      <c r="AE84" s="440">
        <f t="shared" si="60"/>
        <v>0</v>
      </c>
      <c r="AF84" s="440">
        <f t="shared" si="60"/>
        <v>3085000</v>
      </c>
      <c r="AG84" s="440">
        <f t="shared" si="60"/>
        <v>1250000</v>
      </c>
      <c r="AH84" s="440">
        <f t="shared" si="60"/>
        <v>4335000</v>
      </c>
      <c r="AI84" s="440">
        <f t="shared" si="60"/>
        <v>500000</v>
      </c>
      <c r="AJ84" s="440">
        <f t="shared" ref="AJ84:BS84" si="61">SUM(AJ6:AJ83)</f>
        <v>750000</v>
      </c>
      <c r="AK84" s="440">
        <f t="shared" si="61"/>
        <v>1250000</v>
      </c>
      <c r="AL84" s="440">
        <f t="shared" si="61"/>
        <v>0</v>
      </c>
      <c r="AM84" s="440">
        <f t="shared" si="61"/>
        <v>-100000</v>
      </c>
      <c r="AN84" s="440">
        <f t="shared" si="61"/>
        <v>-100000</v>
      </c>
      <c r="AO84" s="440">
        <f t="shared" si="61"/>
        <v>9750000</v>
      </c>
      <c r="AP84" s="440">
        <f t="shared" si="61"/>
        <v>800000</v>
      </c>
      <c r="AQ84" s="440">
        <f t="shared" si="61"/>
        <v>10550000</v>
      </c>
      <c r="AR84" s="440">
        <f t="shared" si="61"/>
        <v>0</v>
      </c>
      <c r="AS84" s="440">
        <f t="shared" si="61"/>
        <v>800000</v>
      </c>
      <c r="AT84" s="440">
        <f t="shared" si="61"/>
        <v>800000</v>
      </c>
      <c r="AU84" s="440">
        <f t="shared" si="61"/>
        <v>800000</v>
      </c>
      <c r="AV84" s="440">
        <f t="shared" si="61"/>
        <v>0</v>
      </c>
      <c r="AW84" s="440">
        <f t="shared" si="61"/>
        <v>800000</v>
      </c>
      <c r="AX84" s="440">
        <f t="shared" si="61"/>
        <v>0</v>
      </c>
      <c r="AY84" s="440">
        <f t="shared" si="61"/>
        <v>125000</v>
      </c>
      <c r="AZ84" s="440">
        <f t="shared" si="61"/>
        <v>125000</v>
      </c>
      <c r="BA84" s="440">
        <f t="shared" si="61"/>
        <v>0</v>
      </c>
      <c r="BB84" s="440">
        <f t="shared" si="61"/>
        <v>0</v>
      </c>
      <c r="BC84" s="440">
        <f t="shared" si="61"/>
        <v>0</v>
      </c>
      <c r="BD84" s="440">
        <f t="shared" si="61"/>
        <v>36040890</v>
      </c>
      <c r="BE84" s="440">
        <f t="shared" si="61"/>
        <v>2825000</v>
      </c>
      <c r="BF84" s="440">
        <f t="shared" si="61"/>
        <v>38865890</v>
      </c>
      <c r="BG84" s="440">
        <f t="shared" si="61"/>
        <v>56391693</v>
      </c>
      <c r="BH84" s="440">
        <f t="shared" si="61"/>
        <v>22554613</v>
      </c>
      <c r="BI84" s="440">
        <f>SUM(BI6:BI83)</f>
        <v>78946306</v>
      </c>
      <c r="BJ84" s="440">
        <f>SUM(BJ6:BJ83)</f>
        <v>89796772</v>
      </c>
      <c r="BK84" s="440">
        <f t="shared" si="61"/>
        <v>72626560</v>
      </c>
      <c r="BL84" s="440">
        <f t="shared" ref="BL84:BQ84" si="62">SUM(BL6:BL83)</f>
        <v>0</v>
      </c>
      <c r="BM84" s="440">
        <f t="shared" si="62"/>
        <v>6319746</v>
      </c>
      <c r="BN84" s="440">
        <f t="shared" si="62"/>
        <v>18125000</v>
      </c>
      <c r="BO84" s="440">
        <f t="shared" si="62"/>
        <v>0</v>
      </c>
      <c r="BP84" s="440">
        <f t="shared" si="62"/>
        <v>4429613</v>
      </c>
      <c r="BQ84" s="440">
        <f t="shared" si="62"/>
        <v>21000600</v>
      </c>
      <c r="BR84" s="440">
        <f t="shared" si="61"/>
        <v>0</v>
      </c>
      <c r="BS84" s="440">
        <f t="shared" si="61"/>
        <v>68796172</v>
      </c>
      <c r="BT84" s="441"/>
      <c r="BU84" s="426"/>
      <c r="BV84" s="442"/>
      <c r="BW84" s="442"/>
      <c r="BX84" s="442"/>
      <c r="BY84" s="442"/>
      <c r="BZ84" s="443"/>
      <c r="CA84" s="440">
        <f>SUM(CA78:CA83)</f>
        <v>0</v>
      </c>
      <c r="CB84" s="440">
        <f>SUM(CB78:CB83)</f>
        <v>5850000</v>
      </c>
      <c r="CE84" s="438"/>
    </row>
    <row r="85" spans="1:83" s="444" customFormat="1" ht="15.75">
      <c r="A85" s="419"/>
      <c r="B85" s="439"/>
      <c r="C85" s="431"/>
      <c r="D85" s="440"/>
      <c r="E85" s="441"/>
      <c r="F85" s="441"/>
      <c r="G85" s="441"/>
      <c r="H85" s="441"/>
      <c r="I85" s="441"/>
      <c r="J85" s="441"/>
      <c r="K85" s="441"/>
      <c r="L85" s="441"/>
      <c r="M85" s="440"/>
      <c r="N85" s="440"/>
      <c r="O85" s="441"/>
      <c r="P85" s="441"/>
      <c r="Q85" s="441"/>
      <c r="R85" s="441"/>
      <c r="S85" s="441"/>
      <c r="T85" s="440"/>
      <c r="U85" s="440"/>
      <c r="V85" s="440"/>
      <c r="W85" s="441"/>
      <c r="X85" s="441"/>
      <c r="Y85" s="440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419"/>
      <c r="BU85" s="426"/>
      <c r="BV85" s="442"/>
      <c r="BW85" s="442"/>
      <c r="BX85" s="442"/>
      <c r="BY85" s="442"/>
      <c r="BZ85" s="443"/>
      <c r="CA85" s="443"/>
      <c r="CB85" s="337">
        <f t="shared" ref="CB85:CB107" si="63">V85-CA85</f>
        <v>0</v>
      </c>
      <c r="CE85" s="438"/>
    </row>
    <row r="86" spans="1:83" s="444" customFormat="1" ht="15.75">
      <c r="A86" s="419"/>
      <c r="B86" s="439"/>
      <c r="C86" s="431" t="s">
        <v>399</v>
      </c>
      <c r="D86" s="440"/>
      <c r="E86" s="441"/>
      <c r="F86" s="441"/>
      <c r="G86" s="441"/>
      <c r="H86" s="441"/>
      <c r="I86" s="441"/>
      <c r="J86" s="441"/>
      <c r="K86" s="441"/>
      <c r="L86" s="441"/>
      <c r="M86" s="440"/>
      <c r="N86" s="440"/>
      <c r="O86" s="441"/>
      <c r="P86" s="441"/>
      <c r="Q86" s="441"/>
      <c r="R86" s="441"/>
      <c r="S86" s="441"/>
      <c r="T86" s="440"/>
      <c r="U86" s="440"/>
      <c r="V86" s="440"/>
      <c r="W86" s="441"/>
      <c r="X86" s="441"/>
      <c r="Y86" s="440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419"/>
      <c r="BU86" s="426"/>
      <c r="BV86" s="442"/>
      <c r="BW86" s="442"/>
      <c r="BX86" s="442"/>
      <c r="BY86" s="442"/>
      <c r="BZ86" s="443"/>
      <c r="CA86" s="443"/>
      <c r="CB86" s="337">
        <f t="shared" si="63"/>
        <v>0</v>
      </c>
      <c r="CE86" s="438"/>
    </row>
    <row r="87" spans="1:83" s="424" customFormat="1">
      <c r="A87" s="414">
        <f>A83+1</f>
        <v>79</v>
      </c>
      <c r="B87" s="415">
        <v>1547</v>
      </c>
      <c r="C87" s="415" t="s">
        <v>216</v>
      </c>
      <c r="D87" s="416">
        <v>131000000</v>
      </c>
      <c r="E87" s="416">
        <v>131000000</v>
      </c>
      <c r="F87" s="337">
        <f t="shared" ref="F87:F107" si="64">D87-E87</f>
        <v>0</v>
      </c>
      <c r="G87" s="416">
        <v>19822444</v>
      </c>
      <c r="H87" s="416">
        <v>4249048.8</v>
      </c>
      <c r="I87" s="416">
        <v>2137819.4900000002</v>
      </c>
      <c r="J87" s="416">
        <v>1347250.48</v>
      </c>
      <c r="K87" s="416">
        <f t="shared" ref="K87:K98" si="65">SUM(I87:J87)</f>
        <v>3485069.97</v>
      </c>
      <c r="L87" s="416">
        <f t="shared" ref="L87:L98" si="66">H87+K87</f>
        <v>7734118.7699999996</v>
      </c>
      <c r="M87" s="416">
        <f>P87+S87</f>
        <v>36265881.230000004</v>
      </c>
      <c r="N87" s="416">
        <f>56000000-6000000-5700000</f>
        <v>44300000</v>
      </c>
      <c r="O87" s="416">
        <f t="shared" ref="O87:O100" si="67">D87-L87-M87-N87</f>
        <v>42700000</v>
      </c>
      <c r="P87" s="416">
        <f t="shared" ref="P87:P100" si="68">G87-L87</f>
        <v>12088325.23</v>
      </c>
      <c r="Q87" s="417">
        <v>24177556</v>
      </c>
      <c r="R87" s="416"/>
      <c r="S87" s="416">
        <f t="shared" ref="S87:S100" si="69">SUM(Q87:R87)</f>
        <v>24177556</v>
      </c>
      <c r="T87" s="416">
        <f t="shared" ref="T87:T100" si="70">P87-M87+S87</f>
        <v>0</v>
      </c>
      <c r="U87" s="416">
        <f t="shared" ref="U87:U107" si="71">N87-T87</f>
        <v>44300000</v>
      </c>
      <c r="V87" s="416">
        <f>U87-W87-X87-Y87</f>
        <v>24300000</v>
      </c>
      <c r="W87" s="416"/>
      <c r="X87" s="416"/>
      <c r="Y87" s="416">
        <v>20000000</v>
      </c>
      <c r="Z87" s="14"/>
      <c r="AA87" s="14"/>
      <c r="AB87" s="241">
        <f>SUM(Z87:AA87)</f>
        <v>0</v>
      </c>
      <c r="AC87" s="14"/>
      <c r="AD87" s="14"/>
      <c r="AE87" s="241">
        <f t="shared" ref="AE87:AE107" si="72">SUM(AC87:AD87)</f>
        <v>0</v>
      </c>
      <c r="AF87" s="14"/>
      <c r="AG87" s="14"/>
      <c r="AH87" s="241">
        <f t="shared" ref="AH87:AH107" si="73">SUM(AF87:AG87)</f>
        <v>0</v>
      </c>
      <c r="AI87" s="14"/>
      <c r="AJ87" s="14"/>
      <c r="AK87" s="241">
        <f t="shared" ref="AK87:AK107" si="74">SUM(AI87:AJ87)</f>
        <v>0</v>
      </c>
      <c r="AL87" s="14"/>
      <c r="AM87" s="14"/>
      <c r="AN87" s="241">
        <f t="shared" ref="AN87:AN107" si="75">SUM(AL87:AM87)</f>
        <v>0</v>
      </c>
      <c r="AO87" s="14"/>
      <c r="AP87" s="14"/>
      <c r="AQ87" s="241">
        <f t="shared" ref="AQ87:AQ107" si="76">SUM(AO87:AP87)</f>
        <v>0</v>
      </c>
      <c r="AR87" s="14"/>
      <c r="AS87" s="14"/>
      <c r="AT87" s="241">
        <f t="shared" ref="AT87:AT107" si="77">SUM(AR87:AS87)</f>
        <v>0</v>
      </c>
      <c r="AU87" s="14"/>
      <c r="AV87" s="14"/>
      <c r="AW87" s="241">
        <f t="shared" ref="AW87:AW107" si="78">SUM(AU87:AV87)</f>
        <v>0</v>
      </c>
      <c r="AX87" s="14">
        <v>5000000</v>
      </c>
      <c r="AY87" s="14"/>
      <c r="AZ87" s="14">
        <f t="shared" ref="AZ87:AZ107" si="79">SUM(AX87:AY87)</f>
        <v>5000000</v>
      </c>
      <c r="BA87" s="14"/>
      <c r="BB87" s="14"/>
      <c r="BC87" s="14">
        <f t="shared" ref="BC87:BC107" si="80">SUM(BA87:BB87)</f>
        <v>0</v>
      </c>
      <c r="BD87" s="14">
        <v>8000000</v>
      </c>
      <c r="BE87" s="14">
        <v>1300000</v>
      </c>
      <c r="BF87" s="14">
        <f>SUM(BD87:BE87)</f>
        <v>9300000</v>
      </c>
      <c r="BG87" s="242">
        <f t="shared" ref="BG87:BG107" si="81">BF87+AB87+AE87+AH87+AK87+AN87+AQ87+AT87+AW87+AZ87+BC87</f>
        <v>14300000</v>
      </c>
      <c r="BH87" s="242">
        <v>10000000</v>
      </c>
      <c r="BI87" s="242">
        <f t="shared" ref="BI87:BI107" si="82">BG87+BH87</f>
        <v>24300000</v>
      </c>
      <c r="BJ87" s="242">
        <f t="shared" ref="BJ87:BJ107" si="83">U87-BI87</f>
        <v>20000000</v>
      </c>
      <c r="BK87" s="242">
        <f>BI87-BL87-BM87</f>
        <v>24300000</v>
      </c>
      <c r="BL87" s="242"/>
      <c r="BM87" s="242"/>
      <c r="BN87" s="242">
        <f>BH87-BO87-BP87</f>
        <v>10000000</v>
      </c>
      <c r="BO87" s="242"/>
      <c r="BP87" s="242"/>
      <c r="BQ87" s="242">
        <f>BJ87-BR87-BS87</f>
        <v>0</v>
      </c>
      <c r="BR87" s="242"/>
      <c r="BS87" s="242">
        <v>20000000</v>
      </c>
      <c r="BT87" s="415">
        <v>742000</v>
      </c>
      <c r="BZ87" s="415"/>
      <c r="CA87" s="415"/>
      <c r="CB87" s="422">
        <f t="shared" si="63"/>
        <v>24300000</v>
      </c>
      <c r="CE87" s="438"/>
    </row>
    <row r="88" spans="1:83" s="430" customFormat="1">
      <c r="A88" s="414">
        <f t="shared" ref="A88:A107" si="84">A87+1</f>
        <v>80</v>
      </c>
      <c r="B88" s="415">
        <v>1797</v>
      </c>
      <c r="C88" s="415" t="s">
        <v>232</v>
      </c>
      <c r="D88" s="416">
        <v>3000000</v>
      </c>
      <c r="E88" s="416">
        <v>3000000</v>
      </c>
      <c r="F88" s="337">
        <f t="shared" si="64"/>
        <v>0</v>
      </c>
      <c r="G88" s="416">
        <v>1761262</v>
      </c>
      <c r="H88" s="416">
        <v>0</v>
      </c>
      <c r="I88" s="416"/>
      <c r="J88" s="416"/>
      <c r="K88" s="416">
        <f t="shared" si="65"/>
        <v>0</v>
      </c>
      <c r="L88" s="416">
        <f t="shared" si="66"/>
        <v>0</v>
      </c>
      <c r="M88" s="416">
        <f>P88+S88-1511262</f>
        <v>250000</v>
      </c>
      <c r="N88" s="416"/>
      <c r="O88" s="416">
        <f t="shared" si="67"/>
        <v>2750000</v>
      </c>
      <c r="P88" s="416">
        <f t="shared" si="68"/>
        <v>1761262</v>
      </c>
      <c r="Q88" s="416"/>
      <c r="R88" s="416"/>
      <c r="S88" s="416">
        <f t="shared" si="69"/>
        <v>0</v>
      </c>
      <c r="T88" s="416">
        <f t="shared" si="70"/>
        <v>1511262</v>
      </c>
      <c r="U88" s="416">
        <f t="shared" si="71"/>
        <v>-1511262</v>
      </c>
      <c r="V88" s="416">
        <f>U88-Y88-W88-X88</f>
        <v>0</v>
      </c>
      <c r="W88" s="416"/>
      <c r="X88" s="416"/>
      <c r="Y88" s="416">
        <v>-1511262</v>
      </c>
      <c r="Z88" s="14"/>
      <c r="AA88" s="14"/>
      <c r="AB88" s="241">
        <f t="shared" ref="AB88:AB107" si="85">SUM(Z88:AA88)</f>
        <v>0</v>
      </c>
      <c r="AC88" s="14"/>
      <c r="AD88" s="14"/>
      <c r="AE88" s="241">
        <f t="shared" si="72"/>
        <v>0</v>
      </c>
      <c r="AF88" s="14"/>
      <c r="AG88" s="14"/>
      <c r="AH88" s="241">
        <f t="shared" si="73"/>
        <v>0</v>
      </c>
      <c r="AI88" s="14"/>
      <c r="AJ88" s="14"/>
      <c r="AK88" s="241">
        <f t="shared" si="74"/>
        <v>0</v>
      </c>
      <c r="AL88" s="14"/>
      <c r="AM88" s="14"/>
      <c r="AN88" s="241">
        <f t="shared" si="75"/>
        <v>0</v>
      </c>
      <c r="AO88" s="14"/>
      <c r="AP88" s="14"/>
      <c r="AQ88" s="241">
        <f t="shared" si="76"/>
        <v>0</v>
      </c>
      <c r="AR88" s="14"/>
      <c r="AS88" s="14"/>
      <c r="AT88" s="241">
        <f t="shared" si="77"/>
        <v>0</v>
      </c>
      <c r="AU88" s="14"/>
      <c r="AV88" s="14"/>
      <c r="AW88" s="241">
        <f t="shared" si="78"/>
        <v>0</v>
      </c>
      <c r="AX88" s="14"/>
      <c r="AY88" s="14"/>
      <c r="AZ88" s="241">
        <f t="shared" si="79"/>
        <v>0</v>
      </c>
      <c r="BA88" s="14"/>
      <c r="BB88" s="14"/>
      <c r="BC88" s="241">
        <f t="shared" si="80"/>
        <v>0</v>
      </c>
      <c r="BD88" s="14"/>
      <c r="BE88" s="14"/>
      <c r="BF88" s="241">
        <f t="shared" ref="BF88:BF107" si="86">SUM(BD88:BE88)</f>
        <v>0</v>
      </c>
      <c r="BG88" s="242">
        <f t="shared" si="81"/>
        <v>0</v>
      </c>
      <c r="BH88" s="242">
        <v>-1511262</v>
      </c>
      <c r="BI88" s="242">
        <f t="shared" si="82"/>
        <v>-1511262</v>
      </c>
      <c r="BJ88" s="242">
        <f t="shared" si="83"/>
        <v>0</v>
      </c>
      <c r="BK88" s="242">
        <f t="shared" ref="BK88:BK107" si="87">BI88-BL88-BM88</f>
        <v>-1511262</v>
      </c>
      <c r="BL88" s="242"/>
      <c r="BM88" s="242"/>
      <c r="BN88" s="242">
        <f t="shared" ref="BN88:BN107" si="88">BH88-BO88-BP88</f>
        <v>0</v>
      </c>
      <c r="BO88" s="242"/>
      <c r="BP88" s="242">
        <v>-1511262</v>
      </c>
      <c r="BQ88" s="242">
        <f t="shared" ref="BQ88:BQ107" si="89">BJ88-BR88-BS88</f>
        <v>0</v>
      </c>
      <c r="BR88" s="242"/>
      <c r="BS88" s="242"/>
      <c r="BT88" s="415">
        <v>820000</v>
      </c>
      <c r="BU88" s="424"/>
      <c r="BV88" s="424"/>
      <c r="BW88" s="424"/>
      <c r="BZ88" s="431"/>
      <c r="CA88" s="431"/>
      <c r="CB88" s="337">
        <f t="shared" si="63"/>
        <v>0</v>
      </c>
      <c r="CE88" s="438"/>
    </row>
    <row r="89" spans="1:83" s="403" customFormat="1" ht="15.75">
      <c r="A89" s="414">
        <f t="shared" si="84"/>
        <v>81</v>
      </c>
      <c r="B89" s="445">
        <v>1827</v>
      </c>
      <c r="C89" s="415" t="s">
        <v>266</v>
      </c>
      <c r="D89" s="416">
        <v>100000000</v>
      </c>
      <c r="E89" s="416">
        <v>66250000</v>
      </c>
      <c r="F89" s="337">
        <f t="shared" si="64"/>
        <v>33750000</v>
      </c>
      <c r="G89" s="416">
        <v>4000000</v>
      </c>
      <c r="H89" s="416">
        <v>313037</v>
      </c>
      <c r="I89" s="416">
        <v>1787464.35</v>
      </c>
      <c r="J89" s="416"/>
      <c r="K89" s="416">
        <f t="shared" si="65"/>
        <v>1787464.35</v>
      </c>
      <c r="L89" s="416">
        <f t="shared" si="66"/>
        <v>2100501.35</v>
      </c>
      <c r="M89" s="416">
        <f>P89+S89</f>
        <v>15899498.65</v>
      </c>
      <c r="N89" s="416">
        <f>82000000-12000000</f>
        <v>70000000</v>
      </c>
      <c r="O89" s="416">
        <f t="shared" si="67"/>
        <v>12000000</v>
      </c>
      <c r="P89" s="416">
        <f t="shared" si="68"/>
        <v>1899498.65</v>
      </c>
      <c r="Q89" s="417">
        <v>14000000</v>
      </c>
      <c r="R89" s="416"/>
      <c r="S89" s="416">
        <f t="shared" si="69"/>
        <v>14000000</v>
      </c>
      <c r="T89" s="416">
        <f t="shared" si="70"/>
        <v>0</v>
      </c>
      <c r="U89" s="416">
        <f t="shared" si="71"/>
        <v>70000000</v>
      </c>
      <c r="V89" s="416">
        <f>U89-W89-X89-Y89</f>
        <v>0</v>
      </c>
      <c r="W89" s="416"/>
      <c r="X89" s="416"/>
      <c r="Y89" s="416">
        <v>70000000</v>
      </c>
      <c r="Z89" s="13"/>
      <c r="AA89" s="13"/>
      <c r="AB89" s="241">
        <f t="shared" si="85"/>
        <v>0</v>
      </c>
      <c r="AC89" s="13"/>
      <c r="AD89" s="13"/>
      <c r="AE89" s="241">
        <f t="shared" si="72"/>
        <v>0</v>
      </c>
      <c r="AF89" s="13"/>
      <c r="AG89" s="13"/>
      <c r="AH89" s="241">
        <f t="shared" si="73"/>
        <v>0</v>
      </c>
      <c r="AI89" s="242">
        <v>3000000</v>
      </c>
      <c r="AJ89" s="242"/>
      <c r="AK89" s="242">
        <f t="shared" si="74"/>
        <v>3000000</v>
      </c>
      <c r="AL89" s="242"/>
      <c r="AM89" s="242"/>
      <c r="AN89" s="242">
        <f t="shared" si="75"/>
        <v>0</v>
      </c>
      <c r="AO89" s="242"/>
      <c r="AP89" s="242"/>
      <c r="AQ89" s="242">
        <f t="shared" si="76"/>
        <v>0</v>
      </c>
      <c r="AR89" s="242"/>
      <c r="AS89" s="242"/>
      <c r="AT89" s="242">
        <f t="shared" si="77"/>
        <v>0</v>
      </c>
      <c r="AU89" s="242"/>
      <c r="AV89" s="242"/>
      <c r="AW89" s="242">
        <f t="shared" si="78"/>
        <v>0</v>
      </c>
      <c r="AX89" s="242"/>
      <c r="AY89" s="242"/>
      <c r="AZ89" s="242">
        <f t="shared" si="79"/>
        <v>0</v>
      </c>
      <c r="BA89" s="242"/>
      <c r="BB89" s="242"/>
      <c r="BC89" s="242">
        <f t="shared" si="80"/>
        <v>0</v>
      </c>
      <c r="BD89" s="242"/>
      <c r="BE89" s="242"/>
      <c r="BF89" s="242">
        <f t="shared" si="86"/>
        <v>0</v>
      </c>
      <c r="BG89" s="242">
        <f t="shared" si="81"/>
        <v>3000000</v>
      </c>
      <c r="BH89" s="242"/>
      <c r="BI89" s="242">
        <f t="shared" si="82"/>
        <v>3000000</v>
      </c>
      <c r="BJ89" s="242">
        <f t="shared" si="83"/>
        <v>67000000</v>
      </c>
      <c r="BK89" s="242">
        <f t="shared" si="87"/>
        <v>0</v>
      </c>
      <c r="BL89" s="242"/>
      <c r="BM89" s="242">
        <v>3000000</v>
      </c>
      <c r="BN89" s="242">
        <f t="shared" si="88"/>
        <v>0</v>
      </c>
      <c r="BO89" s="242"/>
      <c r="BP89" s="242"/>
      <c r="BQ89" s="242">
        <f t="shared" si="89"/>
        <v>0</v>
      </c>
      <c r="BR89" s="242"/>
      <c r="BS89" s="242">
        <v>67000000</v>
      </c>
      <c r="BT89" s="415">
        <v>746000</v>
      </c>
      <c r="BU89" s="446"/>
      <c r="BV89" s="447"/>
      <c r="BW89" s="447"/>
      <c r="BX89" s="447"/>
      <c r="BY89" s="447"/>
      <c r="BZ89" s="448"/>
      <c r="CA89" s="448"/>
      <c r="CB89" s="337">
        <f t="shared" si="63"/>
        <v>0</v>
      </c>
      <c r="CE89" s="438"/>
    </row>
    <row r="90" spans="1:83" s="413" customFormat="1" ht="30">
      <c r="A90" s="414">
        <f t="shared" si="84"/>
        <v>82</v>
      </c>
      <c r="B90" s="414">
        <v>1905</v>
      </c>
      <c r="C90" s="410" t="s">
        <v>263</v>
      </c>
      <c r="D90" s="416">
        <v>3366000</v>
      </c>
      <c r="E90" s="337">
        <v>3366000</v>
      </c>
      <c r="F90" s="337">
        <f t="shared" si="64"/>
        <v>0</v>
      </c>
      <c r="G90" s="337">
        <v>0</v>
      </c>
      <c r="H90" s="337">
        <v>0</v>
      </c>
      <c r="I90" s="337"/>
      <c r="J90" s="337"/>
      <c r="K90" s="337">
        <f t="shared" si="65"/>
        <v>0</v>
      </c>
      <c r="L90" s="337">
        <f t="shared" si="66"/>
        <v>0</v>
      </c>
      <c r="M90" s="416">
        <f>P90+S90</f>
        <v>3366000</v>
      </c>
      <c r="N90" s="416"/>
      <c r="O90" s="337">
        <f t="shared" si="67"/>
        <v>0</v>
      </c>
      <c r="P90" s="337">
        <f t="shared" si="68"/>
        <v>0</v>
      </c>
      <c r="Q90" s="337"/>
      <c r="R90" s="417">
        <v>3366000</v>
      </c>
      <c r="S90" s="337">
        <f t="shared" si="69"/>
        <v>3366000</v>
      </c>
      <c r="T90" s="416">
        <f t="shared" si="70"/>
        <v>0</v>
      </c>
      <c r="U90" s="416">
        <f t="shared" si="71"/>
        <v>0</v>
      </c>
      <c r="V90" s="416">
        <f>U90-Y90-W90-X90</f>
        <v>0</v>
      </c>
      <c r="W90" s="337"/>
      <c r="X90" s="337"/>
      <c r="Y90" s="415"/>
      <c r="Z90" s="13"/>
      <c r="AA90" s="13"/>
      <c r="AB90" s="241">
        <f t="shared" si="85"/>
        <v>0</v>
      </c>
      <c r="AC90" s="13"/>
      <c r="AD90" s="13"/>
      <c r="AE90" s="241">
        <f t="shared" si="72"/>
        <v>0</v>
      </c>
      <c r="AF90" s="13"/>
      <c r="AG90" s="13"/>
      <c r="AH90" s="241">
        <f t="shared" si="73"/>
        <v>0</v>
      </c>
      <c r="AI90" s="13"/>
      <c r="AJ90" s="13"/>
      <c r="AK90" s="241">
        <f t="shared" si="74"/>
        <v>0</v>
      </c>
      <c r="AL90" s="13"/>
      <c r="AM90" s="13"/>
      <c r="AN90" s="241">
        <f t="shared" si="75"/>
        <v>0</v>
      </c>
      <c r="AO90" s="13"/>
      <c r="AP90" s="13"/>
      <c r="AQ90" s="241">
        <f t="shared" si="76"/>
        <v>0</v>
      </c>
      <c r="AR90" s="13"/>
      <c r="AS90" s="13"/>
      <c r="AT90" s="241">
        <f t="shared" si="77"/>
        <v>0</v>
      </c>
      <c r="AU90" s="13"/>
      <c r="AV90" s="13"/>
      <c r="AW90" s="241">
        <f t="shared" si="78"/>
        <v>0</v>
      </c>
      <c r="AX90" s="13"/>
      <c r="AY90" s="13"/>
      <c r="AZ90" s="241">
        <f t="shared" si="79"/>
        <v>0</v>
      </c>
      <c r="BA90" s="13"/>
      <c r="BB90" s="13"/>
      <c r="BC90" s="241">
        <f t="shared" si="80"/>
        <v>0</v>
      </c>
      <c r="BD90" s="13"/>
      <c r="BE90" s="13"/>
      <c r="BF90" s="241">
        <f t="shared" si="86"/>
        <v>0</v>
      </c>
      <c r="BG90" s="242">
        <f t="shared" si="81"/>
        <v>0</v>
      </c>
      <c r="BH90" s="242"/>
      <c r="BI90" s="242">
        <f t="shared" si="82"/>
        <v>0</v>
      </c>
      <c r="BJ90" s="242">
        <f t="shared" si="83"/>
        <v>0</v>
      </c>
      <c r="BK90" s="242">
        <f t="shared" si="87"/>
        <v>0</v>
      </c>
      <c r="BL90" s="242"/>
      <c r="BM90" s="242"/>
      <c r="BN90" s="242">
        <f t="shared" si="88"/>
        <v>0</v>
      </c>
      <c r="BO90" s="242"/>
      <c r="BP90" s="242"/>
      <c r="BQ90" s="242">
        <f t="shared" si="89"/>
        <v>0</v>
      </c>
      <c r="BR90" s="242"/>
      <c r="BS90" s="242"/>
      <c r="BT90" s="414">
        <v>746000</v>
      </c>
      <c r="BZ90" s="414"/>
      <c r="CA90" s="414"/>
      <c r="CB90" s="337">
        <f t="shared" si="63"/>
        <v>0</v>
      </c>
    </row>
    <row r="91" spans="1:83" s="413" customFormat="1">
      <c r="A91" s="414">
        <f t="shared" si="84"/>
        <v>83</v>
      </c>
      <c r="B91" s="414">
        <v>1906</v>
      </c>
      <c r="C91" s="410" t="s">
        <v>704</v>
      </c>
      <c r="D91" s="416">
        <v>10000000</v>
      </c>
      <c r="E91" s="337">
        <v>650000</v>
      </c>
      <c r="F91" s="337">
        <f t="shared" si="64"/>
        <v>9350000</v>
      </c>
      <c r="G91" s="337">
        <v>0</v>
      </c>
      <c r="H91" s="337">
        <v>0</v>
      </c>
      <c r="I91" s="337"/>
      <c r="J91" s="337"/>
      <c r="K91" s="337">
        <f t="shared" si="65"/>
        <v>0</v>
      </c>
      <c r="L91" s="337">
        <f t="shared" si="66"/>
        <v>0</v>
      </c>
      <c r="M91" s="416">
        <f>P91+S91</f>
        <v>650000</v>
      </c>
      <c r="N91" s="416">
        <f>9350000-1000000</f>
        <v>8350000</v>
      </c>
      <c r="O91" s="337">
        <f t="shared" si="67"/>
        <v>1000000</v>
      </c>
      <c r="P91" s="337">
        <f t="shared" si="68"/>
        <v>0</v>
      </c>
      <c r="Q91" s="337"/>
      <c r="R91" s="417">
        <v>650000</v>
      </c>
      <c r="S91" s="337">
        <f t="shared" si="69"/>
        <v>650000</v>
      </c>
      <c r="T91" s="416">
        <f t="shared" si="70"/>
        <v>0</v>
      </c>
      <c r="U91" s="416">
        <f t="shared" si="71"/>
        <v>8350000</v>
      </c>
      <c r="V91" s="416">
        <f>U91-Y91-W91-X91</f>
        <v>5100000</v>
      </c>
      <c r="W91" s="337"/>
      <c r="X91" s="337"/>
      <c r="Y91" s="416">
        <v>3250000</v>
      </c>
      <c r="Z91" s="13"/>
      <c r="AA91" s="13"/>
      <c r="AB91" s="241">
        <f t="shared" si="85"/>
        <v>0</v>
      </c>
      <c r="AC91" s="13"/>
      <c r="AD91" s="13"/>
      <c r="AE91" s="241">
        <f t="shared" si="72"/>
        <v>0</v>
      </c>
      <c r="AF91" s="13"/>
      <c r="AG91" s="13"/>
      <c r="AH91" s="241">
        <f t="shared" si="73"/>
        <v>0</v>
      </c>
      <c r="AI91" s="13"/>
      <c r="AJ91" s="13"/>
      <c r="AK91" s="241">
        <f t="shared" si="74"/>
        <v>0</v>
      </c>
      <c r="AL91" s="13"/>
      <c r="AM91" s="13"/>
      <c r="AN91" s="241">
        <f t="shared" si="75"/>
        <v>0</v>
      </c>
      <c r="AO91" s="13"/>
      <c r="AP91" s="242"/>
      <c r="AQ91" s="14">
        <f t="shared" si="76"/>
        <v>0</v>
      </c>
      <c r="AR91" s="13"/>
      <c r="AS91" s="242"/>
      <c r="AT91" s="14">
        <f t="shared" si="77"/>
        <v>0</v>
      </c>
      <c r="AU91" s="14"/>
      <c r="AV91" s="242">
        <v>1000000</v>
      </c>
      <c r="AW91" s="14">
        <f t="shared" si="78"/>
        <v>1000000</v>
      </c>
      <c r="AX91" s="14"/>
      <c r="AY91" s="242"/>
      <c r="AZ91" s="14">
        <f t="shared" si="79"/>
        <v>0</v>
      </c>
      <c r="BA91" s="14"/>
      <c r="BB91" s="242"/>
      <c r="BC91" s="14">
        <f t="shared" si="80"/>
        <v>0</v>
      </c>
      <c r="BD91" s="14"/>
      <c r="BE91" s="242"/>
      <c r="BF91" s="14">
        <f t="shared" si="86"/>
        <v>0</v>
      </c>
      <c r="BG91" s="242">
        <f t="shared" si="81"/>
        <v>1000000</v>
      </c>
      <c r="BH91" s="242"/>
      <c r="BI91" s="242">
        <f t="shared" si="82"/>
        <v>1000000</v>
      </c>
      <c r="BJ91" s="242">
        <f t="shared" si="83"/>
        <v>7350000</v>
      </c>
      <c r="BK91" s="242">
        <f t="shared" si="87"/>
        <v>1000000</v>
      </c>
      <c r="BL91" s="242"/>
      <c r="BM91" s="242"/>
      <c r="BN91" s="242">
        <f t="shared" si="88"/>
        <v>0</v>
      </c>
      <c r="BO91" s="242"/>
      <c r="BP91" s="242"/>
      <c r="BQ91" s="242">
        <f t="shared" si="89"/>
        <v>4100000</v>
      </c>
      <c r="BR91" s="242"/>
      <c r="BS91" s="242">
        <v>3250000</v>
      </c>
      <c r="BT91" s="414">
        <v>810000</v>
      </c>
      <c r="BZ91" s="414"/>
      <c r="CA91" s="414"/>
      <c r="CB91" s="422">
        <f t="shared" si="63"/>
        <v>5100000</v>
      </c>
    </row>
    <row r="92" spans="1:83" s="413" customFormat="1">
      <c r="A92" s="414">
        <f t="shared" si="84"/>
        <v>84</v>
      </c>
      <c r="B92" s="414">
        <v>1907</v>
      </c>
      <c r="C92" s="410" t="s">
        <v>261</v>
      </c>
      <c r="D92" s="416">
        <v>10000000</v>
      </c>
      <c r="E92" s="337">
        <v>650000</v>
      </c>
      <c r="F92" s="337">
        <f t="shared" si="64"/>
        <v>9350000</v>
      </c>
      <c r="G92" s="337">
        <v>0</v>
      </c>
      <c r="H92" s="337">
        <v>0</v>
      </c>
      <c r="I92" s="337"/>
      <c r="J92" s="337"/>
      <c r="K92" s="337">
        <f t="shared" si="65"/>
        <v>0</v>
      </c>
      <c r="L92" s="337">
        <f t="shared" si="66"/>
        <v>0</v>
      </c>
      <c r="M92" s="416">
        <f>P92+S92</f>
        <v>650000</v>
      </c>
      <c r="N92" s="416">
        <f>9350000-4675000</f>
        <v>4675000</v>
      </c>
      <c r="O92" s="337">
        <f t="shared" si="67"/>
        <v>4675000</v>
      </c>
      <c r="P92" s="337">
        <f t="shared" si="68"/>
        <v>0</v>
      </c>
      <c r="Q92" s="337"/>
      <c r="R92" s="417">
        <v>650000</v>
      </c>
      <c r="S92" s="337">
        <f t="shared" si="69"/>
        <v>650000</v>
      </c>
      <c r="T92" s="416">
        <f t="shared" si="70"/>
        <v>0</v>
      </c>
      <c r="U92" s="416">
        <f t="shared" si="71"/>
        <v>4675000</v>
      </c>
      <c r="V92" s="416">
        <f>U92-Y92-W92-X92</f>
        <v>1425000</v>
      </c>
      <c r="W92" s="337"/>
      <c r="X92" s="337"/>
      <c r="Y92" s="416">
        <v>3250000</v>
      </c>
      <c r="Z92" s="13"/>
      <c r="AA92" s="13"/>
      <c r="AB92" s="241">
        <f t="shared" si="85"/>
        <v>0</v>
      </c>
      <c r="AC92" s="13"/>
      <c r="AD92" s="13"/>
      <c r="AE92" s="241">
        <f t="shared" si="72"/>
        <v>0</v>
      </c>
      <c r="AF92" s="13"/>
      <c r="AG92" s="13"/>
      <c r="AH92" s="241">
        <f t="shared" si="73"/>
        <v>0</v>
      </c>
      <c r="AI92" s="13"/>
      <c r="AJ92" s="13"/>
      <c r="AK92" s="241">
        <f t="shared" si="74"/>
        <v>0</v>
      </c>
      <c r="AL92" s="13"/>
      <c r="AM92" s="13"/>
      <c r="AN92" s="241">
        <f t="shared" si="75"/>
        <v>0</v>
      </c>
      <c r="AO92" s="13"/>
      <c r="AP92" s="242"/>
      <c r="AQ92" s="14">
        <f t="shared" si="76"/>
        <v>0</v>
      </c>
      <c r="AR92" s="13"/>
      <c r="AS92" s="242"/>
      <c r="AT92" s="14">
        <f t="shared" si="77"/>
        <v>0</v>
      </c>
      <c r="AU92" s="14"/>
      <c r="AV92" s="242">
        <v>1000000</v>
      </c>
      <c r="AW92" s="14">
        <f t="shared" si="78"/>
        <v>1000000</v>
      </c>
      <c r="AX92" s="14"/>
      <c r="AY92" s="242"/>
      <c r="AZ92" s="14">
        <f t="shared" si="79"/>
        <v>0</v>
      </c>
      <c r="BA92" s="14"/>
      <c r="BB92" s="242"/>
      <c r="BC92" s="14">
        <f t="shared" si="80"/>
        <v>0</v>
      </c>
      <c r="BD92" s="14"/>
      <c r="BE92" s="242"/>
      <c r="BF92" s="14">
        <f t="shared" si="86"/>
        <v>0</v>
      </c>
      <c r="BG92" s="242">
        <f t="shared" si="81"/>
        <v>1000000</v>
      </c>
      <c r="BH92" s="242"/>
      <c r="BI92" s="242">
        <f t="shared" si="82"/>
        <v>1000000</v>
      </c>
      <c r="BJ92" s="242">
        <f t="shared" si="83"/>
        <v>3675000</v>
      </c>
      <c r="BK92" s="242">
        <f t="shared" si="87"/>
        <v>1000000</v>
      </c>
      <c r="BL92" s="242"/>
      <c r="BM92" s="242"/>
      <c r="BN92" s="242">
        <f t="shared" si="88"/>
        <v>0</v>
      </c>
      <c r="BO92" s="242"/>
      <c r="BP92" s="242"/>
      <c r="BQ92" s="242">
        <f t="shared" si="89"/>
        <v>425000</v>
      </c>
      <c r="BR92" s="242"/>
      <c r="BS92" s="242">
        <v>3250000</v>
      </c>
      <c r="BT92" s="414">
        <v>810000</v>
      </c>
      <c r="BZ92" s="414"/>
      <c r="CA92" s="414"/>
      <c r="CB92" s="337">
        <f t="shared" si="63"/>
        <v>1425000</v>
      </c>
    </row>
    <row r="93" spans="1:83" s="413" customFormat="1" ht="30">
      <c r="A93" s="414">
        <f t="shared" si="84"/>
        <v>85</v>
      </c>
      <c r="B93" s="414">
        <v>1908</v>
      </c>
      <c r="C93" s="410" t="s">
        <v>335</v>
      </c>
      <c r="D93" s="416">
        <v>16000000</v>
      </c>
      <c r="E93" s="337">
        <v>1000000</v>
      </c>
      <c r="F93" s="337">
        <f t="shared" si="64"/>
        <v>15000000</v>
      </c>
      <c r="G93" s="337">
        <v>0</v>
      </c>
      <c r="H93" s="337">
        <v>0</v>
      </c>
      <c r="I93" s="337"/>
      <c r="J93" s="337"/>
      <c r="K93" s="337">
        <f t="shared" si="65"/>
        <v>0</v>
      </c>
      <c r="L93" s="337">
        <f t="shared" si="66"/>
        <v>0</v>
      </c>
      <c r="M93" s="416">
        <f>P93+S93</f>
        <v>1000000</v>
      </c>
      <c r="N93" s="416">
        <f>15000000-7500000-1000000</f>
        <v>6500000</v>
      </c>
      <c r="O93" s="337">
        <f t="shared" si="67"/>
        <v>8500000</v>
      </c>
      <c r="P93" s="337">
        <f t="shared" si="68"/>
        <v>0</v>
      </c>
      <c r="Q93" s="337"/>
      <c r="R93" s="417">
        <v>1000000</v>
      </c>
      <c r="S93" s="337">
        <f t="shared" si="69"/>
        <v>1000000</v>
      </c>
      <c r="T93" s="416">
        <f t="shared" si="70"/>
        <v>0</v>
      </c>
      <c r="U93" s="416">
        <f t="shared" si="71"/>
        <v>6500000</v>
      </c>
      <c r="V93" s="416">
        <f>U93-Y93-W93-X93</f>
        <v>3363738</v>
      </c>
      <c r="W93" s="337"/>
      <c r="X93" s="337"/>
      <c r="Y93" s="416">
        <f>1625000+1511262</f>
        <v>3136262</v>
      </c>
      <c r="Z93" s="13"/>
      <c r="AA93" s="13"/>
      <c r="AB93" s="241">
        <f t="shared" si="85"/>
        <v>0</v>
      </c>
      <c r="AC93" s="13"/>
      <c r="AD93" s="13"/>
      <c r="AE93" s="241">
        <f t="shared" si="72"/>
        <v>0</v>
      </c>
      <c r="AF93" s="13"/>
      <c r="AG93" s="13"/>
      <c r="AH93" s="241">
        <f t="shared" si="73"/>
        <v>0</v>
      </c>
      <c r="AI93" s="13"/>
      <c r="AJ93" s="13"/>
      <c r="AK93" s="241">
        <f t="shared" si="74"/>
        <v>0</v>
      </c>
      <c r="AL93" s="13"/>
      <c r="AM93" s="13"/>
      <c r="AN93" s="241">
        <f t="shared" si="75"/>
        <v>0</v>
      </c>
      <c r="AO93" s="13"/>
      <c r="AP93" s="242"/>
      <c r="AQ93" s="14">
        <f t="shared" si="76"/>
        <v>0</v>
      </c>
      <c r="AR93" s="13"/>
      <c r="AS93" s="242"/>
      <c r="AT93" s="14">
        <f t="shared" si="77"/>
        <v>0</v>
      </c>
      <c r="AU93" s="14"/>
      <c r="AV93" s="242">
        <v>1000000</v>
      </c>
      <c r="AW93" s="14">
        <f t="shared" si="78"/>
        <v>1000000</v>
      </c>
      <c r="AX93" s="14"/>
      <c r="AY93" s="242"/>
      <c r="AZ93" s="14">
        <f t="shared" si="79"/>
        <v>0</v>
      </c>
      <c r="BA93" s="14"/>
      <c r="BB93" s="242"/>
      <c r="BC93" s="14">
        <f t="shared" si="80"/>
        <v>0</v>
      </c>
      <c r="BD93" s="14"/>
      <c r="BE93" s="242"/>
      <c r="BF93" s="14">
        <f t="shared" si="86"/>
        <v>0</v>
      </c>
      <c r="BG93" s="242">
        <f t="shared" si="81"/>
        <v>1000000</v>
      </c>
      <c r="BH93" s="242">
        <v>1511262</v>
      </c>
      <c r="BI93" s="242">
        <f t="shared" si="82"/>
        <v>2511262</v>
      </c>
      <c r="BJ93" s="242">
        <f t="shared" si="83"/>
        <v>3988738</v>
      </c>
      <c r="BK93" s="242">
        <f t="shared" si="87"/>
        <v>2511262</v>
      </c>
      <c r="BL93" s="242"/>
      <c r="BM93" s="242"/>
      <c r="BN93" s="242">
        <f t="shared" si="88"/>
        <v>0</v>
      </c>
      <c r="BO93" s="242"/>
      <c r="BP93" s="242">
        <v>1511262</v>
      </c>
      <c r="BQ93" s="242">
        <f t="shared" si="89"/>
        <v>2363738</v>
      </c>
      <c r="BR93" s="242"/>
      <c r="BS93" s="242">
        <f>3136262-BP93</f>
        <v>1625000</v>
      </c>
      <c r="BT93" s="414">
        <v>810000</v>
      </c>
      <c r="BZ93" s="414"/>
      <c r="CA93" s="414"/>
      <c r="CB93" s="422">
        <f t="shared" si="63"/>
        <v>3363738</v>
      </c>
    </row>
    <row r="94" spans="1:83" ht="15.75">
      <c r="A94" s="414">
        <f t="shared" si="84"/>
        <v>86</v>
      </c>
      <c r="B94" s="433">
        <v>1909</v>
      </c>
      <c r="C94" s="449" t="s">
        <v>296</v>
      </c>
      <c r="D94" s="416">
        <v>10000000</v>
      </c>
      <c r="E94" s="337">
        <v>650000</v>
      </c>
      <c r="F94" s="337">
        <f t="shared" si="64"/>
        <v>9350000</v>
      </c>
      <c r="G94" s="337">
        <v>0</v>
      </c>
      <c r="H94" s="337">
        <v>0</v>
      </c>
      <c r="I94" s="337"/>
      <c r="J94" s="337"/>
      <c r="K94" s="337">
        <f t="shared" si="65"/>
        <v>0</v>
      </c>
      <c r="L94" s="337">
        <f t="shared" si="66"/>
        <v>0</v>
      </c>
      <c r="M94" s="416">
        <f t="shared" ref="M94:M100" si="90">P94+S94</f>
        <v>650000</v>
      </c>
      <c r="N94" s="416">
        <f>9350000-4675000</f>
        <v>4675000</v>
      </c>
      <c r="O94" s="337">
        <f t="shared" si="67"/>
        <v>4675000</v>
      </c>
      <c r="P94" s="337">
        <f t="shared" si="68"/>
        <v>0</v>
      </c>
      <c r="Q94" s="337"/>
      <c r="R94" s="417">
        <v>650000</v>
      </c>
      <c r="S94" s="337">
        <f t="shared" si="69"/>
        <v>650000</v>
      </c>
      <c r="T94" s="416">
        <f t="shared" si="70"/>
        <v>0</v>
      </c>
      <c r="U94" s="416">
        <f t="shared" si="71"/>
        <v>4675000</v>
      </c>
      <c r="V94" s="416">
        <f>U94-W94-X94-Y94</f>
        <v>1425000</v>
      </c>
      <c r="W94" s="337"/>
      <c r="X94" s="337"/>
      <c r="Y94" s="416">
        <v>3250000</v>
      </c>
      <c r="Z94" s="13"/>
      <c r="AA94" s="13"/>
      <c r="AB94" s="241">
        <f t="shared" si="85"/>
        <v>0</v>
      </c>
      <c r="AC94" s="13"/>
      <c r="AD94" s="13"/>
      <c r="AE94" s="241">
        <f t="shared" si="72"/>
        <v>0</v>
      </c>
      <c r="AF94" s="13"/>
      <c r="AG94" s="13"/>
      <c r="AH94" s="241">
        <f t="shared" si="73"/>
        <v>0</v>
      </c>
      <c r="AI94" s="13"/>
      <c r="AJ94" s="13"/>
      <c r="AK94" s="241">
        <f t="shared" si="74"/>
        <v>0</v>
      </c>
      <c r="AL94" s="13"/>
      <c r="AM94" s="13"/>
      <c r="AN94" s="241">
        <f t="shared" si="75"/>
        <v>0</v>
      </c>
      <c r="AO94" s="13"/>
      <c r="AP94" s="242"/>
      <c r="AQ94" s="14">
        <f t="shared" si="76"/>
        <v>0</v>
      </c>
      <c r="AR94" s="13"/>
      <c r="AS94" s="242"/>
      <c r="AT94" s="14">
        <f t="shared" si="77"/>
        <v>0</v>
      </c>
      <c r="AU94" s="14"/>
      <c r="AV94" s="242">
        <v>1000000</v>
      </c>
      <c r="AW94" s="14">
        <f t="shared" si="78"/>
        <v>1000000</v>
      </c>
      <c r="AX94" s="14"/>
      <c r="AY94" s="242"/>
      <c r="AZ94" s="14">
        <f t="shared" si="79"/>
        <v>0</v>
      </c>
      <c r="BA94" s="14"/>
      <c r="BB94" s="242"/>
      <c r="BC94" s="14">
        <f t="shared" si="80"/>
        <v>0</v>
      </c>
      <c r="BD94" s="14"/>
      <c r="BE94" s="242"/>
      <c r="BF94" s="14">
        <f t="shared" si="86"/>
        <v>0</v>
      </c>
      <c r="BG94" s="242">
        <f t="shared" si="81"/>
        <v>1000000</v>
      </c>
      <c r="BH94" s="242"/>
      <c r="BI94" s="242">
        <f t="shared" si="82"/>
        <v>1000000</v>
      </c>
      <c r="BJ94" s="242">
        <f t="shared" si="83"/>
        <v>3675000</v>
      </c>
      <c r="BK94" s="242">
        <f t="shared" si="87"/>
        <v>1000000</v>
      </c>
      <c r="BL94" s="242"/>
      <c r="BM94" s="242"/>
      <c r="BN94" s="242">
        <f t="shared" si="88"/>
        <v>0</v>
      </c>
      <c r="BO94" s="242"/>
      <c r="BP94" s="242"/>
      <c r="BQ94" s="242">
        <f t="shared" si="89"/>
        <v>425000</v>
      </c>
      <c r="BR94" s="242"/>
      <c r="BS94" s="242">
        <v>3250000</v>
      </c>
      <c r="BT94" s="414">
        <v>810000</v>
      </c>
      <c r="BU94" s="426"/>
      <c r="BV94" s="428"/>
      <c r="BW94" s="428"/>
      <c r="BX94" s="428"/>
      <c r="BY94" s="428"/>
      <c r="BZ94" s="432"/>
      <c r="CA94" s="432"/>
      <c r="CB94" s="337">
        <f t="shared" si="63"/>
        <v>1425000</v>
      </c>
    </row>
    <row r="95" spans="1:83" ht="15.75">
      <c r="A95" s="414">
        <f t="shared" si="84"/>
        <v>87</v>
      </c>
      <c r="B95" s="433">
        <v>1910</v>
      </c>
      <c r="C95" s="415" t="s">
        <v>272</v>
      </c>
      <c r="D95" s="416">
        <v>650000</v>
      </c>
      <c r="E95" s="337">
        <v>650000</v>
      </c>
      <c r="F95" s="337">
        <f t="shared" si="64"/>
        <v>0</v>
      </c>
      <c r="G95" s="337">
        <v>0</v>
      </c>
      <c r="H95" s="337">
        <v>0</v>
      </c>
      <c r="I95" s="337"/>
      <c r="J95" s="337"/>
      <c r="K95" s="337">
        <f t="shared" si="65"/>
        <v>0</v>
      </c>
      <c r="L95" s="337">
        <f t="shared" si="66"/>
        <v>0</v>
      </c>
      <c r="M95" s="416">
        <f t="shared" si="90"/>
        <v>650000</v>
      </c>
      <c r="N95" s="416"/>
      <c r="O95" s="337">
        <f t="shared" si="67"/>
        <v>0</v>
      </c>
      <c r="P95" s="337">
        <f t="shared" si="68"/>
        <v>0</v>
      </c>
      <c r="Q95" s="337"/>
      <c r="R95" s="417">
        <v>650000</v>
      </c>
      <c r="S95" s="337">
        <f t="shared" si="69"/>
        <v>650000</v>
      </c>
      <c r="T95" s="416">
        <f t="shared" si="70"/>
        <v>0</v>
      </c>
      <c r="U95" s="416">
        <f t="shared" si="71"/>
        <v>0</v>
      </c>
      <c r="V95" s="416">
        <f>U95-W95-X95-Y95</f>
        <v>0</v>
      </c>
      <c r="W95" s="337"/>
      <c r="X95" s="337"/>
      <c r="Y95" s="415"/>
      <c r="Z95" s="13"/>
      <c r="AA95" s="13"/>
      <c r="AB95" s="241">
        <f t="shared" si="85"/>
        <v>0</v>
      </c>
      <c r="AC95" s="13"/>
      <c r="AD95" s="13"/>
      <c r="AE95" s="241">
        <f t="shared" si="72"/>
        <v>0</v>
      </c>
      <c r="AF95" s="13"/>
      <c r="AG95" s="13"/>
      <c r="AH95" s="241">
        <f t="shared" si="73"/>
        <v>0</v>
      </c>
      <c r="AI95" s="13"/>
      <c r="AJ95" s="13"/>
      <c r="AK95" s="241">
        <f t="shared" si="74"/>
        <v>0</v>
      </c>
      <c r="AL95" s="13"/>
      <c r="AM95" s="13"/>
      <c r="AN95" s="241">
        <f t="shared" si="75"/>
        <v>0</v>
      </c>
      <c r="AO95" s="13"/>
      <c r="AP95" s="242"/>
      <c r="AQ95" s="14">
        <f t="shared" si="76"/>
        <v>0</v>
      </c>
      <c r="AR95" s="13"/>
      <c r="AS95" s="242"/>
      <c r="AT95" s="14">
        <f t="shared" si="77"/>
        <v>0</v>
      </c>
      <c r="AU95" s="14"/>
      <c r="AV95" s="242"/>
      <c r="AW95" s="14">
        <f t="shared" si="78"/>
        <v>0</v>
      </c>
      <c r="AX95" s="14"/>
      <c r="AY95" s="242"/>
      <c r="AZ95" s="14">
        <f t="shared" si="79"/>
        <v>0</v>
      </c>
      <c r="BA95" s="14"/>
      <c r="BB95" s="242"/>
      <c r="BC95" s="14">
        <f t="shared" si="80"/>
        <v>0</v>
      </c>
      <c r="BD95" s="14"/>
      <c r="BE95" s="242"/>
      <c r="BF95" s="14">
        <f t="shared" si="86"/>
        <v>0</v>
      </c>
      <c r="BG95" s="242">
        <f t="shared" si="81"/>
        <v>0</v>
      </c>
      <c r="BH95" s="242"/>
      <c r="BI95" s="242">
        <f t="shared" si="82"/>
        <v>0</v>
      </c>
      <c r="BJ95" s="242">
        <f t="shared" si="83"/>
        <v>0</v>
      </c>
      <c r="BK95" s="242">
        <f t="shared" si="87"/>
        <v>0</v>
      </c>
      <c r="BL95" s="242"/>
      <c r="BM95" s="242"/>
      <c r="BN95" s="242">
        <f t="shared" si="88"/>
        <v>0</v>
      </c>
      <c r="BO95" s="242"/>
      <c r="BP95" s="242"/>
      <c r="BQ95" s="242">
        <f t="shared" si="89"/>
        <v>0</v>
      </c>
      <c r="BR95" s="242"/>
      <c r="BS95" s="242"/>
      <c r="BT95" s="414">
        <v>823000</v>
      </c>
      <c r="BU95" s="426"/>
      <c r="BV95" s="428"/>
      <c r="BW95" s="428"/>
      <c r="BX95" s="428"/>
      <c r="BY95" s="428"/>
      <c r="BZ95" s="432"/>
      <c r="CA95" s="432"/>
      <c r="CB95" s="337">
        <f t="shared" si="63"/>
        <v>0</v>
      </c>
    </row>
    <row r="96" spans="1:83" ht="30">
      <c r="A96" s="414">
        <f t="shared" si="84"/>
        <v>88</v>
      </c>
      <c r="B96" s="433">
        <v>1911</v>
      </c>
      <c r="C96" s="415" t="s">
        <v>705</v>
      </c>
      <c r="D96" s="416">
        <v>16000000</v>
      </c>
      <c r="E96" s="337">
        <v>750000</v>
      </c>
      <c r="F96" s="337">
        <f t="shared" si="64"/>
        <v>15250000</v>
      </c>
      <c r="G96" s="337">
        <v>0</v>
      </c>
      <c r="H96" s="337">
        <v>0</v>
      </c>
      <c r="I96" s="337"/>
      <c r="J96" s="337"/>
      <c r="K96" s="337">
        <f t="shared" si="65"/>
        <v>0</v>
      </c>
      <c r="L96" s="337">
        <f t="shared" si="66"/>
        <v>0</v>
      </c>
      <c r="M96" s="416">
        <f t="shared" si="90"/>
        <v>750000</v>
      </c>
      <c r="N96" s="416">
        <f>15250000-7625000-5000000</f>
        <v>2625000</v>
      </c>
      <c r="O96" s="337">
        <f t="shared" si="67"/>
        <v>12625000</v>
      </c>
      <c r="P96" s="337">
        <f t="shared" si="68"/>
        <v>0</v>
      </c>
      <c r="Q96" s="337"/>
      <c r="R96" s="417">
        <v>750000</v>
      </c>
      <c r="S96" s="337">
        <f t="shared" si="69"/>
        <v>750000</v>
      </c>
      <c r="T96" s="416">
        <f t="shared" si="70"/>
        <v>0</v>
      </c>
      <c r="U96" s="416">
        <f t="shared" si="71"/>
        <v>2625000</v>
      </c>
      <c r="V96" s="416">
        <f>U96-W96-X96-Y96</f>
        <v>1000000</v>
      </c>
      <c r="W96" s="337"/>
      <c r="X96" s="337"/>
      <c r="Y96" s="416">
        <v>1625000</v>
      </c>
      <c r="Z96" s="13"/>
      <c r="AA96" s="13"/>
      <c r="AB96" s="241">
        <f t="shared" si="85"/>
        <v>0</v>
      </c>
      <c r="AC96" s="13"/>
      <c r="AD96" s="13"/>
      <c r="AE96" s="241">
        <f t="shared" si="72"/>
        <v>0</v>
      </c>
      <c r="AF96" s="13"/>
      <c r="AG96" s="13"/>
      <c r="AH96" s="241">
        <f t="shared" si="73"/>
        <v>0</v>
      </c>
      <c r="AI96" s="13"/>
      <c r="AJ96" s="13"/>
      <c r="AK96" s="241">
        <f t="shared" si="74"/>
        <v>0</v>
      </c>
      <c r="AL96" s="13"/>
      <c r="AM96" s="13"/>
      <c r="AN96" s="241">
        <f t="shared" si="75"/>
        <v>0</v>
      </c>
      <c r="AO96" s="13"/>
      <c r="AP96" s="242"/>
      <c r="AQ96" s="14">
        <f t="shared" si="76"/>
        <v>0</v>
      </c>
      <c r="AR96" s="13"/>
      <c r="AS96" s="242"/>
      <c r="AT96" s="14">
        <f t="shared" si="77"/>
        <v>0</v>
      </c>
      <c r="AU96" s="14"/>
      <c r="AV96" s="242">
        <v>1000000</v>
      </c>
      <c r="AW96" s="14">
        <f t="shared" si="78"/>
        <v>1000000</v>
      </c>
      <c r="AX96" s="14"/>
      <c r="AY96" s="242"/>
      <c r="AZ96" s="14">
        <f t="shared" si="79"/>
        <v>0</v>
      </c>
      <c r="BA96" s="14"/>
      <c r="BB96" s="242"/>
      <c r="BC96" s="14">
        <f t="shared" si="80"/>
        <v>0</v>
      </c>
      <c r="BD96" s="14"/>
      <c r="BE96" s="242"/>
      <c r="BF96" s="14">
        <f t="shared" si="86"/>
        <v>0</v>
      </c>
      <c r="BG96" s="242">
        <f t="shared" si="81"/>
        <v>1000000</v>
      </c>
      <c r="BH96" s="242"/>
      <c r="BI96" s="242">
        <f t="shared" si="82"/>
        <v>1000000</v>
      </c>
      <c r="BJ96" s="242">
        <f t="shared" si="83"/>
        <v>1625000</v>
      </c>
      <c r="BK96" s="242">
        <f t="shared" si="87"/>
        <v>1000000</v>
      </c>
      <c r="BL96" s="242"/>
      <c r="BM96" s="242"/>
      <c r="BN96" s="242">
        <f t="shared" si="88"/>
        <v>0</v>
      </c>
      <c r="BO96" s="242"/>
      <c r="BP96" s="242"/>
      <c r="BQ96" s="242">
        <f t="shared" si="89"/>
        <v>0</v>
      </c>
      <c r="BR96" s="242"/>
      <c r="BS96" s="242">
        <v>1625000</v>
      </c>
      <c r="BT96" s="414">
        <v>810000</v>
      </c>
      <c r="BU96" s="426"/>
      <c r="BV96" s="428"/>
      <c r="BW96" s="428"/>
      <c r="BX96" s="428"/>
      <c r="BY96" s="428"/>
      <c r="BZ96" s="432"/>
      <c r="CA96" s="432"/>
      <c r="CB96" s="337">
        <f t="shared" si="63"/>
        <v>1000000</v>
      </c>
      <c r="CE96" s="438"/>
    </row>
    <row r="97" spans="1:84" ht="30">
      <c r="A97" s="414">
        <f t="shared" si="84"/>
        <v>89</v>
      </c>
      <c r="B97" s="433">
        <v>1912</v>
      </c>
      <c r="C97" s="410" t="s">
        <v>706</v>
      </c>
      <c r="D97" s="416">
        <v>100000000</v>
      </c>
      <c r="E97" s="337">
        <v>1000000</v>
      </c>
      <c r="F97" s="337">
        <f t="shared" si="64"/>
        <v>99000000</v>
      </c>
      <c r="G97" s="337">
        <v>200000</v>
      </c>
      <c r="H97" s="337">
        <v>0</v>
      </c>
      <c r="I97" s="337"/>
      <c r="J97" s="337"/>
      <c r="K97" s="337">
        <f t="shared" si="65"/>
        <v>0</v>
      </c>
      <c r="L97" s="337">
        <f t="shared" si="66"/>
        <v>0</v>
      </c>
      <c r="M97" s="416">
        <f t="shared" si="90"/>
        <v>1000000</v>
      </c>
      <c r="N97" s="416">
        <v>4000000</v>
      </c>
      <c r="O97" s="337">
        <f t="shared" si="67"/>
        <v>95000000</v>
      </c>
      <c r="P97" s="337">
        <f t="shared" si="68"/>
        <v>200000</v>
      </c>
      <c r="Q97" s="337"/>
      <c r="R97" s="417">
        <v>800000</v>
      </c>
      <c r="S97" s="337">
        <f t="shared" si="69"/>
        <v>800000</v>
      </c>
      <c r="T97" s="416">
        <f t="shared" si="70"/>
        <v>0</v>
      </c>
      <c r="U97" s="416">
        <f t="shared" si="71"/>
        <v>4000000</v>
      </c>
      <c r="V97" s="416">
        <f>U97-Y97-W97-X97</f>
        <v>4000000</v>
      </c>
      <c r="W97" s="337"/>
      <c r="X97" s="337"/>
      <c r="Y97" s="415"/>
      <c r="Z97" s="13"/>
      <c r="AA97" s="13"/>
      <c r="AB97" s="241">
        <f t="shared" si="85"/>
        <v>0</v>
      </c>
      <c r="AC97" s="13"/>
      <c r="AD97" s="13"/>
      <c r="AE97" s="241">
        <f t="shared" si="72"/>
        <v>0</v>
      </c>
      <c r="AF97" s="13"/>
      <c r="AG97" s="13"/>
      <c r="AH97" s="241">
        <f t="shared" si="73"/>
        <v>0</v>
      </c>
      <c r="AI97" s="13"/>
      <c r="AJ97" s="13"/>
      <c r="AK97" s="241">
        <f t="shared" si="74"/>
        <v>0</v>
      </c>
      <c r="AL97" s="13"/>
      <c r="AM97" s="13"/>
      <c r="AN97" s="241">
        <f t="shared" si="75"/>
        <v>0</v>
      </c>
      <c r="AO97" s="13"/>
      <c r="AP97" s="242"/>
      <c r="AQ97" s="14">
        <f t="shared" si="76"/>
        <v>0</v>
      </c>
      <c r="AR97" s="13"/>
      <c r="AS97" s="242"/>
      <c r="AT97" s="14">
        <f t="shared" si="77"/>
        <v>0</v>
      </c>
      <c r="AU97" s="14"/>
      <c r="AV97" s="242">
        <v>1000000</v>
      </c>
      <c r="AW97" s="14">
        <f t="shared" si="78"/>
        <v>1000000</v>
      </c>
      <c r="AX97" s="14"/>
      <c r="AY97" s="242"/>
      <c r="AZ97" s="14">
        <f t="shared" si="79"/>
        <v>0</v>
      </c>
      <c r="BA97" s="14"/>
      <c r="BB97" s="242"/>
      <c r="BC97" s="14">
        <f t="shared" si="80"/>
        <v>0</v>
      </c>
      <c r="BD97" s="14"/>
      <c r="BE97" s="242"/>
      <c r="BF97" s="14">
        <f t="shared" si="86"/>
        <v>0</v>
      </c>
      <c r="BG97" s="242">
        <f t="shared" si="81"/>
        <v>1000000</v>
      </c>
      <c r="BH97" s="242"/>
      <c r="BI97" s="242">
        <f t="shared" si="82"/>
        <v>1000000</v>
      </c>
      <c r="BJ97" s="242">
        <f t="shared" si="83"/>
        <v>3000000</v>
      </c>
      <c r="BK97" s="242">
        <f t="shared" si="87"/>
        <v>1000000</v>
      </c>
      <c r="BL97" s="242"/>
      <c r="BM97" s="242"/>
      <c r="BN97" s="242">
        <f t="shared" si="88"/>
        <v>0</v>
      </c>
      <c r="BO97" s="242"/>
      <c r="BP97" s="242"/>
      <c r="BQ97" s="242">
        <f t="shared" si="89"/>
        <v>3000000</v>
      </c>
      <c r="BR97" s="242"/>
      <c r="BS97" s="242"/>
      <c r="BT97" s="414">
        <v>810000</v>
      </c>
      <c r="BU97" s="426"/>
      <c r="BV97" s="428"/>
      <c r="BW97" s="428"/>
      <c r="BX97" s="428"/>
      <c r="BY97" s="428"/>
      <c r="BZ97" s="432"/>
      <c r="CA97" s="432"/>
      <c r="CB97" s="337">
        <f t="shared" si="63"/>
        <v>4000000</v>
      </c>
      <c r="CE97" s="438"/>
    </row>
    <row r="98" spans="1:84" ht="30">
      <c r="A98" s="414">
        <f t="shared" si="84"/>
        <v>90</v>
      </c>
      <c r="B98" s="433">
        <v>1913</v>
      </c>
      <c r="C98" s="410" t="s">
        <v>707</v>
      </c>
      <c r="D98" s="416">
        <v>400000</v>
      </c>
      <c r="E98" s="337">
        <v>400000</v>
      </c>
      <c r="F98" s="337">
        <f t="shared" si="64"/>
        <v>0</v>
      </c>
      <c r="G98" s="337">
        <v>100000</v>
      </c>
      <c r="H98" s="337">
        <v>0</v>
      </c>
      <c r="I98" s="337"/>
      <c r="J98" s="337"/>
      <c r="K98" s="337">
        <f t="shared" si="65"/>
        <v>0</v>
      </c>
      <c r="L98" s="337">
        <f t="shared" si="66"/>
        <v>0</v>
      </c>
      <c r="M98" s="416">
        <f t="shared" si="90"/>
        <v>400000</v>
      </c>
      <c r="N98" s="416"/>
      <c r="O98" s="337">
        <f t="shared" si="67"/>
        <v>0</v>
      </c>
      <c r="P98" s="337">
        <f t="shared" si="68"/>
        <v>100000</v>
      </c>
      <c r="Q98" s="337"/>
      <c r="R98" s="417">
        <v>300000</v>
      </c>
      <c r="S98" s="337">
        <f t="shared" si="69"/>
        <v>300000</v>
      </c>
      <c r="T98" s="416">
        <f t="shared" si="70"/>
        <v>0</v>
      </c>
      <c r="U98" s="416">
        <f t="shared" si="71"/>
        <v>0</v>
      </c>
      <c r="V98" s="416">
        <f>U98-Y98-W98-X98</f>
        <v>0</v>
      </c>
      <c r="W98" s="337"/>
      <c r="X98" s="337"/>
      <c r="Y98" s="415"/>
      <c r="Z98" s="13"/>
      <c r="AA98" s="13"/>
      <c r="AB98" s="241">
        <f t="shared" si="85"/>
        <v>0</v>
      </c>
      <c r="AC98" s="13"/>
      <c r="AD98" s="13"/>
      <c r="AE98" s="241">
        <f t="shared" si="72"/>
        <v>0</v>
      </c>
      <c r="AF98" s="13"/>
      <c r="AG98" s="13"/>
      <c r="AH98" s="241">
        <f t="shared" si="73"/>
        <v>0</v>
      </c>
      <c r="AI98" s="13"/>
      <c r="AJ98" s="13"/>
      <c r="AK98" s="241">
        <f t="shared" si="74"/>
        <v>0</v>
      </c>
      <c r="AL98" s="13"/>
      <c r="AM98" s="13"/>
      <c r="AN98" s="241">
        <f t="shared" si="75"/>
        <v>0</v>
      </c>
      <c r="AO98" s="13"/>
      <c r="AP98" s="242"/>
      <c r="AQ98" s="14">
        <f t="shared" si="76"/>
        <v>0</v>
      </c>
      <c r="AR98" s="13"/>
      <c r="AS98" s="242"/>
      <c r="AT98" s="14">
        <f t="shared" si="77"/>
        <v>0</v>
      </c>
      <c r="AU98" s="14"/>
      <c r="AV98" s="242"/>
      <c r="AW98" s="14">
        <f t="shared" si="78"/>
        <v>0</v>
      </c>
      <c r="AX98" s="14"/>
      <c r="AY98" s="242"/>
      <c r="AZ98" s="14">
        <f t="shared" si="79"/>
        <v>0</v>
      </c>
      <c r="BA98" s="14"/>
      <c r="BB98" s="242"/>
      <c r="BC98" s="14">
        <f t="shared" si="80"/>
        <v>0</v>
      </c>
      <c r="BD98" s="14"/>
      <c r="BE98" s="242"/>
      <c r="BF98" s="14">
        <f t="shared" si="86"/>
        <v>0</v>
      </c>
      <c r="BG98" s="242">
        <f t="shared" si="81"/>
        <v>0</v>
      </c>
      <c r="BH98" s="242"/>
      <c r="BI98" s="242">
        <f t="shared" si="82"/>
        <v>0</v>
      </c>
      <c r="BJ98" s="242">
        <f t="shared" si="83"/>
        <v>0</v>
      </c>
      <c r="BK98" s="242">
        <f t="shared" si="87"/>
        <v>0</v>
      </c>
      <c r="BL98" s="242"/>
      <c r="BM98" s="242"/>
      <c r="BN98" s="242">
        <f t="shared" si="88"/>
        <v>0</v>
      </c>
      <c r="BO98" s="242"/>
      <c r="BP98" s="242"/>
      <c r="BQ98" s="242">
        <f t="shared" si="89"/>
        <v>0</v>
      </c>
      <c r="BR98" s="242"/>
      <c r="BS98" s="242"/>
      <c r="BT98" s="414">
        <v>810000</v>
      </c>
      <c r="BU98" s="426"/>
      <c r="BV98" s="428"/>
      <c r="BW98" s="428"/>
      <c r="BX98" s="428"/>
      <c r="BY98" s="428"/>
      <c r="BZ98" s="432"/>
      <c r="CA98" s="432"/>
      <c r="CB98" s="337">
        <f t="shared" si="63"/>
        <v>0</v>
      </c>
      <c r="CE98" s="405"/>
    </row>
    <row r="99" spans="1:84" ht="15.75">
      <c r="A99" s="414">
        <f t="shared" si="84"/>
        <v>91</v>
      </c>
      <c r="B99" s="433">
        <v>1914</v>
      </c>
      <c r="C99" s="415" t="s">
        <v>708</v>
      </c>
      <c r="D99" s="416">
        <v>7500000</v>
      </c>
      <c r="E99" s="337">
        <v>300000</v>
      </c>
      <c r="F99" s="337">
        <f t="shared" si="64"/>
        <v>7200000</v>
      </c>
      <c r="G99" s="337">
        <v>100000</v>
      </c>
      <c r="H99" s="337"/>
      <c r="I99" s="337"/>
      <c r="J99" s="337"/>
      <c r="K99" s="337"/>
      <c r="L99" s="337"/>
      <c r="M99" s="416">
        <f t="shared" si="90"/>
        <v>300000</v>
      </c>
      <c r="N99" s="416">
        <f>7400000-200000-3600000-1000000</f>
        <v>2600000</v>
      </c>
      <c r="O99" s="337">
        <f t="shared" si="67"/>
        <v>4600000</v>
      </c>
      <c r="P99" s="337">
        <f t="shared" si="68"/>
        <v>100000</v>
      </c>
      <c r="Q99" s="337"/>
      <c r="R99" s="417">
        <v>200000</v>
      </c>
      <c r="S99" s="337">
        <f t="shared" si="69"/>
        <v>200000</v>
      </c>
      <c r="T99" s="416">
        <f t="shared" si="70"/>
        <v>0</v>
      </c>
      <c r="U99" s="416">
        <f t="shared" si="71"/>
        <v>2600000</v>
      </c>
      <c r="V99" s="416">
        <f t="shared" ref="V99:V107" si="91">U99-W99-X99-Y99</f>
        <v>2600000</v>
      </c>
      <c r="W99" s="337"/>
      <c r="X99" s="337"/>
      <c r="Y99" s="415"/>
      <c r="Z99" s="13"/>
      <c r="AA99" s="13"/>
      <c r="AB99" s="241">
        <f t="shared" si="85"/>
        <v>0</v>
      </c>
      <c r="AC99" s="13"/>
      <c r="AD99" s="13"/>
      <c r="AE99" s="241">
        <f t="shared" si="72"/>
        <v>0</v>
      </c>
      <c r="AF99" s="13"/>
      <c r="AG99" s="13"/>
      <c r="AH99" s="241">
        <f t="shared" si="73"/>
        <v>0</v>
      </c>
      <c r="AI99" s="13"/>
      <c r="AJ99" s="13"/>
      <c r="AK99" s="241">
        <f t="shared" si="74"/>
        <v>0</v>
      </c>
      <c r="AL99" s="13"/>
      <c r="AM99" s="13"/>
      <c r="AN99" s="241">
        <f t="shared" si="75"/>
        <v>0</v>
      </c>
      <c r="AO99" s="13"/>
      <c r="AP99" s="242"/>
      <c r="AQ99" s="14">
        <f t="shared" si="76"/>
        <v>0</v>
      </c>
      <c r="AR99" s="13"/>
      <c r="AS99" s="242"/>
      <c r="AT99" s="14">
        <f t="shared" si="77"/>
        <v>0</v>
      </c>
      <c r="AU99" s="14"/>
      <c r="AV99" s="242">
        <v>600000</v>
      </c>
      <c r="AW99" s="14">
        <f t="shared" si="78"/>
        <v>600000</v>
      </c>
      <c r="AX99" s="14"/>
      <c r="AY99" s="242"/>
      <c r="AZ99" s="14">
        <f t="shared" si="79"/>
        <v>0</v>
      </c>
      <c r="BA99" s="14"/>
      <c r="BB99" s="242"/>
      <c r="BC99" s="14">
        <f t="shared" si="80"/>
        <v>0</v>
      </c>
      <c r="BD99" s="14"/>
      <c r="BE99" s="242">
        <v>400000</v>
      </c>
      <c r="BF99" s="14">
        <f t="shared" si="86"/>
        <v>400000</v>
      </c>
      <c r="BG99" s="242">
        <f t="shared" si="81"/>
        <v>1000000</v>
      </c>
      <c r="BH99" s="242"/>
      <c r="BI99" s="242">
        <f t="shared" si="82"/>
        <v>1000000</v>
      </c>
      <c r="BJ99" s="242">
        <f t="shared" si="83"/>
        <v>1600000</v>
      </c>
      <c r="BK99" s="242">
        <f t="shared" si="87"/>
        <v>1000000</v>
      </c>
      <c r="BL99" s="242"/>
      <c r="BM99" s="242"/>
      <c r="BN99" s="242">
        <f t="shared" si="88"/>
        <v>0</v>
      </c>
      <c r="BO99" s="242"/>
      <c r="BP99" s="242"/>
      <c r="BQ99" s="242">
        <f t="shared" si="89"/>
        <v>1600000</v>
      </c>
      <c r="BR99" s="242"/>
      <c r="BS99" s="242"/>
      <c r="BT99" s="414">
        <v>810000</v>
      </c>
      <c r="BU99" s="426"/>
      <c r="BV99" s="428"/>
      <c r="BW99" s="428"/>
      <c r="BX99" s="428"/>
      <c r="BY99" s="428"/>
      <c r="BZ99" s="432"/>
      <c r="CA99" s="432"/>
      <c r="CB99" s="422">
        <f t="shared" si="63"/>
        <v>2600000</v>
      </c>
    </row>
    <row r="100" spans="1:84" s="403" customFormat="1" ht="15.75">
      <c r="A100" s="414">
        <f t="shared" si="84"/>
        <v>92</v>
      </c>
      <c r="B100" s="445">
        <v>1919</v>
      </c>
      <c r="C100" s="415" t="s">
        <v>273</v>
      </c>
      <c r="D100" s="416">
        <v>135100000</v>
      </c>
      <c r="E100" s="416">
        <v>135100000</v>
      </c>
      <c r="F100" s="337">
        <f t="shared" si="64"/>
        <v>0</v>
      </c>
      <c r="G100" s="416">
        <v>7684514</v>
      </c>
      <c r="H100" s="416">
        <v>37206</v>
      </c>
      <c r="I100" s="416">
        <v>68094</v>
      </c>
      <c r="J100" s="416"/>
      <c r="K100" s="416">
        <f>SUM(I100:J100)</f>
        <v>68094</v>
      </c>
      <c r="L100" s="416">
        <f>H100+K100</f>
        <v>105300</v>
      </c>
      <c r="M100" s="416">
        <f t="shared" si="90"/>
        <v>7579214</v>
      </c>
      <c r="N100" s="416"/>
      <c r="O100" s="337">
        <f t="shared" si="67"/>
        <v>127415486</v>
      </c>
      <c r="P100" s="416">
        <f t="shared" si="68"/>
        <v>7579214</v>
      </c>
      <c r="Q100" s="416"/>
      <c r="R100" s="450"/>
      <c r="S100" s="416">
        <f t="shared" si="69"/>
        <v>0</v>
      </c>
      <c r="T100" s="416">
        <f t="shared" si="70"/>
        <v>0</v>
      </c>
      <c r="U100" s="416">
        <f t="shared" si="71"/>
        <v>0</v>
      </c>
      <c r="V100" s="416">
        <f t="shared" si="91"/>
        <v>0</v>
      </c>
      <c r="W100" s="416"/>
      <c r="X100" s="416"/>
      <c r="Y100" s="415"/>
      <c r="Z100" s="13"/>
      <c r="AA100" s="13"/>
      <c r="AB100" s="241">
        <f t="shared" si="85"/>
        <v>0</v>
      </c>
      <c r="AC100" s="13"/>
      <c r="AD100" s="13"/>
      <c r="AE100" s="241">
        <f t="shared" si="72"/>
        <v>0</v>
      </c>
      <c r="AF100" s="13"/>
      <c r="AG100" s="13"/>
      <c r="AH100" s="241">
        <f t="shared" si="73"/>
        <v>0</v>
      </c>
      <c r="AI100" s="13"/>
      <c r="AJ100" s="13"/>
      <c r="AK100" s="241">
        <f t="shared" si="74"/>
        <v>0</v>
      </c>
      <c r="AL100" s="13"/>
      <c r="AM100" s="13"/>
      <c r="AN100" s="241">
        <f t="shared" si="75"/>
        <v>0</v>
      </c>
      <c r="AO100" s="13"/>
      <c r="AP100" s="242"/>
      <c r="AQ100" s="14">
        <f t="shared" si="76"/>
        <v>0</v>
      </c>
      <c r="AR100" s="13"/>
      <c r="AS100" s="242"/>
      <c r="AT100" s="241">
        <f t="shared" si="77"/>
        <v>0</v>
      </c>
      <c r="AU100" s="13"/>
      <c r="AV100" s="242"/>
      <c r="AW100" s="241">
        <f t="shared" si="78"/>
        <v>0</v>
      </c>
      <c r="AX100" s="13"/>
      <c r="AY100" s="242"/>
      <c r="AZ100" s="241">
        <f t="shared" si="79"/>
        <v>0</v>
      </c>
      <c r="BA100" s="13"/>
      <c r="BB100" s="242"/>
      <c r="BC100" s="241">
        <f t="shared" si="80"/>
        <v>0</v>
      </c>
      <c r="BD100" s="13"/>
      <c r="BE100" s="242"/>
      <c r="BF100" s="241">
        <f t="shared" si="86"/>
        <v>0</v>
      </c>
      <c r="BG100" s="242">
        <f t="shared" si="81"/>
        <v>0</v>
      </c>
      <c r="BH100" s="242"/>
      <c r="BI100" s="242">
        <f t="shared" si="82"/>
        <v>0</v>
      </c>
      <c r="BJ100" s="242">
        <f t="shared" si="83"/>
        <v>0</v>
      </c>
      <c r="BK100" s="242">
        <f t="shared" si="87"/>
        <v>0</v>
      </c>
      <c r="BL100" s="242"/>
      <c r="BM100" s="242"/>
      <c r="BN100" s="242">
        <f t="shared" si="88"/>
        <v>0</v>
      </c>
      <c r="BO100" s="242"/>
      <c r="BP100" s="242"/>
      <c r="BQ100" s="242">
        <f t="shared" si="89"/>
        <v>0</v>
      </c>
      <c r="BR100" s="242"/>
      <c r="BS100" s="242"/>
      <c r="BT100" s="415">
        <v>810000</v>
      </c>
      <c r="BU100" s="446"/>
      <c r="BV100" s="447"/>
      <c r="BW100" s="447"/>
      <c r="BX100" s="447"/>
      <c r="BY100" s="447"/>
      <c r="BZ100" s="448"/>
      <c r="CA100" s="448"/>
      <c r="CB100" s="337">
        <f t="shared" si="63"/>
        <v>0</v>
      </c>
      <c r="CE100" s="404"/>
      <c r="CF100" s="400"/>
    </row>
    <row r="101" spans="1:84" ht="30">
      <c r="A101" s="414">
        <f t="shared" si="84"/>
        <v>93</v>
      </c>
      <c r="B101" s="241">
        <v>1959</v>
      </c>
      <c r="C101" s="415" t="s">
        <v>709</v>
      </c>
      <c r="D101" s="416">
        <v>35000000</v>
      </c>
      <c r="E101" s="337"/>
      <c r="F101" s="337">
        <f t="shared" si="64"/>
        <v>35000000</v>
      </c>
      <c r="G101" s="337"/>
      <c r="H101" s="337"/>
      <c r="I101" s="337"/>
      <c r="J101" s="337"/>
      <c r="K101" s="337"/>
      <c r="L101" s="337"/>
      <c r="M101" s="416"/>
      <c r="N101" s="416">
        <v>3500000</v>
      </c>
      <c r="O101" s="337">
        <f t="shared" si="58"/>
        <v>31500000</v>
      </c>
      <c r="P101" s="337"/>
      <c r="Q101" s="337"/>
      <c r="R101" s="337"/>
      <c r="S101" s="337">
        <f>SUM(Q101:R101)</f>
        <v>0</v>
      </c>
      <c r="T101" s="416">
        <f>P101-M101+S101</f>
        <v>0</v>
      </c>
      <c r="U101" s="416">
        <f t="shared" si="71"/>
        <v>3500000</v>
      </c>
      <c r="V101" s="416">
        <f t="shared" si="91"/>
        <v>3500000</v>
      </c>
      <c r="W101" s="337"/>
      <c r="X101" s="337"/>
      <c r="Y101" s="415"/>
      <c r="Z101" s="20"/>
      <c r="AA101" s="20"/>
      <c r="AB101" s="241">
        <f t="shared" si="85"/>
        <v>0</v>
      </c>
      <c r="AC101" s="20"/>
      <c r="AD101" s="20"/>
      <c r="AE101" s="241">
        <f t="shared" si="72"/>
        <v>0</v>
      </c>
      <c r="AF101" s="20"/>
      <c r="AG101" s="20"/>
      <c r="AH101" s="241">
        <f t="shared" si="73"/>
        <v>0</v>
      </c>
      <c r="AI101" s="20"/>
      <c r="AJ101" s="20"/>
      <c r="AK101" s="241">
        <f t="shared" si="74"/>
        <v>0</v>
      </c>
      <c r="AL101" s="20"/>
      <c r="AM101" s="20"/>
      <c r="AN101" s="241">
        <f t="shared" si="75"/>
        <v>0</v>
      </c>
      <c r="AO101" s="20"/>
      <c r="AP101" s="242"/>
      <c r="AQ101" s="14">
        <f t="shared" si="76"/>
        <v>0</v>
      </c>
      <c r="AR101" s="14"/>
      <c r="AS101" s="14"/>
      <c r="AT101" s="14">
        <f t="shared" si="77"/>
        <v>0</v>
      </c>
      <c r="AU101" s="14"/>
      <c r="AV101" s="242">
        <v>1000000</v>
      </c>
      <c r="AW101" s="14">
        <f t="shared" si="78"/>
        <v>1000000</v>
      </c>
      <c r="AX101" s="14"/>
      <c r="AY101" s="242"/>
      <c r="AZ101" s="14">
        <f t="shared" si="79"/>
        <v>0</v>
      </c>
      <c r="BA101" s="14"/>
      <c r="BB101" s="242"/>
      <c r="BC101" s="14">
        <f t="shared" si="80"/>
        <v>0</v>
      </c>
      <c r="BD101" s="14"/>
      <c r="BE101" s="242">
        <v>500000</v>
      </c>
      <c r="BF101" s="14">
        <f t="shared" si="86"/>
        <v>500000</v>
      </c>
      <c r="BG101" s="242">
        <f t="shared" si="81"/>
        <v>1500000</v>
      </c>
      <c r="BH101" s="242"/>
      <c r="BI101" s="242">
        <f t="shared" si="82"/>
        <v>1500000</v>
      </c>
      <c r="BJ101" s="242">
        <f t="shared" si="83"/>
        <v>2000000</v>
      </c>
      <c r="BK101" s="242">
        <f t="shared" si="87"/>
        <v>1500000</v>
      </c>
      <c r="BL101" s="242"/>
      <c r="BM101" s="242"/>
      <c r="BN101" s="242">
        <f t="shared" si="88"/>
        <v>0</v>
      </c>
      <c r="BO101" s="242"/>
      <c r="BP101" s="242"/>
      <c r="BQ101" s="242">
        <f t="shared" si="89"/>
        <v>2000000</v>
      </c>
      <c r="BR101" s="242"/>
      <c r="BS101" s="242"/>
      <c r="BT101" s="414">
        <v>810000</v>
      </c>
      <c r="BU101" s="426"/>
      <c r="BV101" s="428"/>
      <c r="BW101" s="428"/>
      <c r="BX101" s="428"/>
      <c r="BY101" s="428"/>
      <c r="BZ101" s="432"/>
      <c r="CA101" s="432"/>
      <c r="CB101" s="337">
        <f t="shared" si="63"/>
        <v>3500000</v>
      </c>
    </row>
    <row r="102" spans="1:84" ht="15.75">
      <c r="A102" s="414">
        <f t="shared" si="84"/>
        <v>94</v>
      </c>
      <c r="B102" s="241">
        <v>1960</v>
      </c>
      <c r="C102" s="415" t="s">
        <v>710</v>
      </c>
      <c r="D102" s="416">
        <v>7500000</v>
      </c>
      <c r="E102" s="337"/>
      <c r="F102" s="337">
        <f t="shared" si="64"/>
        <v>7500000</v>
      </c>
      <c r="G102" s="337"/>
      <c r="H102" s="337"/>
      <c r="I102" s="337"/>
      <c r="J102" s="337"/>
      <c r="K102" s="337"/>
      <c r="L102" s="337"/>
      <c r="M102" s="416"/>
      <c r="N102" s="416">
        <f>7500000-3750000</f>
        <v>3750000</v>
      </c>
      <c r="O102" s="337">
        <f t="shared" si="58"/>
        <v>3750000</v>
      </c>
      <c r="P102" s="337"/>
      <c r="Q102" s="337"/>
      <c r="R102" s="337"/>
      <c r="S102" s="337"/>
      <c r="T102" s="416"/>
      <c r="U102" s="416">
        <f t="shared" si="71"/>
        <v>3750000</v>
      </c>
      <c r="V102" s="416">
        <f t="shared" si="91"/>
        <v>1310000</v>
      </c>
      <c r="W102" s="337"/>
      <c r="X102" s="337"/>
      <c r="Y102" s="416">
        <v>2440000</v>
      </c>
      <c r="Z102" s="241"/>
      <c r="AA102" s="241"/>
      <c r="AB102" s="241">
        <f t="shared" si="85"/>
        <v>0</v>
      </c>
      <c r="AC102" s="241"/>
      <c r="AD102" s="241"/>
      <c r="AE102" s="241">
        <f t="shared" si="72"/>
        <v>0</v>
      </c>
      <c r="AF102" s="241"/>
      <c r="AG102" s="241"/>
      <c r="AH102" s="241">
        <f t="shared" si="73"/>
        <v>0</v>
      </c>
      <c r="AI102" s="241"/>
      <c r="AJ102" s="241"/>
      <c r="AK102" s="241">
        <f t="shared" si="74"/>
        <v>0</v>
      </c>
      <c r="AL102" s="241"/>
      <c r="AM102" s="242"/>
      <c r="AN102" s="242">
        <f t="shared" si="75"/>
        <v>0</v>
      </c>
      <c r="AO102" s="241"/>
      <c r="AP102" s="242"/>
      <c r="AQ102" s="14">
        <f t="shared" si="76"/>
        <v>0</v>
      </c>
      <c r="AR102" s="14"/>
      <c r="AS102" s="14"/>
      <c r="AT102" s="14">
        <f t="shared" si="77"/>
        <v>0</v>
      </c>
      <c r="AU102" s="14"/>
      <c r="AV102" s="242">
        <v>600000</v>
      </c>
      <c r="AW102" s="14">
        <f t="shared" si="78"/>
        <v>600000</v>
      </c>
      <c r="AX102" s="14"/>
      <c r="AY102" s="242"/>
      <c r="AZ102" s="14">
        <f t="shared" si="79"/>
        <v>0</v>
      </c>
      <c r="BA102" s="14"/>
      <c r="BB102" s="242"/>
      <c r="BC102" s="14">
        <f t="shared" si="80"/>
        <v>0</v>
      </c>
      <c r="BD102" s="14"/>
      <c r="BE102" s="242">
        <v>150000</v>
      </c>
      <c r="BF102" s="14">
        <f t="shared" si="86"/>
        <v>150000</v>
      </c>
      <c r="BG102" s="242">
        <f t="shared" si="81"/>
        <v>750000</v>
      </c>
      <c r="BH102" s="242"/>
      <c r="BI102" s="242">
        <f t="shared" si="82"/>
        <v>750000</v>
      </c>
      <c r="BJ102" s="242">
        <f t="shared" si="83"/>
        <v>3000000</v>
      </c>
      <c r="BK102" s="242">
        <f t="shared" si="87"/>
        <v>750000</v>
      </c>
      <c r="BL102" s="242"/>
      <c r="BM102" s="242"/>
      <c r="BN102" s="242">
        <f t="shared" si="88"/>
        <v>0</v>
      </c>
      <c r="BO102" s="242"/>
      <c r="BP102" s="242"/>
      <c r="BQ102" s="242">
        <f t="shared" si="89"/>
        <v>560000</v>
      </c>
      <c r="BR102" s="242"/>
      <c r="BS102" s="242">
        <v>2440000</v>
      </c>
      <c r="BT102" s="414">
        <v>810000</v>
      </c>
      <c r="BU102" s="426"/>
      <c r="BV102" s="428"/>
      <c r="BW102" s="428"/>
      <c r="BX102" s="428"/>
      <c r="BY102" s="428"/>
      <c r="BZ102" s="432"/>
      <c r="CA102" s="432"/>
      <c r="CB102" s="337">
        <f t="shared" si="63"/>
        <v>1310000</v>
      </c>
    </row>
    <row r="103" spans="1:84" ht="15.75">
      <c r="A103" s="414">
        <f t="shared" si="84"/>
        <v>95</v>
      </c>
      <c r="B103" s="241">
        <v>1961</v>
      </c>
      <c r="C103" s="415" t="s">
        <v>384</v>
      </c>
      <c r="D103" s="416">
        <v>3000000</v>
      </c>
      <c r="E103" s="337"/>
      <c r="F103" s="337">
        <f t="shared" si="64"/>
        <v>3000000</v>
      </c>
      <c r="G103" s="337"/>
      <c r="H103" s="337"/>
      <c r="I103" s="337"/>
      <c r="J103" s="337"/>
      <c r="K103" s="337"/>
      <c r="L103" s="337"/>
      <c r="M103" s="416"/>
      <c r="N103" s="416">
        <v>3000000</v>
      </c>
      <c r="O103" s="337">
        <f t="shared" si="58"/>
        <v>0</v>
      </c>
      <c r="P103" s="337"/>
      <c r="Q103" s="337"/>
      <c r="R103" s="337"/>
      <c r="S103" s="337"/>
      <c r="T103" s="416"/>
      <c r="U103" s="416">
        <f t="shared" si="71"/>
        <v>3000000</v>
      </c>
      <c r="V103" s="416">
        <f t="shared" si="91"/>
        <v>3000000</v>
      </c>
      <c r="W103" s="337"/>
      <c r="X103" s="337"/>
      <c r="Y103" s="415"/>
      <c r="Z103" s="241"/>
      <c r="AA103" s="241"/>
      <c r="AB103" s="241">
        <f t="shared" si="85"/>
        <v>0</v>
      </c>
      <c r="AC103" s="241"/>
      <c r="AD103" s="241"/>
      <c r="AE103" s="241">
        <f t="shared" si="72"/>
        <v>0</v>
      </c>
      <c r="AF103" s="241"/>
      <c r="AG103" s="241"/>
      <c r="AH103" s="241">
        <f t="shared" si="73"/>
        <v>0</v>
      </c>
      <c r="AI103" s="241"/>
      <c r="AJ103" s="241"/>
      <c r="AK103" s="241">
        <f t="shared" si="74"/>
        <v>0</v>
      </c>
      <c r="AL103" s="241"/>
      <c r="AM103" s="241"/>
      <c r="AN103" s="241">
        <f t="shared" si="75"/>
        <v>0</v>
      </c>
      <c r="AO103" s="241"/>
      <c r="AP103" s="242"/>
      <c r="AQ103" s="14">
        <f t="shared" si="76"/>
        <v>0</v>
      </c>
      <c r="AR103" s="14"/>
      <c r="AS103" s="14"/>
      <c r="AT103" s="14">
        <f t="shared" si="77"/>
        <v>0</v>
      </c>
      <c r="AU103" s="14"/>
      <c r="AV103" s="242">
        <v>500000</v>
      </c>
      <c r="AW103" s="14">
        <f t="shared" si="78"/>
        <v>500000</v>
      </c>
      <c r="AX103" s="14"/>
      <c r="AY103" s="242"/>
      <c r="AZ103" s="14">
        <f t="shared" si="79"/>
        <v>0</v>
      </c>
      <c r="BA103" s="14"/>
      <c r="BB103" s="242"/>
      <c r="BC103" s="14">
        <f t="shared" si="80"/>
        <v>0</v>
      </c>
      <c r="BD103" s="14"/>
      <c r="BE103" s="242">
        <v>1000000</v>
      </c>
      <c r="BF103" s="14">
        <f t="shared" si="86"/>
        <v>1000000</v>
      </c>
      <c r="BG103" s="242">
        <f t="shared" si="81"/>
        <v>1500000</v>
      </c>
      <c r="BH103" s="242"/>
      <c r="BI103" s="242">
        <f t="shared" si="82"/>
        <v>1500000</v>
      </c>
      <c r="BJ103" s="242">
        <f t="shared" si="83"/>
        <v>1500000</v>
      </c>
      <c r="BK103" s="242">
        <f t="shared" si="87"/>
        <v>1500000</v>
      </c>
      <c r="BL103" s="242"/>
      <c r="BM103" s="242"/>
      <c r="BN103" s="242">
        <f t="shared" si="88"/>
        <v>0</v>
      </c>
      <c r="BO103" s="242"/>
      <c r="BP103" s="242"/>
      <c r="BQ103" s="242">
        <f t="shared" si="89"/>
        <v>1500000</v>
      </c>
      <c r="BR103" s="242"/>
      <c r="BS103" s="242"/>
      <c r="BT103" s="414">
        <v>742000</v>
      </c>
      <c r="BU103" s="426"/>
      <c r="BV103" s="428"/>
      <c r="BW103" s="428"/>
      <c r="BX103" s="428"/>
      <c r="BY103" s="428"/>
      <c r="BZ103" s="432"/>
      <c r="CA103" s="432"/>
      <c r="CB103" s="337">
        <f t="shared" si="63"/>
        <v>3000000</v>
      </c>
    </row>
    <row r="104" spans="1:84" ht="15.75">
      <c r="A104" s="414">
        <f t="shared" si="84"/>
        <v>96</v>
      </c>
      <c r="B104" s="241">
        <v>1962</v>
      </c>
      <c r="C104" s="415" t="s">
        <v>385</v>
      </c>
      <c r="D104" s="416">
        <v>20000000</v>
      </c>
      <c r="E104" s="337"/>
      <c r="F104" s="337">
        <f t="shared" si="64"/>
        <v>20000000</v>
      </c>
      <c r="G104" s="337"/>
      <c r="H104" s="337"/>
      <c r="I104" s="337"/>
      <c r="J104" s="337"/>
      <c r="K104" s="337"/>
      <c r="L104" s="337"/>
      <c r="M104" s="416"/>
      <c r="N104" s="416">
        <v>2000000</v>
      </c>
      <c r="O104" s="337">
        <f t="shared" si="58"/>
        <v>18000000</v>
      </c>
      <c r="P104" s="337"/>
      <c r="Q104" s="337"/>
      <c r="R104" s="337"/>
      <c r="S104" s="337"/>
      <c r="T104" s="416"/>
      <c r="U104" s="416">
        <f t="shared" si="71"/>
        <v>2000000</v>
      </c>
      <c r="V104" s="416">
        <f t="shared" si="91"/>
        <v>2000000</v>
      </c>
      <c r="W104" s="337"/>
      <c r="X104" s="337"/>
      <c r="Y104" s="415"/>
      <c r="Z104" s="13"/>
      <c r="AA104" s="13"/>
      <c r="AB104" s="241">
        <f t="shared" si="85"/>
        <v>0</v>
      </c>
      <c r="AC104" s="13"/>
      <c r="AD104" s="13"/>
      <c r="AE104" s="241">
        <f t="shared" si="72"/>
        <v>0</v>
      </c>
      <c r="AF104" s="13"/>
      <c r="AG104" s="13"/>
      <c r="AH104" s="241">
        <f t="shared" si="73"/>
        <v>0</v>
      </c>
      <c r="AI104" s="13"/>
      <c r="AJ104" s="13"/>
      <c r="AK104" s="241">
        <f t="shared" si="74"/>
        <v>0</v>
      </c>
      <c r="AL104" s="13"/>
      <c r="AM104" s="13"/>
      <c r="AN104" s="241">
        <f t="shared" si="75"/>
        <v>0</v>
      </c>
      <c r="AO104" s="13"/>
      <c r="AP104" s="242"/>
      <c r="AQ104" s="14">
        <f t="shared" si="76"/>
        <v>0</v>
      </c>
      <c r="AR104" s="14"/>
      <c r="AS104" s="14"/>
      <c r="AT104" s="14">
        <f t="shared" si="77"/>
        <v>0</v>
      </c>
      <c r="AU104" s="14"/>
      <c r="AV104" s="242">
        <v>500000</v>
      </c>
      <c r="AW104" s="14">
        <f t="shared" si="78"/>
        <v>500000</v>
      </c>
      <c r="AX104" s="14"/>
      <c r="AY104" s="242"/>
      <c r="AZ104" s="14">
        <f t="shared" si="79"/>
        <v>0</v>
      </c>
      <c r="BA104" s="14"/>
      <c r="BB104" s="242"/>
      <c r="BC104" s="14">
        <f t="shared" si="80"/>
        <v>0</v>
      </c>
      <c r="BD104" s="14"/>
      <c r="BE104" s="242">
        <v>500000</v>
      </c>
      <c r="BF104" s="14">
        <f t="shared" si="86"/>
        <v>500000</v>
      </c>
      <c r="BG104" s="242">
        <f t="shared" si="81"/>
        <v>1000000</v>
      </c>
      <c r="BH104" s="242"/>
      <c r="BI104" s="242">
        <f t="shared" si="82"/>
        <v>1000000</v>
      </c>
      <c r="BJ104" s="242">
        <f t="shared" si="83"/>
        <v>1000000</v>
      </c>
      <c r="BK104" s="242">
        <f t="shared" si="87"/>
        <v>1000000</v>
      </c>
      <c r="BL104" s="242"/>
      <c r="BM104" s="242"/>
      <c r="BN104" s="242">
        <f t="shared" si="88"/>
        <v>0</v>
      </c>
      <c r="BO104" s="242"/>
      <c r="BP104" s="242"/>
      <c r="BQ104" s="242">
        <f t="shared" si="89"/>
        <v>1000000</v>
      </c>
      <c r="BR104" s="242"/>
      <c r="BS104" s="242"/>
      <c r="BT104" s="414">
        <v>742000</v>
      </c>
      <c r="BU104" s="426"/>
      <c r="BV104" s="428"/>
      <c r="BW104" s="428"/>
      <c r="BX104" s="428"/>
      <c r="BY104" s="428"/>
      <c r="BZ104" s="432"/>
      <c r="CA104" s="432"/>
      <c r="CB104" s="337">
        <f t="shared" si="63"/>
        <v>2000000</v>
      </c>
    </row>
    <row r="105" spans="1:84" ht="15.75">
      <c r="A105" s="414">
        <f t="shared" si="84"/>
        <v>97</v>
      </c>
      <c r="B105" s="241">
        <v>1963</v>
      </c>
      <c r="C105" s="415" t="s">
        <v>404</v>
      </c>
      <c r="D105" s="416">
        <v>2800000</v>
      </c>
      <c r="E105" s="337"/>
      <c r="F105" s="337">
        <f t="shared" si="64"/>
        <v>2800000</v>
      </c>
      <c r="G105" s="337"/>
      <c r="H105" s="337"/>
      <c r="I105" s="337"/>
      <c r="J105" s="337"/>
      <c r="K105" s="337"/>
      <c r="L105" s="337"/>
      <c r="M105" s="416"/>
      <c r="N105" s="416">
        <v>2800000</v>
      </c>
      <c r="O105" s="337">
        <f t="shared" si="58"/>
        <v>0</v>
      </c>
      <c r="P105" s="337"/>
      <c r="Q105" s="337"/>
      <c r="R105" s="337"/>
      <c r="S105" s="337"/>
      <c r="T105" s="416"/>
      <c r="U105" s="416">
        <f t="shared" si="71"/>
        <v>2800000</v>
      </c>
      <c r="V105" s="416">
        <f t="shared" si="91"/>
        <v>309655</v>
      </c>
      <c r="W105" s="337"/>
      <c r="X105" s="337"/>
      <c r="Y105" s="416">
        <f>1800000*1.1*1.075*1.17</f>
        <v>2490345</v>
      </c>
      <c r="Z105" s="13"/>
      <c r="AA105" s="13"/>
      <c r="AB105" s="241">
        <f t="shared" si="85"/>
        <v>0</v>
      </c>
      <c r="AC105" s="13"/>
      <c r="AD105" s="13"/>
      <c r="AE105" s="241">
        <f t="shared" si="72"/>
        <v>0</v>
      </c>
      <c r="AF105" s="13"/>
      <c r="AG105" s="13"/>
      <c r="AH105" s="241">
        <f t="shared" si="73"/>
        <v>0</v>
      </c>
      <c r="AI105" s="13"/>
      <c r="AJ105" s="13"/>
      <c r="AK105" s="241">
        <f t="shared" si="74"/>
        <v>0</v>
      </c>
      <c r="AL105" s="13"/>
      <c r="AM105" s="13"/>
      <c r="AN105" s="241">
        <f t="shared" si="75"/>
        <v>0</v>
      </c>
      <c r="AO105" s="13"/>
      <c r="AP105" s="242"/>
      <c r="AQ105" s="14">
        <f t="shared" si="76"/>
        <v>0</v>
      </c>
      <c r="AR105" s="14"/>
      <c r="AS105" s="14"/>
      <c r="AT105" s="14">
        <f t="shared" si="77"/>
        <v>0</v>
      </c>
      <c r="AU105" s="14"/>
      <c r="AV105" s="242">
        <v>200000</v>
      </c>
      <c r="AW105" s="14">
        <f t="shared" si="78"/>
        <v>200000</v>
      </c>
      <c r="AX105" s="14"/>
      <c r="AY105" s="242"/>
      <c r="AZ105" s="14">
        <f t="shared" si="79"/>
        <v>0</v>
      </c>
      <c r="BA105" s="14"/>
      <c r="BB105" s="242"/>
      <c r="BC105" s="14">
        <f t="shared" si="80"/>
        <v>0</v>
      </c>
      <c r="BD105" s="14">
        <v>109655</v>
      </c>
      <c r="BE105" s="242"/>
      <c r="BF105" s="14">
        <f t="shared" si="86"/>
        <v>109655</v>
      </c>
      <c r="BG105" s="242">
        <f t="shared" si="81"/>
        <v>309655</v>
      </c>
      <c r="BH105" s="242"/>
      <c r="BI105" s="242">
        <f t="shared" si="82"/>
        <v>309655</v>
      </c>
      <c r="BJ105" s="242">
        <f t="shared" si="83"/>
        <v>2490345</v>
      </c>
      <c r="BK105" s="242">
        <f t="shared" si="87"/>
        <v>309655</v>
      </c>
      <c r="BL105" s="242"/>
      <c r="BM105" s="242"/>
      <c r="BN105" s="242">
        <f t="shared" si="88"/>
        <v>0</v>
      </c>
      <c r="BO105" s="242"/>
      <c r="BP105" s="242"/>
      <c r="BQ105" s="242">
        <f t="shared" si="89"/>
        <v>0</v>
      </c>
      <c r="BR105" s="242"/>
      <c r="BS105" s="242">
        <v>2490345</v>
      </c>
      <c r="BT105" s="414">
        <v>742000</v>
      </c>
      <c r="BU105" s="426"/>
      <c r="BV105" s="428"/>
      <c r="BW105" s="428"/>
      <c r="BX105" s="428"/>
      <c r="BY105" s="428"/>
      <c r="BZ105" s="432"/>
      <c r="CA105" s="432"/>
      <c r="CB105" s="337">
        <f t="shared" si="63"/>
        <v>309655</v>
      </c>
    </row>
    <row r="106" spans="1:84" ht="30">
      <c r="A106" s="414">
        <f t="shared" si="84"/>
        <v>98</v>
      </c>
      <c r="B106" s="394">
        <v>1964</v>
      </c>
      <c r="C106" s="451" t="s">
        <v>1095</v>
      </c>
      <c r="D106" s="416">
        <v>10000000</v>
      </c>
      <c r="E106" s="337"/>
      <c r="F106" s="337">
        <f t="shared" si="64"/>
        <v>10000000</v>
      </c>
      <c r="G106" s="337"/>
      <c r="H106" s="337"/>
      <c r="I106" s="337"/>
      <c r="J106" s="337"/>
      <c r="K106" s="337"/>
      <c r="L106" s="337"/>
      <c r="M106" s="416"/>
      <c r="N106" s="416">
        <v>650000</v>
      </c>
      <c r="O106" s="337">
        <f>D106-L106-M106-N106</f>
        <v>9350000</v>
      </c>
      <c r="P106" s="337"/>
      <c r="Q106" s="337"/>
      <c r="R106" s="337"/>
      <c r="S106" s="337"/>
      <c r="T106" s="416"/>
      <c r="U106" s="416">
        <f t="shared" si="71"/>
        <v>650000</v>
      </c>
      <c r="V106" s="416">
        <f t="shared" si="91"/>
        <v>650000</v>
      </c>
      <c r="W106" s="337"/>
      <c r="X106" s="337"/>
      <c r="Y106" s="415"/>
      <c r="Z106" s="13"/>
      <c r="AA106" s="13"/>
      <c r="AB106" s="241">
        <f t="shared" si="85"/>
        <v>0</v>
      </c>
      <c r="AC106" s="13"/>
      <c r="AD106" s="13"/>
      <c r="AE106" s="241">
        <f t="shared" si="72"/>
        <v>0</v>
      </c>
      <c r="AF106" s="13"/>
      <c r="AG106" s="13"/>
      <c r="AH106" s="241">
        <f t="shared" si="73"/>
        <v>0</v>
      </c>
      <c r="AI106" s="13"/>
      <c r="AJ106" s="13"/>
      <c r="AK106" s="241">
        <f t="shared" si="74"/>
        <v>0</v>
      </c>
      <c r="AL106" s="13"/>
      <c r="AM106" s="13"/>
      <c r="AN106" s="241">
        <f t="shared" si="75"/>
        <v>0</v>
      </c>
      <c r="AO106" s="13"/>
      <c r="AP106" s="242"/>
      <c r="AQ106" s="14">
        <f t="shared" si="76"/>
        <v>0</v>
      </c>
      <c r="AR106" s="14"/>
      <c r="AS106" s="14"/>
      <c r="AT106" s="14">
        <f t="shared" si="77"/>
        <v>0</v>
      </c>
      <c r="AU106" s="14"/>
      <c r="AV106" s="242"/>
      <c r="AW106" s="14">
        <f t="shared" si="78"/>
        <v>0</v>
      </c>
      <c r="AX106" s="14"/>
      <c r="AY106" s="242"/>
      <c r="AZ106" s="14">
        <f t="shared" si="79"/>
        <v>0</v>
      </c>
      <c r="BA106" s="14"/>
      <c r="BB106" s="242"/>
      <c r="BC106" s="14">
        <f t="shared" si="80"/>
        <v>0</v>
      </c>
      <c r="BD106" s="14"/>
      <c r="BE106" s="242"/>
      <c r="BF106" s="14">
        <f t="shared" si="86"/>
        <v>0</v>
      </c>
      <c r="BG106" s="242">
        <f t="shared" si="81"/>
        <v>0</v>
      </c>
      <c r="BH106" s="395"/>
      <c r="BI106" s="242">
        <f t="shared" si="82"/>
        <v>0</v>
      </c>
      <c r="BJ106" s="242">
        <f t="shared" si="83"/>
        <v>650000</v>
      </c>
      <c r="BK106" s="242">
        <f t="shared" si="87"/>
        <v>0</v>
      </c>
      <c r="BL106" s="242"/>
      <c r="BM106" s="242"/>
      <c r="BN106" s="242">
        <f t="shared" si="88"/>
        <v>0</v>
      </c>
      <c r="BO106" s="242"/>
      <c r="BP106" s="242"/>
      <c r="BQ106" s="242">
        <f t="shared" si="89"/>
        <v>650000</v>
      </c>
      <c r="BR106" s="242"/>
      <c r="BS106" s="242"/>
      <c r="BT106" s="414">
        <v>810000</v>
      </c>
      <c r="BU106" s="426"/>
      <c r="BV106" s="428"/>
      <c r="BW106" s="428"/>
      <c r="BX106" s="428"/>
      <c r="BY106" s="428"/>
      <c r="BZ106" s="432"/>
      <c r="CA106" s="432"/>
      <c r="CB106" s="337">
        <f t="shared" si="63"/>
        <v>650000</v>
      </c>
    </row>
    <row r="107" spans="1:84" ht="30">
      <c r="A107" s="414">
        <f t="shared" si="84"/>
        <v>99</v>
      </c>
      <c r="B107" s="241">
        <v>1965</v>
      </c>
      <c r="C107" s="415" t="s">
        <v>711</v>
      </c>
      <c r="D107" s="416">
        <v>35000000</v>
      </c>
      <c r="E107" s="337"/>
      <c r="F107" s="337">
        <f t="shared" si="64"/>
        <v>35000000</v>
      </c>
      <c r="G107" s="337"/>
      <c r="H107" s="337"/>
      <c r="I107" s="337"/>
      <c r="J107" s="337"/>
      <c r="K107" s="337"/>
      <c r="L107" s="337"/>
      <c r="M107" s="416"/>
      <c r="N107" s="416">
        <v>1000000</v>
      </c>
      <c r="O107" s="337">
        <f>D107-L107-M107-N107</f>
        <v>34000000</v>
      </c>
      <c r="P107" s="337"/>
      <c r="Q107" s="337"/>
      <c r="R107" s="337"/>
      <c r="S107" s="337"/>
      <c r="T107" s="416"/>
      <c r="U107" s="416">
        <f t="shared" si="71"/>
        <v>1000000</v>
      </c>
      <c r="V107" s="416">
        <f t="shared" si="91"/>
        <v>1000000</v>
      </c>
      <c r="W107" s="337"/>
      <c r="X107" s="337"/>
      <c r="Y107" s="415"/>
      <c r="Z107" s="13"/>
      <c r="AA107" s="13"/>
      <c r="AB107" s="241">
        <f t="shared" si="85"/>
        <v>0</v>
      </c>
      <c r="AC107" s="13"/>
      <c r="AD107" s="13"/>
      <c r="AE107" s="241">
        <f t="shared" si="72"/>
        <v>0</v>
      </c>
      <c r="AF107" s="13"/>
      <c r="AG107" s="13"/>
      <c r="AH107" s="241">
        <f t="shared" si="73"/>
        <v>0</v>
      </c>
      <c r="AI107" s="13"/>
      <c r="AJ107" s="13"/>
      <c r="AK107" s="241">
        <f t="shared" si="74"/>
        <v>0</v>
      </c>
      <c r="AL107" s="13"/>
      <c r="AM107" s="13"/>
      <c r="AN107" s="241">
        <f t="shared" si="75"/>
        <v>0</v>
      </c>
      <c r="AO107" s="13"/>
      <c r="AP107" s="242"/>
      <c r="AQ107" s="14">
        <f t="shared" si="76"/>
        <v>0</v>
      </c>
      <c r="AR107" s="14"/>
      <c r="AS107" s="14"/>
      <c r="AT107" s="14">
        <f t="shared" si="77"/>
        <v>0</v>
      </c>
      <c r="AU107" s="14"/>
      <c r="AV107" s="242">
        <v>100000</v>
      </c>
      <c r="AW107" s="14">
        <f t="shared" si="78"/>
        <v>100000</v>
      </c>
      <c r="AX107" s="14"/>
      <c r="AY107" s="242"/>
      <c r="AZ107" s="14">
        <f t="shared" si="79"/>
        <v>0</v>
      </c>
      <c r="BA107" s="14"/>
      <c r="BB107" s="242"/>
      <c r="BC107" s="14">
        <f t="shared" si="80"/>
        <v>0</v>
      </c>
      <c r="BD107" s="14"/>
      <c r="BE107" s="242"/>
      <c r="BF107" s="14">
        <f t="shared" si="86"/>
        <v>0</v>
      </c>
      <c r="BG107" s="242">
        <f t="shared" si="81"/>
        <v>100000</v>
      </c>
      <c r="BH107" s="242"/>
      <c r="BI107" s="242">
        <f t="shared" si="82"/>
        <v>100000</v>
      </c>
      <c r="BJ107" s="242">
        <f t="shared" si="83"/>
        <v>900000</v>
      </c>
      <c r="BK107" s="242">
        <f t="shared" si="87"/>
        <v>100000</v>
      </c>
      <c r="BL107" s="242"/>
      <c r="BM107" s="242"/>
      <c r="BN107" s="242">
        <f t="shared" si="88"/>
        <v>0</v>
      </c>
      <c r="BO107" s="242"/>
      <c r="BP107" s="242"/>
      <c r="BQ107" s="242">
        <f t="shared" si="89"/>
        <v>900000</v>
      </c>
      <c r="BR107" s="242"/>
      <c r="BS107" s="242"/>
      <c r="BT107" s="414">
        <v>810000</v>
      </c>
      <c r="BU107" s="426"/>
      <c r="BV107" s="428"/>
      <c r="BW107" s="428"/>
      <c r="BX107" s="428"/>
      <c r="BY107" s="428"/>
      <c r="BZ107" s="452"/>
      <c r="CA107" s="452"/>
      <c r="CB107" s="453">
        <f t="shared" si="63"/>
        <v>1000000</v>
      </c>
    </row>
    <row r="108" spans="1:84" s="455" customFormat="1">
      <c r="A108" s="419"/>
      <c r="B108" s="439"/>
      <c r="C108" s="431" t="s">
        <v>712</v>
      </c>
      <c r="D108" s="440">
        <f>SUM(D87:D107)</f>
        <v>656316000</v>
      </c>
      <c r="E108" s="440">
        <f t="shared" ref="E108:CB108" si="92">SUM(E87:E107)</f>
        <v>344766000</v>
      </c>
      <c r="F108" s="440">
        <f t="shared" si="92"/>
        <v>311550000</v>
      </c>
      <c r="G108" s="440">
        <f t="shared" si="92"/>
        <v>33668220</v>
      </c>
      <c r="H108" s="440">
        <f t="shared" si="92"/>
        <v>4599291.8</v>
      </c>
      <c r="I108" s="440">
        <f t="shared" si="92"/>
        <v>3993377.8400000003</v>
      </c>
      <c r="J108" s="440">
        <f t="shared" si="92"/>
        <v>1347250.48</v>
      </c>
      <c r="K108" s="440">
        <f t="shared" si="92"/>
        <v>5340628.32</v>
      </c>
      <c r="L108" s="440">
        <f t="shared" si="92"/>
        <v>9939920.1199999992</v>
      </c>
      <c r="M108" s="440">
        <f t="shared" si="92"/>
        <v>69410593.879999995</v>
      </c>
      <c r="N108" s="440">
        <f t="shared" si="92"/>
        <v>164425000</v>
      </c>
      <c r="O108" s="440">
        <f t="shared" si="92"/>
        <v>412540486</v>
      </c>
      <c r="P108" s="440">
        <f t="shared" si="92"/>
        <v>23728299.880000003</v>
      </c>
      <c r="Q108" s="440">
        <f t="shared" si="92"/>
        <v>38177556</v>
      </c>
      <c r="R108" s="440">
        <f t="shared" si="92"/>
        <v>9016000</v>
      </c>
      <c r="S108" s="440">
        <f t="shared" si="92"/>
        <v>47193556</v>
      </c>
      <c r="T108" s="440">
        <f t="shared" si="92"/>
        <v>1511262</v>
      </c>
      <c r="U108" s="440">
        <f t="shared" si="92"/>
        <v>162913738</v>
      </c>
      <c r="V108" s="440">
        <f t="shared" si="92"/>
        <v>54983393</v>
      </c>
      <c r="W108" s="440">
        <f t="shared" si="92"/>
        <v>0</v>
      </c>
      <c r="X108" s="440">
        <f t="shared" si="92"/>
        <v>0</v>
      </c>
      <c r="Y108" s="440">
        <f t="shared" si="92"/>
        <v>107930345</v>
      </c>
      <c r="Z108" s="440">
        <f t="shared" si="92"/>
        <v>0</v>
      </c>
      <c r="AA108" s="440">
        <f t="shared" si="92"/>
        <v>0</v>
      </c>
      <c r="AB108" s="440">
        <f t="shared" si="92"/>
        <v>0</v>
      </c>
      <c r="AC108" s="440">
        <f t="shared" si="92"/>
        <v>0</v>
      </c>
      <c r="AD108" s="440">
        <f t="shared" si="92"/>
        <v>0</v>
      </c>
      <c r="AE108" s="440">
        <f t="shared" si="92"/>
        <v>0</v>
      </c>
      <c r="AF108" s="440">
        <f t="shared" si="92"/>
        <v>0</v>
      </c>
      <c r="AG108" s="440">
        <f t="shared" si="92"/>
        <v>0</v>
      </c>
      <c r="AH108" s="440">
        <f t="shared" si="92"/>
        <v>0</v>
      </c>
      <c r="AI108" s="440">
        <f t="shared" si="92"/>
        <v>3000000</v>
      </c>
      <c r="AJ108" s="440">
        <f t="shared" si="92"/>
        <v>0</v>
      </c>
      <c r="AK108" s="440">
        <f t="shared" si="92"/>
        <v>3000000</v>
      </c>
      <c r="AL108" s="440">
        <f t="shared" si="92"/>
        <v>0</v>
      </c>
      <c r="AM108" s="440">
        <f t="shared" si="92"/>
        <v>0</v>
      </c>
      <c r="AN108" s="440">
        <f t="shared" si="92"/>
        <v>0</v>
      </c>
      <c r="AO108" s="440">
        <f t="shared" si="92"/>
        <v>0</v>
      </c>
      <c r="AP108" s="440">
        <f t="shared" si="92"/>
        <v>0</v>
      </c>
      <c r="AQ108" s="14">
        <f t="shared" si="92"/>
        <v>0</v>
      </c>
      <c r="AR108" s="14">
        <f t="shared" si="92"/>
        <v>0</v>
      </c>
      <c r="AS108" s="14">
        <f t="shared" si="92"/>
        <v>0</v>
      </c>
      <c r="AT108" s="14">
        <f t="shared" si="92"/>
        <v>0</v>
      </c>
      <c r="AU108" s="14">
        <f t="shared" si="92"/>
        <v>0</v>
      </c>
      <c r="AV108" s="198">
        <f t="shared" si="92"/>
        <v>9500000</v>
      </c>
      <c r="AW108" s="198">
        <f t="shared" si="92"/>
        <v>9500000</v>
      </c>
      <c r="AX108" s="14">
        <f t="shared" si="92"/>
        <v>5000000</v>
      </c>
      <c r="AY108" s="198">
        <f t="shared" si="92"/>
        <v>0</v>
      </c>
      <c r="AZ108" s="198">
        <f t="shared" si="92"/>
        <v>5000000</v>
      </c>
      <c r="BA108" s="14">
        <f t="shared" si="92"/>
        <v>0</v>
      </c>
      <c r="BB108" s="198">
        <f t="shared" si="92"/>
        <v>0</v>
      </c>
      <c r="BC108" s="198">
        <f t="shared" si="92"/>
        <v>0</v>
      </c>
      <c r="BD108" s="198">
        <f t="shared" si="92"/>
        <v>8109655</v>
      </c>
      <c r="BE108" s="198">
        <f t="shared" si="92"/>
        <v>3850000</v>
      </c>
      <c r="BF108" s="198">
        <f t="shared" si="92"/>
        <v>11959655</v>
      </c>
      <c r="BG108" s="440">
        <f>SUM(BG87:BG107)</f>
        <v>29459655</v>
      </c>
      <c r="BH108" s="440">
        <f t="shared" si="92"/>
        <v>10000000</v>
      </c>
      <c r="BI108" s="440">
        <f>SUM(BI87:BI107)</f>
        <v>39459655</v>
      </c>
      <c r="BJ108" s="440">
        <f>SUM(BJ87:BJ107)</f>
        <v>123454083</v>
      </c>
      <c r="BK108" s="440">
        <f t="shared" si="92"/>
        <v>36459655</v>
      </c>
      <c r="BL108" s="440">
        <f t="shared" ref="BL108:BQ108" si="93">SUM(BL87:BL107)</f>
        <v>0</v>
      </c>
      <c r="BM108" s="440">
        <f t="shared" si="93"/>
        <v>3000000</v>
      </c>
      <c r="BN108" s="440">
        <f t="shared" si="93"/>
        <v>10000000</v>
      </c>
      <c r="BO108" s="440">
        <f t="shared" si="93"/>
        <v>0</v>
      </c>
      <c r="BP108" s="440">
        <f t="shared" si="93"/>
        <v>0</v>
      </c>
      <c r="BQ108" s="440">
        <f t="shared" si="93"/>
        <v>18523738</v>
      </c>
      <c r="BR108" s="440">
        <f t="shared" si="92"/>
        <v>0</v>
      </c>
      <c r="BS108" s="440">
        <f t="shared" si="92"/>
        <v>104930345</v>
      </c>
      <c r="BT108" s="440"/>
      <c r="BU108" s="454">
        <f t="shared" si="92"/>
        <v>0</v>
      </c>
      <c r="BV108" s="454">
        <f t="shared" si="92"/>
        <v>0</v>
      </c>
      <c r="BW108" s="454">
        <f t="shared" si="92"/>
        <v>0</v>
      </c>
      <c r="BX108" s="454">
        <f t="shared" si="92"/>
        <v>0</v>
      </c>
      <c r="BY108" s="454">
        <f t="shared" si="92"/>
        <v>0</v>
      </c>
      <c r="BZ108" s="454">
        <f t="shared" si="92"/>
        <v>0</v>
      </c>
      <c r="CA108" s="454">
        <f t="shared" si="92"/>
        <v>0</v>
      </c>
      <c r="CB108" s="454">
        <f t="shared" si="92"/>
        <v>54983393</v>
      </c>
    </row>
    <row r="109" spans="1:84" s="444" customFormat="1" ht="15.75">
      <c r="A109" s="419"/>
      <c r="B109" s="439"/>
      <c r="C109" s="431"/>
      <c r="D109" s="440"/>
      <c r="E109" s="441"/>
      <c r="F109" s="441"/>
      <c r="G109" s="441"/>
      <c r="H109" s="441"/>
      <c r="I109" s="441"/>
      <c r="J109" s="441"/>
      <c r="K109" s="441"/>
      <c r="L109" s="441"/>
      <c r="M109" s="440"/>
      <c r="N109" s="440"/>
      <c r="O109" s="441"/>
      <c r="P109" s="441"/>
      <c r="Q109" s="441"/>
      <c r="R109" s="441"/>
      <c r="S109" s="441"/>
      <c r="T109" s="440"/>
      <c r="U109" s="440"/>
      <c r="V109" s="440"/>
      <c r="W109" s="441"/>
      <c r="X109" s="441"/>
      <c r="Y109" s="440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456"/>
      <c r="BU109" s="426"/>
      <c r="BV109" s="442"/>
      <c r="BW109" s="442"/>
      <c r="BX109" s="442"/>
      <c r="BY109" s="442"/>
      <c r="BZ109" s="457"/>
      <c r="CA109" s="457"/>
      <c r="CB109" s="412">
        <f>V109-CA109</f>
        <v>0</v>
      </c>
    </row>
    <row r="110" spans="1:84" ht="15.75">
      <c r="A110" s="439">
        <f>A107</f>
        <v>99</v>
      </c>
      <c r="B110" s="427" t="s">
        <v>82</v>
      </c>
      <c r="C110" s="458" t="s">
        <v>180</v>
      </c>
      <c r="D110" s="459">
        <f t="shared" ref="D110:BS110" si="94">D108+D84</f>
        <v>1849788405</v>
      </c>
      <c r="E110" s="459">
        <f t="shared" si="94"/>
        <v>1457008347</v>
      </c>
      <c r="F110" s="459">
        <f t="shared" si="94"/>
        <v>392780058</v>
      </c>
      <c r="G110" s="459">
        <f t="shared" si="94"/>
        <v>571732958</v>
      </c>
      <c r="H110" s="459">
        <f t="shared" si="94"/>
        <v>419055069.12</v>
      </c>
      <c r="I110" s="459">
        <f t="shared" si="94"/>
        <v>48972870.70000001</v>
      </c>
      <c r="J110" s="459">
        <f t="shared" si="94"/>
        <v>7502690.7400000002</v>
      </c>
      <c r="K110" s="459">
        <f t="shared" si="94"/>
        <v>56475561.439999983</v>
      </c>
      <c r="L110" s="459">
        <f t="shared" si="94"/>
        <v>475530630.56000006</v>
      </c>
      <c r="M110" s="459">
        <f t="shared" si="94"/>
        <v>251630013.43999994</v>
      </c>
      <c r="N110" s="459">
        <f t="shared" si="94"/>
        <v>333402275</v>
      </c>
      <c r="O110" s="459">
        <f t="shared" si="94"/>
        <v>789225486</v>
      </c>
      <c r="P110" s="459">
        <f t="shared" si="94"/>
        <v>96202327.440000027</v>
      </c>
      <c r="Q110" s="459">
        <f t="shared" si="94"/>
        <v>113321145</v>
      </c>
      <c r="R110" s="459">
        <f t="shared" si="94"/>
        <v>43852000</v>
      </c>
      <c r="S110" s="459">
        <f t="shared" si="94"/>
        <v>157173145</v>
      </c>
      <c r="T110" s="459">
        <f t="shared" si="94"/>
        <v>1745459</v>
      </c>
      <c r="U110" s="459">
        <f t="shared" si="94"/>
        <v>331656816</v>
      </c>
      <c r="V110" s="459">
        <f t="shared" si="94"/>
        <v>137680940.30000001</v>
      </c>
      <c r="W110" s="459">
        <f t="shared" si="94"/>
        <v>6500000</v>
      </c>
      <c r="X110" s="459">
        <f t="shared" si="94"/>
        <v>0</v>
      </c>
      <c r="Y110" s="459">
        <f t="shared" si="94"/>
        <v>187475875.69999999</v>
      </c>
      <c r="Z110" s="459">
        <f t="shared" si="94"/>
        <v>-234197</v>
      </c>
      <c r="AA110" s="459">
        <f t="shared" si="94"/>
        <v>0</v>
      </c>
      <c r="AB110" s="459">
        <f t="shared" si="94"/>
        <v>-234197</v>
      </c>
      <c r="AC110" s="459">
        <f t="shared" si="94"/>
        <v>0</v>
      </c>
      <c r="AD110" s="459">
        <f t="shared" si="94"/>
        <v>0</v>
      </c>
      <c r="AE110" s="459">
        <f t="shared" si="94"/>
        <v>0</v>
      </c>
      <c r="AF110" s="459">
        <f t="shared" si="94"/>
        <v>3085000</v>
      </c>
      <c r="AG110" s="459">
        <f t="shared" si="94"/>
        <v>1250000</v>
      </c>
      <c r="AH110" s="459">
        <f t="shared" si="94"/>
        <v>4335000</v>
      </c>
      <c r="AI110" s="459">
        <f t="shared" si="94"/>
        <v>3500000</v>
      </c>
      <c r="AJ110" s="459">
        <f t="shared" si="94"/>
        <v>750000</v>
      </c>
      <c r="AK110" s="459">
        <f t="shared" si="94"/>
        <v>4250000</v>
      </c>
      <c r="AL110" s="459">
        <f t="shared" si="94"/>
        <v>0</v>
      </c>
      <c r="AM110" s="459">
        <f t="shared" si="94"/>
        <v>-100000</v>
      </c>
      <c r="AN110" s="459">
        <f t="shared" si="94"/>
        <v>-100000</v>
      </c>
      <c r="AO110" s="459">
        <f t="shared" si="94"/>
        <v>9750000</v>
      </c>
      <c r="AP110" s="459">
        <f t="shared" si="94"/>
        <v>800000</v>
      </c>
      <c r="AQ110" s="459">
        <f t="shared" si="94"/>
        <v>10550000</v>
      </c>
      <c r="AR110" s="459">
        <f t="shared" si="94"/>
        <v>0</v>
      </c>
      <c r="AS110" s="459">
        <f t="shared" si="94"/>
        <v>800000</v>
      </c>
      <c r="AT110" s="459">
        <f t="shared" si="94"/>
        <v>800000</v>
      </c>
      <c r="AU110" s="459">
        <f t="shared" si="94"/>
        <v>800000</v>
      </c>
      <c r="AV110" s="459">
        <f t="shared" si="94"/>
        <v>9500000</v>
      </c>
      <c r="AW110" s="459">
        <f t="shared" si="94"/>
        <v>10300000</v>
      </c>
      <c r="AX110" s="459">
        <f t="shared" si="94"/>
        <v>5000000</v>
      </c>
      <c r="AY110" s="459">
        <f t="shared" si="94"/>
        <v>125000</v>
      </c>
      <c r="AZ110" s="459">
        <f t="shared" si="94"/>
        <v>5125000</v>
      </c>
      <c r="BA110" s="459">
        <f t="shared" si="94"/>
        <v>0</v>
      </c>
      <c r="BB110" s="459">
        <f t="shared" si="94"/>
        <v>0</v>
      </c>
      <c r="BC110" s="459">
        <f t="shared" si="94"/>
        <v>0</v>
      </c>
      <c r="BD110" s="459">
        <f t="shared" si="94"/>
        <v>44150545</v>
      </c>
      <c r="BE110" s="459">
        <f t="shared" si="94"/>
        <v>6675000</v>
      </c>
      <c r="BF110" s="459">
        <f t="shared" si="94"/>
        <v>50825545</v>
      </c>
      <c r="BG110" s="459">
        <f t="shared" si="94"/>
        <v>85851348</v>
      </c>
      <c r="BH110" s="459">
        <f t="shared" si="94"/>
        <v>32554613</v>
      </c>
      <c r="BI110" s="459">
        <f>BI108+BI84</f>
        <v>118405961</v>
      </c>
      <c r="BJ110" s="459">
        <f>BJ108+BJ84</f>
        <v>213250855</v>
      </c>
      <c r="BK110" s="459">
        <f t="shared" si="94"/>
        <v>109086215</v>
      </c>
      <c r="BL110" s="459">
        <f t="shared" ref="BL110:BQ110" si="95">BL108+BL84</f>
        <v>0</v>
      </c>
      <c r="BM110" s="459">
        <f t="shared" si="95"/>
        <v>9319746</v>
      </c>
      <c r="BN110" s="459">
        <f t="shared" si="95"/>
        <v>28125000</v>
      </c>
      <c r="BO110" s="459">
        <f t="shared" si="95"/>
        <v>0</v>
      </c>
      <c r="BP110" s="459">
        <f t="shared" si="95"/>
        <v>4429613</v>
      </c>
      <c r="BQ110" s="459">
        <f t="shared" si="95"/>
        <v>39524338</v>
      </c>
      <c r="BR110" s="459">
        <f t="shared" si="94"/>
        <v>0</v>
      </c>
      <c r="BS110" s="459">
        <f t="shared" si="94"/>
        <v>173726517</v>
      </c>
      <c r="BT110" s="427"/>
      <c r="BU110" s="428"/>
      <c r="BZ110" s="432"/>
      <c r="CA110" s="459" t="e">
        <f>#REF!+#REF!</f>
        <v>#REF!</v>
      </c>
      <c r="CB110" s="459" t="e">
        <f>#REF!+#REF!</f>
        <v>#REF!</v>
      </c>
    </row>
    <row r="111" spans="1:84" ht="15.75">
      <c r="A111" s="439"/>
      <c r="B111" s="427"/>
      <c r="C111" s="458"/>
      <c r="D111" s="459"/>
      <c r="E111" s="460"/>
      <c r="F111" s="460"/>
      <c r="G111" s="460"/>
      <c r="H111" s="460"/>
      <c r="I111" s="460"/>
      <c r="J111" s="460"/>
      <c r="K111" s="460"/>
      <c r="L111" s="460"/>
      <c r="M111" s="459"/>
      <c r="N111" s="459"/>
      <c r="O111" s="460"/>
      <c r="P111" s="460"/>
      <c r="Q111" s="460"/>
      <c r="R111" s="460"/>
      <c r="S111" s="460"/>
      <c r="T111" s="459"/>
      <c r="U111" s="459"/>
      <c r="V111" s="459"/>
      <c r="W111" s="460"/>
      <c r="X111" s="460"/>
      <c r="Y111" s="459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427"/>
      <c r="BU111" s="428"/>
      <c r="CB111" s="337">
        <f>V111-CA111</f>
        <v>0</v>
      </c>
    </row>
    <row r="112" spans="1:84" ht="15.75">
      <c r="A112" s="461"/>
      <c r="B112" s="462"/>
      <c r="C112" s="463"/>
      <c r="D112" s="464"/>
      <c r="E112" s="465"/>
      <c r="F112" s="465"/>
      <c r="G112" s="465"/>
      <c r="H112" s="465"/>
      <c r="I112" s="465"/>
      <c r="J112" s="465"/>
      <c r="K112" s="465"/>
      <c r="L112" s="465"/>
      <c r="M112" s="464"/>
      <c r="N112" s="464"/>
      <c r="O112" s="465"/>
      <c r="P112" s="465"/>
      <c r="Q112" s="465"/>
      <c r="R112" s="465"/>
      <c r="S112" s="465"/>
      <c r="T112" s="464"/>
      <c r="U112" s="464"/>
      <c r="V112" s="464"/>
      <c r="W112" s="465"/>
      <c r="X112" s="465"/>
      <c r="Y112" s="464"/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  <c r="BT112" s="462"/>
      <c r="BU112" s="428"/>
    </row>
    <row r="113" spans="1:80" ht="15.75">
      <c r="A113" s="461"/>
      <c r="B113" s="462"/>
      <c r="C113" s="463"/>
      <c r="D113" s="464"/>
      <c r="E113" s="465"/>
      <c r="F113" s="465"/>
      <c r="G113" s="465"/>
      <c r="H113" s="465"/>
      <c r="I113" s="465"/>
      <c r="J113" s="465"/>
      <c r="K113" s="465"/>
      <c r="L113" s="465"/>
      <c r="M113" s="464"/>
      <c r="N113" s="464"/>
      <c r="O113" s="465"/>
      <c r="P113" s="465"/>
      <c r="Q113" s="465"/>
      <c r="R113" s="465"/>
      <c r="S113" s="465"/>
      <c r="T113" s="464"/>
      <c r="U113" s="464"/>
      <c r="V113" s="464"/>
      <c r="W113" s="465"/>
      <c r="X113" s="465"/>
      <c r="Y113" s="464"/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D113" s="467"/>
      <c r="BE113" s="466"/>
      <c r="BF113" s="466"/>
      <c r="BG113" s="466"/>
      <c r="BH113" s="468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  <c r="BT113" s="462"/>
      <c r="BU113" s="428"/>
      <c r="BW113" s="405"/>
      <c r="CB113" s="400">
        <v>252353559</v>
      </c>
    </row>
    <row r="114" spans="1:80" hidden="1">
      <c r="B114" s="428"/>
      <c r="C114" s="447"/>
      <c r="D114" s="469"/>
      <c r="E114" s="470"/>
      <c r="F114" s="470"/>
      <c r="G114" s="470"/>
      <c r="H114" s="470"/>
      <c r="I114" s="470"/>
      <c r="J114" s="470"/>
      <c r="K114" s="470"/>
      <c r="L114" s="470"/>
      <c r="M114" s="469"/>
      <c r="N114" s="469"/>
      <c r="O114" s="470"/>
      <c r="P114" s="470"/>
      <c r="Q114" s="470"/>
      <c r="R114" s="470"/>
      <c r="S114" s="470"/>
      <c r="T114" s="469"/>
      <c r="U114" s="447"/>
      <c r="V114" s="447"/>
      <c r="W114" s="428"/>
      <c r="X114" s="428"/>
      <c r="Y114" s="469"/>
      <c r="Z114" s="471"/>
      <c r="AA114" s="471"/>
      <c r="AB114" s="471"/>
      <c r="AC114" s="471"/>
      <c r="AD114" s="471"/>
      <c r="AE114" s="471"/>
      <c r="AF114" s="471"/>
      <c r="AG114" s="471"/>
      <c r="AH114" s="471"/>
      <c r="AI114" s="471"/>
      <c r="AJ114" s="471"/>
      <c r="AK114" s="471"/>
      <c r="AL114" s="471"/>
      <c r="AM114" s="471"/>
      <c r="AN114" s="471"/>
      <c r="AO114" s="471"/>
      <c r="AP114" s="471"/>
      <c r="AQ114" s="471"/>
      <c r="AR114" s="471"/>
      <c r="AS114" s="471"/>
      <c r="AT114" s="471"/>
      <c r="AU114" s="471"/>
      <c r="AV114" s="471"/>
      <c r="AW114" s="471"/>
      <c r="AX114" s="471"/>
      <c r="AY114" s="471"/>
      <c r="AZ114" s="471"/>
      <c r="BA114" s="471"/>
      <c r="BB114" s="471"/>
      <c r="BC114" s="471"/>
      <c r="BD114" s="471"/>
      <c r="BE114" s="471"/>
      <c r="BF114" s="471"/>
      <c r="BG114" s="471"/>
      <c r="BH114" s="471"/>
      <c r="BI114" s="471"/>
      <c r="BJ114" s="471"/>
      <c r="BK114" s="471"/>
      <c r="BL114" s="471"/>
      <c r="BM114" s="471"/>
      <c r="BN114" s="471"/>
      <c r="BO114" s="471"/>
      <c r="BP114" s="471"/>
      <c r="BQ114" s="471"/>
      <c r="BR114" s="471"/>
      <c r="BS114" s="471"/>
      <c r="BT114" s="428"/>
      <c r="BU114" s="428"/>
      <c r="BW114" s="400" t="s">
        <v>692</v>
      </c>
      <c r="CB114" s="405">
        <f>CB113-V110</f>
        <v>114672618.69999999</v>
      </c>
    </row>
    <row r="115" spans="1:80" hidden="1">
      <c r="B115" s="428"/>
      <c r="C115" s="447"/>
      <c r="D115" s="469"/>
      <c r="E115" s="470"/>
      <c r="F115" s="470"/>
      <c r="G115" s="470"/>
      <c r="H115" s="470"/>
      <c r="I115" s="470"/>
      <c r="J115" s="470"/>
      <c r="K115" s="470"/>
      <c r="L115" s="472">
        <f>K110+H110</f>
        <v>475530630.56</v>
      </c>
      <c r="M115" s="473">
        <f>P110+S110-T110</f>
        <v>251630013.44000003</v>
      </c>
      <c r="N115" s="469"/>
      <c r="O115" s="470"/>
      <c r="P115" s="474">
        <f>G110-L110</f>
        <v>96202327.439999938</v>
      </c>
      <c r="Q115" s="470"/>
      <c r="R115" s="470"/>
      <c r="S115" s="470"/>
      <c r="T115" s="473">
        <f>P110+S110-M110</f>
        <v>1745459.0000000894</v>
      </c>
      <c r="U115" s="475">
        <f>N110-T110</f>
        <v>331656816</v>
      </c>
      <c r="V115" s="476"/>
      <c r="W115" s="477"/>
      <c r="X115" s="477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428"/>
      <c r="BV115" s="428">
        <v>3550</v>
      </c>
      <c r="BW115" s="400" t="s">
        <v>334</v>
      </c>
    </row>
    <row r="116" spans="1:80" hidden="1">
      <c r="B116" s="428"/>
      <c r="C116" s="447"/>
      <c r="D116" s="469"/>
      <c r="E116" s="470"/>
      <c r="F116" s="470"/>
      <c r="G116" s="470"/>
      <c r="H116" s="470"/>
      <c r="I116" s="470"/>
      <c r="J116" s="470"/>
      <c r="K116" s="470"/>
      <c r="L116" s="470"/>
      <c r="M116" s="469"/>
      <c r="N116" s="469"/>
      <c r="O116" s="470"/>
      <c r="Q116" s="470"/>
      <c r="R116" s="470"/>
      <c r="S116" s="470"/>
      <c r="U116" s="447"/>
      <c r="V116" s="447"/>
      <c r="W116" s="428"/>
      <c r="X116" s="428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241"/>
      <c r="BJ116" s="241"/>
      <c r="BK116" s="241"/>
      <c r="BL116" s="241"/>
      <c r="BM116" s="241"/>
      <c r="BN116" s="241"/>
      <c r="BO116" s="241"/>
      <c r="BP116" s="241"/>
      <c r="BQ116" s="241"/>
      <c r="BR116" s="241"/>
      <c r="BS116" s="241"/>
      <c r="BT116" s="428"/>
      <c r="BV116" s="428">
        <v>850</v>
      </c>
      <c r="BW116" s="400" t="s">
        <v>334</v>
      </c>
    </row>
    <row r="117" spans="1:80" hidden="1">
      <c r="M117" s="403" t="s">
        <v>713</v>
      </c>
      <c r="N117" s="404" t="s">
        <v>682</v>
      </c>
      <c r="O117" s="405" t="s">
        <v>683</v>
      </c>
      <c r="P117" s="405">
        <f>'[2]החברה לפיתוח '!$AY$58</f>
        <v>54712469</v>
      </c>
      <c r="Q117" s="474">
        <f>'[6]החברה לפיתוח '!$AY$57</f>
        <v>54712469</v>
      </c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V117" s="400">
        <v>850</v>
      </c>
      <c r="BW117" s="400">
        <v>1375</v>
      </c>
    </row>
    <row r="118" spans="1:80" hidden="1">
      <c r="N118" s="403" t="s">
        <v>714</v>
      </c>
      <c r="O118" s="400" t="s">
        <v>715</v>
      </c>
      <c r="P118" s="400"/>
      <c r="Q118" s="405">
        <v>1300000</v>
      </c>
      <c r="X118" s="405">
        <f>405208078-U110</f>
        <v>73551262</v>
      </c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V118" s="400">
        <v>125</v>
      </c>
      <c r="BW118" s="400">
        <v>1616</v>
      </c>
    </row>
    <row r="119" spans="1:80" hidden="1">
      <c r="N119" s="403" t="s">
        <v>714</v>
      </c>
      <c r="O119" s="400" t="s">
        <v>716</v>
      </c>
      <c r="P119" s="400"/>
      <c r="Q119" s="405">
        <f>Q67</f>
        <v>2401120</v>
      </c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V119" s="400">
        <f>SUM(BV115:BV118)</f>
        <v>5375</v>
      </c>
      <c r="BW119" s="400" t="s">
        <v>208</v>
      </c>
    </row>
    <row r="120" spans="1:80" hidden="1">
      <c r="N120" s="403"/>
      <c r="O120" s="400"/>
      <c r="P120" s="405">
        <f>'[2]תבל '!$AY$86</f>
        <v>3701120</v>
      </c>
      <c r="Q120" s="474">
        <f>SUM(Q118:Q119)</f>
        <v>3701120</v>
      </c>
      <c r="X120" s="400">
        <f>9250000+16000000+12000000+27660000</f>
        <v>64910000</v>
      </c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V120" s="400">
        <v>-200</v>
      </c>
      <c r="BW120" s="400" t="s">
        <v>717</v>
      </c>
    </row>
    <row r="121" spans="1:80" hidden="1">
      <c r="N121" s="404" t="s">
        <v>684</v>
      </c>
      <c r="O121" s="405" t="s">
        <v>718</v>
      </c>
      <c r="Q121" s="405">
        <v>2830000</v>
      </c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V121" s="400">
        <f>SUM(BV119:BV120)</f>
        <v>5175</v>
      </c>
    </row>
    <row r="122" spans="1:80" ht="15.75" hidden="1">
      <c r="O122" s="405" t="s">
        <v>719</v>
      </c>
      <c r="Q122" s="405">
        <v>14000000</v>
      </c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</row>
    <row r="123" spans="1:80" ht="15.75" hidden="1">
      <c r="L123" s="478" t="s">
        <v>720</v>
      </c>
      <c r="O123" s="405" t="s">
        <v>657</v>
      </c>
      <c r="Q123" s="405">
        <v>24177556</v>
      </c>
      <c r="Z123" s="249"/>
      <c r="AA123" s="249"/>
      <c r="AB123" s="249"/>
      <c r="AC123" s="249"/>
      <c r="AD123" s="249"/>
      <c r="AE123" s="249"/>
      <c r="AF123" s="249"/>
      <c r="AG123" s="249"/>
      <c r="AH123" s="249"/>
      <c r="AI123" s="249"/>
      <c r="AJ123" s="249"/>
      <c r="AK123" s="249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49"/>
      <c r="BK123" s="249"/>
      <c r="BL123" s="249"/>
      <c r="BM123" s="249"/>
      <c r="BN123" s="249"/>
      <c r="BO123" s="249"/>
      <c r="BP123" s="249"/>
      <c r="BQ123" s="249"/>
      <c r="BR123" s="249"/>
      <c r="BS123" s="249"/>
      <c r="BV123" s="405">
        <f>U110-517118078</f>
        <v>-185461262</v>
      </c>
    </row>
    <row r="124" spans="1:80" ht="15.75" hidden="1">
      <c r="O124" s="405" t="s">
        <v>721</v>
      </c>
      <c r="Q124" s="405">
        <v>7300000</v>
      </c>
      <c r="Z124" s="249"/>
      <c r="AA124" s="249"/>
      <c r="AB124" s="249"/>
      <c r="AC124" s="249"/>
      <c r="AD124" s="249"/>
      <c r="AE124" s="249"/>
      <c r="AF124" s="249"/>
      <c r="AG124" s="249"/>
      <c r="AH124" s="249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</row>
    <row r="125" spans="1:80" hidden="1">
      <c r="O125" s="405" t="s">
        <v>722</v>
      </c>
      <c r="Q125" s="405">
        <v>500000</v>
      </c>
      <c r="BW125" s="405">
        <f>471068078+850000+125000-200000</f>
        <v>471843078</v>
      </c>
    </row>
    <row r="126" spans="1:80" hidden="1">
      <c r="O126" s="405" t="s">
        <v>723</v>
      </c>
      <c r="Q126" s="405">
        <v>6100000</v>
      </c>
    </row>
    <row r="127" spans="1:80" hidden="1">
      <c r="P127" s="405">
        <f>'[2]הנדסה '!$AZ$208</f>
        <v>54907556</v>
      </c>
      <c r="Q127" s="474">
        <f>SUM(Q121:Q126)</f>
        <v>54907556</v>
      </c>
      <c r="BW127" s="405" t="e">
        <f>#REF!+#REF!</f>
        <v>#REF!</v>
      </c>
    </row>
    <row r="128" spans="1:80" hidden="1">
      <c r="O128" s="405" t="s">
        <v>208</v>
      </c>
      <c r="P128" s="405">
        <f>SUM(P117:P127)</f>
        <v>113321145</v>
      </c>
      <c r="Q128" s="479">
        <f>Q127+Q120+Q117</f>
        <v>113321145</v>
      </c>
      <c r="R128" s="405">
        <f>Q110-Q128</f>
        <v>0</v>
      </c>
    </row>
    <row r="129" spans="14:20" hidden="1">
      <c r="N129" s="403"/>
      <c r="O129" s="400"/>
      <c r="Q129" s="405" t="s">
        <v>724</v>
      </c>
    </row>
    <row r="130" spans="14:20" hidden="1">
      <c r="N130" s="404" t="s">
        <v>689</v>
      </c>
      <c r="P130" s="400" t="s">
        <v>713</v>
      </c>
      <c r="Q130" s="400"/>
      <c r="R130" s="405">
        <f>'[2]ריכוז תקציבים מעבר לתוכנית 31.8'!$AD$59</f>
        <v>41652000</v>
      </c>
    </row>
    <row r="131" spans="14:20" hidden="1">
      <c r="N131" s="404" t="s">
        <v>725</v>
      </c>
      <c r="O131" s="405" t="s">
        <v>726</v>
      </c>
      <c r="P131" s="400"/>
      <c r="Q131" s="400"/>
      <c r="R131" s="405">
        <f>-50000-250000</f>
        <v>-300000</v>
      </c>
    </row>
    <row r="132" spans="14:20" hidden="1">
      <c r="N132" s="404" t="s">
        <v>684</v>
      </c>
      <c r="O132" s="405" t="s">
        <v>727</v>
      </c>
      <c r="Q132" s="405">
        <v>800000</v>
      </c>
      <c r="R132" s="400"/>
    </row>
    <row r="133" spans="14:20" hidden="1">
      <c r="O133" s="405" t="s">
        <v>728</v>
      </c>
      <c r="Q133" s="405">
        <v>300000</v>
      </c>
      <c r="R133" s="400"/>
    </row>
    <row r="134" spans="14:20" hidden="1">
      <c r="O134" s="405" t="s">
        <v>718</v>
      </c>
      <c r="Q134" s="405">
        <v>1200000</v>
      </c>
      <c r="R134" s="400"/>
    </row>
    <row r="135" spans="14:20" hidden="1">
      <c r="O135" s="405" t="s">
        <v>729</v>
      </c>
      <c r="Q135" s="405">
        <v>200000</v>
      </c>
      <c r="R135" s="400"/>
    </row>
    <row r="136" spans="14:20" hidden="1">
      <c r="R136" s="405">
        <f>SUM(Q132:Q135)</f>
        <v>2500000</v>
      </c>
    </row>
    <row r="137" spans="14:20" hidden="1">
      <c r="O137" s="405" t="s">
        <v>208</v>
      </c>
      <c r="R137" s="479">
        <f>R130+R131+R136</f>
        <v>43852000</v>
      </c>
      <c r="S137" s="478">
        <f>R110-R137</f>
        <v>0</v>
      </c>
    </row>
    <row r="138" spans="14:20" hidden="1">
      <c r="S138" s="405" t="s">
        <v>730</v>
      </c>
      <c r="T138" s="404" t="s">
        <v>731</v>
      </c>
    </row>
    <row r="139" spans="14:20" hidden="1">
      <c r="S139" s="405" t="s">
        <v>732</v>
      </c>
    </row>
    <row r="140" spans="14:20" hidden="1"/>
    <row r="141" spans="14:20" hidden="1">
      <c r="O141" s="405" t="s">
        <v>733</v>
      </c>
      <c r="Q141" s="421">
        <f>'[5]תבל '!$AZ$84+'[5]החברה לפיתוח '!$AZ$57</f>
        <v>2800000</v>
      </c>
    </row>
    <row r="142" spans="14:20" hidden="1">
      <c r="O142" s="405" t="s">
        <v>734</v>
      </c>
      <c r="Q142" s="480">
        <f>'[7]הנדסה '!$BG$209+'[7]החברה לפיתוח '!$BF$57+'[7]תבל '!$BC$85</f>
        <v>4963598</v>
      </c>
    </row>
    <row r="143" spans="14:20" hidden="1">
      <c r="O143" s="405" t="s">
        <v>735</v>
      </c>
      <c r="Q143" s="405">
        <v>500000</v>
      </c>
    </row>
    <row r="144" spans="14:20" hidden="1">
      <c r="Q144" s="405">
        <f>SUM(Q141:Q143)</f>
        <v>8263598</v>
      </c>
    </row>
    <row r="145" spans="15:60" hidden="1">
      <c r="O145" s="405" t="s">
        <v>395</v>
      </c>
      <c r="R145" s="420">
        <v>4700000</v>
      </c>
    </row>
    <row r="146" spans="15:60" hidden="1">
      <c r="O146" s="405" t="s">
        <v>736</v>
      </c>
      <c r="R146" s="480">
        <v>42852000</v>
      </c>
    </row>
    <row r="148" spans="15:60">
      <c r="R148" s="405">
        <f>SUM(R145:R147)</f>
        <v>47552000</v>
      </c>
      <c r="BF148" s="251"/>
    </row>
    <row r="150" spans="15:60">
      <c r="BH150" s="251"/>
    </row>
    <row r="152" spans="15:60">
      <c r="BH152" s="251"/>
    </row>
  </sheetData>
  <sheetProtection formatCells="0" formatColumns="0" formatRows="0" insertColumns="0" insertRows="0" insertHyperlinks="0" deleteColumns="0" deleteRows="0" sort="0" autoFilter="0" pivotTables="0"/>
  <mergeCells count="26">
    <mergeCell ref="AI3:AK3"/>
    <mergeCell ref="T3:Y3"/>
    <mergeCell ref="Z3:AB3"/>
    <mergeCell ref="AC3:AE3"/>
    <mergeCell ref="AF3:AH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AX4:AZ4"/>
    <mergeCell ref="BA4:BC4"/>
    <mergeCell ref="BD4:BF4"/>
    <mergeCell ref="BG3:BI3"/>
    <mergeCell ref="BQ3:BS3"/>
    <mergeCell ref="BD3:BF3"/>
    <mergeCell ref="AX3:AZ3"/>
    <mergeCell ref="BA3:BC3"/>
    <mergeCell ref="BN3:BP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125"/>
  <sheetViews>
    <sheetView showZeros="0" rightToLeft="1" zoomScaleNormal="100" workbookViewId="0">
      <pane xSplit="2" ySplit="5" topLeftCell="C3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8.140625" style="239" customWidth="1"/>
    <col min="4" max="4" width="11.28515625" style="251" hidden="1" customWidth="1"/>
    <col min="5" max="5" width="11" style="251" hidden="1" customWidth="1"/>
    <col min="6" max="6" width="11.28515625" style="251" hidden="1" customWidth="1"/>
    <col min="7" max="10" width="12.7109375" style="251" hidden="1" customWidth="1"/>
    <col min="11" max="11" width="11.28515625" style="251" hidden="1" customWidth="1"/>
    <col min="12" max="12" width="10.85546875" style="251" hidden="1" customWidth="1"/>
    <col min="13" max="13" width="11.140625" style="251" hidden="1" customWidth="1"/>
    <col min="14" max="14" width="9.85546875" style="251" hidden="1" customWidth="1"/>
    <col min="15" max="15" width="11.5703125" style="251" hidden="1" customWidth="1"/>
    <col min="16" max="17" width="11.140625" style="251" hidden="1" customWidth="1"/>
    <col min="18" max="19" width="12" style="251" hidden="1" customWidth="1"/>
    <col min="20" max="20" width="8.85546875" style="251" customWidth="1"/>
    <col min="21" max="21" width="11.28515625" style="29" customWidth="1"/>
    <col min="22" max="22" width="10.140625" style="239" bestFit="1" customWidth="1"/>
    <col min="23" max="23" width="9.28515625" style="239" customWidth="1"/>
    <col min="24" max="24" width="4.7109375" style="239" hidden="1" customWidth="1"/>
    <col min="25" max="25" width="9.140625" style="239" customWidth="1"/>
    <col min="26" max="60" width="10" style="239" hidden="1" customWidth="1"/>
    <col min="61" max="61" width="11.140625" style="239" customWidth="1"/>
    <col min="62" max="62" width="10" style="239" customWidth="1"/>
    <col min="63" max="63" width="12" style="239" customWidth="1"/>
    <col min="64" max="64" width="11.28515625" style="239" customWidth="1"/>
    <col min="65" max="65" width="12.42578125" style="239" customWidth="1"/>
    <col min="66" max="71" width="10" style="239" hidden="1" customWidth="1"/>
    <col min="72" max="72" width="7.85546875" style="239" hidden="1" customWidth="1"/>
    <col min="73" max="73" width="10.140625" style="239" customWidth="1"/>
    <col min="74" max="16384" width="9.140625" style="239"/>
  </cols>
  <sheetData>
    <row r="1" spans="1:76" ht="18.75">
      <c r="A1" s="777" t="s">
        <v>944</v>
      </c>
      <c r="J1" s="251">
        <f>27230000-G43</f>
        <v>0</v>
      </c>
    </row>
    <row r="2" spans="1:76" ht="18.7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6">
      <c r="T3" s="831" t="s">
        <v>658</v>
      </c>
      <c r="U3" s="831"/>
      <c r="V3" s="831"/>
      <c r="W3" s="831"/>
      <c r="X3" s="831"/>
      <c r="Y3" s="831"/>
      <c r="Z3" s="830" t="s">
        <v>636</v>
      </c>
      <c r="AA3" s="830"/>
      <c r="AB3" s="830"/>
      <c r="AC3" s="830" t="s">
        <v>636</v>
      </c>
      <c r="AD3" s="830"/>
      <c r="AE3" s="830"/>
      <c r="AF3" s="830" t="s">
        <v>636</v>
      </c>
      <c r="AG3" s="830"/>
      <c r="AH3" s="830"/>
      <c r="AI3" s="830" t="s">
        <v>636</v>
      </c>
      <c r="AJ3" s="830"/>
      <c r="AK3" s="830"/>
      <c r="AL3" s="830" t="s">
        <v>636</v>
      </c>
      <c r="AM3" s="830"/>
      <c r="AN3" s="830"/>
      <c r="AO3" s="830" t="s">
        <v>636</v>
      </c>
      <c r="AP3" s="830"/>
      <c r="AQ3" s="830"/>
      <c r="AR3" s="830" t="s">
        <v>636</v>
      </c>
      <c r="AS3" s="830"/>
      <c r="AT3" s="830"/>
      <c r="AU3" s="830" t="s">
        <v>636</v>
      </c>
      <c r="AV3" s="830"/>
      <c r="AW3" s="830"/>
      <c r="AX3" s="830" t="s">
        <v>636</v>
      </c>
      <c r="AY3" s="830"/>
      <c r="AZ3" s="830"/>
      <c r="BA3" s="830" t="s">
        <v>636</v>
      </c>
      <c r="BB3" s="830"/>
      <c r="BC3" s="830"/>
      <c r="BD3" s="830" t="s">
        <v>636</v>
      </c>
      <c r="BE3" s="830"/>
      <c r="BF3" s="830"/>
      <c r="BG3" s="817" t="s">
        <v>636</v>
      </c>
      <c r="BH3" s="818"/>
      <c r="BI3" s="819"/>
      <c r="BJ3" s="621"/>
      <c r="BK3" s="621" t="s">
        <v>1092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6" s="240" customFormat="1" ht="90">
      <c r="A4" s="18" t="s">
        <v>659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 t="s">
        <v>6</v>
      </c>
      <c r="H4" s="18" t="s">
        <v>7</v>
      </c>
      <c r="I4" s="18" t="s">
        <v>8</v>
      </c>
      <c r="J4" s="18" t="s">
        <v>9</v>
      </c>
      <c r="K4" s="18" t="s">
        <v>10</v>
      </c>
      <c r="L4" s="18" t="s">
        <v>11</v>
      </c>
      <c r="M4" s="12" t="s">
        <v>637</v>
      </c>
      <c r="N4" s="18" t="s">
        <v>638</v>
      </c>
      <c r="O4" s="18" t="s">
        <v>639</v>
      </c>
      <c r="P4" s="18" t="s">
        <v>12</v>
      </c>
      <c r="Q4" s="18" t="s">
        <v>640</v>
      </c>
      <c r="R4" s="18" t="s">
        <v>641</v>
      </c>
      <c r="S4" s="18" t="s">
        <v>642</v>
      </c>
      <c r="T4" s="18" t="s">
        <v>643</v>
      </c>
      <c r="U4" s="36" t="s">
        <v>644</v>
      </c>
      <c r="V4" s="18" t="s">
        <v>13</v>
      </c>
      <c r="W4" s="18" t="s">
        <v>14</v>
      </c>
      <c r="X4" s="18" t="s">
        <v>15</v>
      </c>
      <c r="Y4" s="18" t="s">
        <v>184</v>
      </c>
      <c r="Z4" s="829" t="s">
        <v>660</v>
      </c>
      <c r="AA4" s="829"/>
      <c r="AB4" s="829"/>
      <c r="AC4" s="829" t="s">
        <v>661</v>
      </c>
      <c r="AD4" s="829"/>
      <c r="AE4" s="829"/>
      <c r="AF4" s="829" t="s">
        <v>662</v>
      </c>
      <c r="AG4" s="829"/>
      <c r="AH4" s="829"/>
      <c r="AI4" s="829" t="s">
        <v>663</v>
      </c>
      <c r="AJ4" s="829"/>
      <c r="AK4" s="829"/>
      <c r="AL4" s="829" t="s">
        <v>664</v>
      </c>
      <c r="AM4" s="829"/>
      <c r="AN4" s="829"/>
      <c r="AO4" s="829" t="s">
        <v>665</v>
      </c>
      <c r="AP4" s="829"/>
      <c r="AQ4" s="829"/>
      <c r="AR4" s="829" t="s">
        <v>666</v>
      </c>
      <c r="AS4" s="829"/>
      <c r="AT4" s="829"/>
      <c r="AU4" s="829" t="s">
        <v>667</v>
      </c>
      <c r="AV4" s="829"/>
      <c r="AW4" s="829"/>
      <c r="AX4" s="829" t="s">
        <v>668</v>
      </c>
      <c r="AY4" s="829"/>
      <c r="AZ4" s="829"/>
      <c r="BA4" s="829" t="s">
        <v>669</v>
      </c>
      <c r="BB4" s="829"/>
      <c r="BC4" s="829"/>
      <c r="BD4" s="829" t="s">
        <v>461</v>
      </c>
      <c r="BE4" s="829"/>
      <c r="BF4" s="829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12" t="s">
        <v>184</v>
      </c>
      <c r="BQ4" s="12" t="s">
        <v>13</v>
      </c>
      <c r="BR4" s="12" t="s">
        <v>14</v>
      </c>
      <c r="BS4" s="12" t="s">
        <v>184</v>
      </c>
      <c r="BT4" s="18" t="s">
        <v>16</v>
      </c>
    </row>
    <row r="5" spans="1:76" s="244" customFormat="1" ht="18" customHeight="1">
      <c r="A5" s="241"/>
      <c r="B5" s="241"/>
      <c r="C5" s="241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14"/>
      <c r="V5" s="242"/>
      <c r="W5" s="242"/>
      <c r="X5" s="242"/>
      <c r="Y5" s="241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1"/>
    </row>
    <row r="6" spans="1:76" s="244" customFormat="1">
      <c r="A6" s="241">
        <v>1</v>
      </c>
      <c r="B6" s="241">
        <v>1247</v>
      </c>
      <c r="C6" s="241" t="s">
        <v>84</v>
      </c>
      <c r="D6" s="242">
        <v>9500000</v>
      </c>
      <c r="E6" s="242">
        <v>9500000</v>
      </c>
      <c r="F6" s="242">
        <f t="shared" ref="F6:F58" si="0">D6-E6</f>
        <v>0</v>
      </c>
      <c r="G6" s="242">
        <v>7900000</v>
      </c>
      <c r="H6" s="242">
        <v>7483033</v>
      </c>
      <c r="I6" s="242">
        <v>338487</v>
      </c>
      <c r="J6" s="242">
        <v>77280.17</v>
      </c>
      <c r="K6" s="242">
        <f>SUM(I6:J6)</f>
        <v>415767.17</v>
      </c>
      <c r="L6" s="242">
        <f>H6+K6</f>
        <v>7898800.1699999999</v>
      </c>
      <c r="M6" s="242">
        <f>P6+S6</f>
        <v>351199.83000000007</v>
      </c>
      <c r="N6" s="242">
        <v>200000</v>
      </c>
      <c r="O6" s="242">
        <f>D6-L6-M6-N6</f>
        <v>1050000</v>
      </c>
      <c r="P6" s="242">
        <f>G6-L6</f>
        <v>1199.8300000000745</v>
      </c>
      <c r="Q6" s="482">
        <v>350000</v>
      </c>
      <c r="R6" s="242"/>
      <c r="S6" s="242">
        <f t="shared" ref="S6:S13" si="1">SUM(Q6:R6)</f>
        <v>350000</v>
      </c>
      <c r="T6" s="242">
        <f>P6-M6+S6</f>
        <v>0</v>
      </c>
      <c r="U6" s="14">
        <f t="shared" ref="U6:U69" si="2">N6-T6</f>
        <v>200000</v>
      </c>
      <c r="V6" s="242">
        <v>200000</v>
      </c>
      <c r="W6" s="242">
        <f t="shared" ref="W6:W69" si="3">U6-V6-X6-Y6</f>
        <v>0</v>
      </c>
      <c r="X6" s="242"/>
      <c r="Y6" s="241"/>
      <c r="Z6" s="242"/>
      <c r="AA6" s="242"/>
      <c r="AB6" s="242">
        <f>SUM(Z6:AA6)</f>
        <v>0</v>
      </c>
      <c r="AC6" s="242"/>
      <c r="AD6" s="242"/>
      <c r="AE6" s="242">
        <f>SUM(AC6:AD6)</f>
        <v>0</v>
      </c>
      <c r="AF6" s="242"/>
      <c r="AG6" s="242"/>
      <c r="AH6" s="242">
        <f>SUM(AF6:AG6)</f>
        <v>0</v>
      </c>
      <c r="AI6" s="242"/>
      <c r="AJ6" s="242"/>
      <c r="AK6" s="242">
        <f>SUM(AI6:AJ6)</f>
        <v>0</v>
      </c>
      <c r="AL6" s="242">
        <v>100000</v>
      </c>
      <c r="AM6" s="242"/>
      <c r="AN6" s="242">
        <f>SUM(AL6:AM6)</f>
        <v>100000</v>
      </c>
      <c r="AO6" s="242"/>
      <c r="AP6" s="242"/>
      <c r="AQ6" s="242">
        <f>SUM(AO6:AP6)</f>
        <v>0</v>
      </c>
      <c r="AR6" s="242"/>
      <c r="AS6" s="242"/>
      <c r="AT6" s="242">
        <f>SUM(AR6:AS6)</f>
        <v>0</v>
      </c>
      <c r="AU6" s="242"/>
      <c r="AV6" s="242"/>
      <c r="AW6" s="242">
        <f>SUM(AU6:AV6)</f>
        <v>0</v>
      </c>
      <c r="AX6" s="242"/>
      <c r="AY6" s="242"/>
      <c r="AZ6" s="242">
        <f>SUM(AX6:AY6)</f>
        <v>0</v>
      </c>
      <c r="BA6" s="242"/>
      <c r="BB6" s="242"/>
      <c r="BC6" s="242">
        <f>SUM(BA6:BB6)</f>
        <v>0</v>
      </c>
      <c r="BD6" s="242"/>
      <c r="BE6" s="242">
        <v>100000</v>
      </c>
      <c r="BF6" s="242">
        <f>SUM(BD6:BE6)</f>
        <v>100000</v>
      </c>
      <c r="BG6" s="242">
        <f>BF6+AB6+AE6+AH6+AK6+AN6+AQ6+AT6+AW6+AZ6+BC6</f>
        <v>200000</v>
      </c>
      <c r="BH6" s="242"/>
      <c r="BI6" s="242">
        <f>BG6+BH6</f>
        <v>200000</v>
      </c>
      <c r="BJ6" s="242">
        <f>U6-BI6</f>
        <v>0</v>
      </c>
      <c r="BK6" s="242">
        <v>200000</v>
      </c>
      <c r="BL6" s="242">
        <f>BI6-BK6-BM6</f>
        <v>0</v>
      </c>
      <c r="BM6" s="242"/>
      <c r="BN6" s="242"/>
      <c r="BO6" s="242">
        <f>BH6-BN6-BP6</f>
        <v>0</v>
      </c>
      <c r="BP6" s="242"/>
      <c r="BQ6" s="242"/>
      <c r="BR6" s="242">
        <f>BJ6-BQ6-BS6</f>
        <v>0</v>
      </c>
      <c r="BS6" s="242"/>
      <c r="BT6" s="241">
        <v>732000</v>
      </c>
    </row>
    <row r="7" spans="1:76" s="244" customFormat="1">
      <c r="A7" s="241">
        <f t="shared" ref="A7:A70" si="4">A6+1</f>
        <v>2</v>
      </c>
      <c r="B7" s="241">
        <v>1250</v>
      </c>
      <c r="C7" s="241" t="s">
        <v>85</v>
      </c>
      <c r="D7" s="242">
        <v>1450000</v>
      </c>
      <c r="E7" s="242">
        <v>1450000</v>
      </c>
      <c r="F7" s="242">
        <f t="shared" si="0"/>
        <v>0</v>
      </c>
      <c r="G7" s="242">
        <v>850000</v>
      </c>
      <c r="H7" s="242">
        <v>708018.48</v>
      </c>
      <c r="I7" s="242">
        <v>61841.18</v>
      </c>
      <c r="J7" s="242">
        <v>660.42</v>
      </c>
      <c r="K7" s="242">
        <f t="shared" ref="K7:K13" si="5">SUM(I7:J7)</f>
        <v>62501.599999999999</v>
      </c>
      <c r="L7" s="242">
        <f t="shared" ref="L7:L70" si="6">H7+K7</f>
        <v>770520.08</v>
      </c>
      <c r="M7" s="242">
        <f t="shared" ref="M7:M70" si="7">P7+S7</f>
        <v>129479.92000000004</v>
      </c>
      <c r="N7" s="242">
        <f>150000+200000-250000</f>
        <v>100000</v>
      </c>
      <c r="O7" s="242">
        <f t="shared" ref="O7:O70" si="8">D7-L7-M7-N7</f>
        <v>450000</v>
      </c>
      <c r="P7" s="242">
        <f t="shared" ref="P7:P70" si="9">G7-L7</f>
        <v>79479.920000000042</v>
      </c>
      <c r="Q7" s="483">
        <f>100000-50000</f>
        <v>50000</v>
      </c>
      <c r="R7" s="242"/>
      <c r="S7" s="242">
        <f t="shared" si="1"/>
        <v>50000</v>
      </c>
      <c r="T7" s="242">
        <f t="shared" ref="T7:T70" si="10">P7-M7+S7</f>
        <v>0</v>
      </c>
      <c r="U7" s="14">
        <f t="shared" si="2"/>
        <v>100000</v>
      </c>
      <c r="V7" s="242"/>
      <c r="W7" s="242">
        <f t="shared" si="3"/>
        <v>100000</v>
      </c>
      <c r="X7" s="242"/>
      <c r="Y7" s="241"/>
      <c r="Z7" s="242"/>
      <c r="AA7" s="242"/>
      <c r="AB7" s="242">
        <f t="shared" ref="AB7:AB70" si="11">SUM(Z7:AA7)</f>
        <v>0</v>
      </c>
      <c r="AC7" s="242"/>
      <c r="AD7" s="242"/>
      <c r="AE7" s="242">
        <f t="shared" ref="AE7:AE70" si="12">SUM(AC7:AD7)</f>
        <v>0</v>
      </c>
      <c r="AF7" s="242"/>
      <c r="AG7" s="242"/>
      <c r="AH7" s="242">
        <f t="shared" ref="AH7:AH70" si="13">SUM(AF7:AG7)</f>
        <v>0</v>
      </c>
      <c r="AI7" s="242"/>
      <c r="AJ7" s="242"/>
      <c r="AK7" s="242">
        <f t="shared" ref="AK7:AK70" si="14">SUM(AI7:AJ7)</f>
        <v>0</v>
      </c>
      <c r="AL7" s="242"/>
      <c r="AM7" s="242"/>
      <c r="AN7" s="242">
        <f t="shared" ref="AN7:AN70" si="15">SUM(AL7:AM7)</f>
        <v>0</v>
      </c>
      <c r="AO7" s="242"/>
      <c r="AP7" s="242"/>
      <c r="AQ7" s="242">
        <f t="shared" ref="AQ7:AQ70" si="16">SUM(AO7:AP7)</f>
        <v>0</v>
      </c>
      <c r="AR7" s="242"/>
      <c r="AS7" s="242"/>
      <c r="AT7" s="242">
        <f t="shared" ref="AT7:AT70" si="17">SUM(AR7:AS7)</f>
        <v>0</v>
      </c>
      <c r="AU7" s="242"/>
      <c r="AV7" s="242"/>
      <c r="AW7" s="242">
        <f t="shared" ref="AW7:AW70" si="18">SUM(AU7:AV7)</f>
        <v>0</v>
      </c>
      <c r="AX7" s="242">
        <v>100000</v>
      </c>
      <c r="AY7" s="242"/>
      <c r="AZ7" s="242">
        <f t="shared" ref="AZ7:AZ70" si="19">SUM(AX7:AY7)</f>
        <v>100000</v>
      </c>
      <c r="BA7" s="242"/>
      <c r="BB7" s="242"/>
      <c r="BC7" s="242">
        <f t="shared" ref="BC7:BC70" si="20">SUM(BA7:BB7)</f>
        <v>0</v>
      </c>
      <c r="BD7" s="242"/>
      <c r="BE7" s="242"/>
      <c r="BF7" s="242">
        <f t="shared" ref="BF7:BF70" si="21">SUM(BD7:BE7)</f>
        <v>0</v>
      </c>
      <c r="BG7" s="242">
        <f t="shared" ref="BG7:BG70" si="22">BF7+AB7+AE7+AH7+AK7+AN7+AQ7+AT7+AW7+AZ7+BC7</f>
        <v>100000</v>
      </c>
      <c r="BH7" s="242"/>
      <c r="BI7" s="242">
        <f t="shared" ref="BI7:BI70" si="23">BG7+BH7</f>
        <v>100000</v>
      </c>
      <c r="BJ7" s="242">
        <f t="shared" ref="BJ7:BJ70" si="24">U7-BI7</f>
        <v>0</v>
      </c>
      <c r="BK7" s="242"/>
      <c r="BL7" s="242">
        <f t="shared" ref="BL7:BL70" si="25">BI7-BK7-BM7</f>
        <v>100000</v>
      </c>
      <c r="BM7" s="242"/>
      <c r="BN7" s="242"/>
      <c r="BO7" s="242">
        <f t="shared" ref="BO7:BO70" si="26">BH7-BN7-BP7</f>
        <v>0</v>
      </c>
      <c r="BP7" s="242"/>
      <c r="BQ7" s="242"/>
      <c r="BR7" s="242">
        <f t="shared" ref="BR7:BR70" si="27">BJ7-BQ7-BS7</f>
        <v>0</v>
      </c>
      <c r="BS7" s="242"/>
      <c r="BT7" s="241">
        <v>749000</v>
      </c>
    </row>
    <row r="8" spans="1:76" s="244" customFormat="1">
      <c r="A8" s="241">
        <f t="shared" si="4"/>
        <v>3</v>
      </c>
      <c r="B8" s="241">
        <v>1253</v>
      </c>
      <c r="C8" s="241" t="s">
        <v>86</v>
      </c>
      <c r="D8" s="242">
        <f>3750000+150000</f>
        <v>3900000</v>
      </c>
      <c r="E8" s="242">
        <v>3700000</v>
      </c>
      <c r="F8" s="242">
        <f t="shared" si="0"/>
        <v>200000</v>
      </c>
      <c r="G8" s="242">
        <v>3200000</v>
      </c>
      <c r="H8" s="242">
        <v>2985192.85</v>
      </c>
      <c r="I8" s="242">
        <v>212596.41</v>
      </c>
      <c r="J8" s="242"/>
      <c r="K8" s="242">
        <f t="shared" si="5"/>
        <v>212596.41</v>
      </c>
      <c r="L8" s="242">
        <f t="shared" si="6"/>
        <v>3197789.2600000002</v>
      </c>
      <c r="M8" s="242">
        <f t="shared" si="7"/>
        <v>202210.73999999976</v>
      </c>
      <c r="N8" s="242">
        <f>500000-200000</f>
        <v>300000</v>
      </c>
      <c r="O8" s="242">
        <f t="shared" si="8"/>
        <v>200000</v>
      </c>
      <c r="P8" s="242">
        <f t="shared" si="9"/>
        <v>2210.7399999997579</v>
      </c>
      <c r="Q8" s="484">
        <v>50000</v>
      </c>
      <c r="R8" s="485">
        <v>150000</v>
      </c>
      <c r="S8" s="242">
        <f t="shared" si="1"/>
        <v>200000</v>
      </c>
      <c r="T8" s="242">
        <f t="shared" si="10"/>
        <v>0</v>
      </c>
      <c r="U8" s="14">
        <f t="shared" si="2"/>
        <v>300000</v>
      </c>
      <c r="V8" s="242"/>
      <c r="W8" s="242">
        <f t="shared" si="3"/>
        <v>300000</v>
      </c>
      <c r="X8" s="242"/>
      <c r="Y8" s="241"/>
      <c r="Z8" s="242"/>
      <c r="AA8" s="242"/>
      <c r="AB8" s="242">
        <f t="shared" si="11"/>
        <v>0</v>
      </c>
      <c r="AC8" s="242"/>
      <c r="AD8" s="242"/>
      <c r="AE8" s="242">
        <f t="shared" si="12"/>
        <v>0</v>
      </c>
      <c r="AF8" s="242"/>
      <c r="AG8" s="242"/>
      <c r="AH8" s="242">
        <f t="shared" si="13"/>
        <v>0</v>
      </c>
      <c r="AI8" s="242">
        <v>300000</v>
      </c>
      <c r="AJ8" s="242"/>
      <c r="AK8" s="242">
        <f t="shared" si="14"/>
        <v>300000</v>
      </c>
      <c r="AL8" s="242"/>
      <c r="AM8" s="242"/>
      <c r="AN8" s="242">
        <f t="shared" si="15"/>
        <v>0</v>
      </c>
      <c r="AO8" s="242"/>
      <c r="AP8" s="242"/>
      <c r="AQ8" s="242">
        <f t="shared" si="16"/>
        <v>0</v>
      </c>
      <c r="AR8" s="242"/>
      <c r="AS8" s="242"/>
      <c r="AT8" s="242">
        <f t="shared" si="17"/>
        <v>0</v>
      </c>
      <c r="AU8" s="242"/>
      <c r="AV8" s="242"/>
      <c r="AW8" s="242">
        <f t="shared" si="18"/>
        <v>0</v>
      </c>
      <c r="AX8" s="242"/>
      <c r="AY8" s="242"/>
      <c r="AZ8" s="242">
        <f t="shared" si="19"/>
        <v>0</v>
      </c>
      <c r="BA8" s="242"/>
      <c r="BB8" s="242"/>
      <c r="BC8" s="242">
        <f t="shared" si="20"/>
        <v>0</v>
      </c>
      <c r="BD8" s="242"/>
      <c r="BE8" s="242"/>
      <c r="BF8" s="242">
        <f t="shared" si="21"/>
        <v>0</v>
      </c>
      <c r="BG8" s="242">
        <f t="shared" si="22"/>
        <v>300000</v>
      </c>
      <c r="BH8" s="242"/>
      <c r="BI8" s="242">
        <f t="shared" si="23"/>
        <v>300000</v>
      </c>
      <c r="BJ8" s="242">
        <f t="shared" si="24"/>
        <v>0</v>
      </c>
      <c r="BK8" s="242"/>
      <c r="BL8" s="242">
        <f t="shared" si="25"/>
        <v>300000</v>
      </c>
      <c r="BM8" s="242"/>
      <c r="BN8" s="242"/>
      <c r="BO8" s="242">
        <f t="shared" si="26"/>
        <v>0</v>
      </c>
      <c r="BP8" s="242"/>
      <c r="BQ8" s="242"/>
      <c r="BR8" s="242">
        <f t="shared" si="27"/>
        <v>0</v>
      </c>
      <c r="BS8" s="242"/>
      <c r="BT8" s="241">
        <v>850000</v>
      </c>
    </row>
    <row r="9" spans="1:76" s="244" customFormat="1">
      <c r="A9" s="241">
        <f t="shared" si="4"/>
        <v>4</v>
      </c>
      <c r="B9" s="241">
        <v>1281</v>
      </c>
      <c r="C9" s="241" t="s">
        <v>87</v>
      </c>
      <c r="D9" s="242">
        <f>213905840-150000</f>
        <v>213755840</v>
      </c>
      <c r="E9" s="242">
        <v>213905840</v>
      </c>
      <c r="F9" s="242">
        <f t="shared" si="0"/>
        <v>-150000</v>
      </c>
      <c r="G9" s="242">
        <v>213905840</v>
      </c>
      <c r="H9" s="242">
        <v>211376250</v>
      </c>
      <c r="I9" s="242">
        <f>931157+6174</f>
        <v>937331</v>
      </c>
      <c r="J9" s="242">
        <f>511484+804437</f>
        <v>1315921</v>
      </c>
      <c r="K9" s="242">
        <f t="shared" si="5"/>
        <v>2253252</v>
      </c>
      <c r="L9" s="242">
        <f t="shared" si="6"/>
        <v>213629502</v>
      </c>
      <c r="M9" s="242">
        <f>P9+S9-150000</f>
        <v>126338</v>
      </c>
      <c r="N9" s="242"/>
      <c r="O9" s="242">
        <f t="shared" si="8"/>
        <v>0</v>
      </c>
      <c r="P9" s="242">
        <f t="shared" si="9"/>
        <v>276338</v>
      </c>
      <c r="Q9" s="242"/>
      <c r="R9" s="242"/>
      <c r="S9" s="242">
        <f t="shared" si="1"/>
        <v>0</v>
      </c>
      <c r="T9" s="242">
        <f t="shared" si="10"/>
        <v>150000</v>
      </c>
      <c r="U9" s="14">
        <f t="shared" si="2"/>
        <v>-150000</v>
      </c>
      <c r="V9" s="242"/>
      <c r="W9" s="242">
        <f t="shared" si="3"/>
        <v>-150000</v>
      </c>
      <c r="X9" s="242"/>
      <c r="Y9" s="241"/>
      <c r="Z9" s="242">
        <v>-150000</v>
      </c>
      <c r="AA9" s="242"/>
      <c r="AB9" s="242">
        <f t="shared" si="11"/>
        <v>-150000</v>
      </c>
      <c r="AC9" s="242"/>
      <c r="AD9" s="242"/>
      <c r="AE9" s="242">
        <f t="shared" si="12"/>
        <v>0</v>
      </c>
      <c r="AF9" s="242"/>
      <c r="AG9" s="242"/>
      <c r="AH9" s="242">
        <f t="shared" si="13"/>
        <v>0</v>
      </c>
      <c r="AI9" s="242"/>
      <c r="AJ9" s="242"/>
      <c r="AK9" s="242">
        <f t="shared" si="14"/>
        <v>0</v>
      </c>
      <c r="AL9" s="242"/>
      <c r="AM9" s="242"/>
      <c r="AN9" s="242">
        <f t="shared" si="15"/>
        <v>0</v>
      </c>
      <c r="AO9" s="242"/>
      <c r="AP9" s="242"/>
      <c r="AQ9" s="242">
        <f t="shared" si="16"/>
        <v>0</v>
      </c>
      <c r="AR9" s="242"/>
      <c r="AS9" s="242"/>
      <c r="AT9" s="242">
        <f t="shared" si="17"/>
        <v>0</v>
      </c>
      <c r="AU9" s="242"/>
      <c r="AV9" s="242"/>
      <c r="AW9" s="242">
        <f t="shared" si="18"/>
        <v>0</v>
      </c>
      <c r="AX9" s="242"/>
      <c r="AY9" s="242"/>
      <c r="AZ9" s="242">
        <f t="shared" si="19"/>
        <v>0</v>
      </c>
      <c r="BA9" s="242"/>
      <c r="BB9" s="242"/>
      <c r="BC9" s="242">
        <f t="shared" si="20"/>
        <v>0</v>
      </c>
      <c r="BD9" s="242"/>
      <c r="BE9" s="242"/>
      <c r="BF9" s="242">
        <f t="shared" si="21"/>
        <v>0</v>
      </c>
      <c r="BG9" s="242">
        <f t="shared" si="22"/>
        <v>-150000</v>
      </c>
      <c r="BH9" s="242"/>
      <c r="BI9" s="242">
        <f t="shared" si="23"/>
        <v>-150000</v>
      </c>
      <c r="BJ9" s="242">
        <f t="shared" si="24"/>
        <v>0</v>
      </c>
      <c r="BK9" s="242"/>
      <c r="BL9" s="242">
        <f t="shared" si="25"/>
        <v>-150000</v>
      </c>
      <c r="BM9" s="242"/>
      <c r="BN9" s="242"/>
      <c r="BO9" s="242">
        <f t="shared" si="26"/>
        <v>0</v>
      </c>
      <c r="BP9" s="242"/>
      <c r="BQ9" s="242"/>
      <c r="BR9" s="242">
        <f t="shared" si="27"/>
        <v>0</v>
      </c>
      <c r="BS9" s="242"/>
      <c r="BT9" s="241">
        <v>810000</v>
      </c>
    </row>
    <row r="10" spans="1:76" s="15" customFormat="1">
      <c r="A10" s="241">
        <f t="shared" si="4"/>
        <v>5</v>
      </c>
      <c r="B10" s="13">
        <v>1350</v>
      </c>
      <c r="C10" s="13" t="s">
        <v>737</v>
      </c>
      <c r="D10" s="14">
        <v>1300000</v>
      </c>
      <c r="E10" s="14">
        <v>1300000</v>
      </c>
      <c r="F10" s="242">
        <f t="shared" si="0"/>
        <v>0</v>
      </c>
      <c r="G10" s="14">
        <v>550000</v>
      </c>
      <c r="H10" s="14">
        <v>435268.96</v>
      </c>
      <c r="I10" s="14">
        <v>28692.79</v>
      </c>
      <c r="J10" s="14"/>
      <c r="K10" s="14">
        <f t="shared" si="5"/>
        <v>28692.79</v>
      </c>
      <c r="L10" s="14">
        <f t="shared" si="6"/>
        <v>463961.75</v>
      </c>
      <c r="M10" s="14">
        <f t="shared" si="7"/>
        <v>136038.25</v>
      </c>
      <c r="N10" s="14">
        <f>450000-150000</f>
        <v>300000</v>
      </c>
      <c r="O10" s="14">
        <f t="shared" si="8"/>
        <v>400000</v>
      </c>
      <c r="P10" s="14">
        <f t="shared" si="9"/>
        <v>86038.25</v>
      </c>
      <c r="Q10" s="483">
        <v>50000</v>
      </c>
      <c r="R10" s="242"/>
      <c r="S10" s="14">
        <f t="shared" si="1"/>
        <v>50000</v>
      </c>
      <c r="T10" s="14">
        <f t="shared" si="10"/>
        <v>0</v>
      </c>
      <c r="U10" s="14">
        <f t="shared" si="2"/>
        <v>300000</v>
      </c>
      <c r="V10" s="14"/>
      <c r="W10" s="242">
        <f t="shared" si="3"/>
        <v>300000</v>
      </c>
      <c r="X10" s="14"/>
      <c r="Y10" s="13"/>
      <c r="Z10" s="242"/>
      <c r="AA10" s="242"/>
      <c r="AB10" s="242">
        <f t="shared" si="11"/>
        <v>0</v>
      </c>
      <c r="AC10" s="242"/>
      <c r="AD10" s="242"/>
      <c r="AE10" s="242">
        <f t="shared" si="12"/>
        <v>0</v>
      </c>
      <c r="AF10" s="242"/>
      <c r="AG10" s="242"/>
      <c r="AH10" s="242">
        <f t="shared" si="13"/>
        <v>0</v>
      </c>
      <c r="AI10" s="242"/>
      <c r="AJ10" s="242"/>
      <c r="AK10" s="242">
        <f t="shared" si="14"/>
        <v>0</v>
      </c>
      <c r="AL10" s="242"/>
      <c r="AM10" s="242"/>
      <c r="AN10" s="242">
        <f t="shared" si="15"/>
        <v>0</v>
      </c>
      <c r="AO10" s="242"/>
      <c r="AP10" s="242"/>
      <c r="AQ10" s="242">
        <f t="shared" si="16"/>
        <v>0</v>
      </c>
      <c r="AR10" s="242"/>
      <c r="AS10" s="242"/>
      <c r="AT10" s="242">
        <f t="shared" si="17"/>
        <v>0</v>
      </c>
      <c r="AU10" s="242"/>
      <c r="AV10" s="242"/>
      <c r="AW10" s="242">
        <f t="shared" si="18"/>
        <v>0</v>
      </c>
      <c r="AX10" s="242">
        <v>300000</v>
      </c>
      <c r="AY10" s="242"/>
      <c r="AZ10" s="242">
        <f t="shared" si="19"/>
        <v>300000</v>
      </c>
      <c r="BA10" s="242"/>
      <c r="BB10" s="242"/>
      <c r="BC10" s="242">
        <f t="shared" si="20"/>
        <v>0</v>
      </c>
      <c r="BD10" s="242"/>
      <c r="BE10" s="242"/>
      <c r="BF10" s="242">
        <f t="shared" si="21"/>
        <v>0</v>
      </c>
      <c r="BG10" s="242">
        <f t="shared" si="22"/>
        <v>300000</v>
      </c>
      <c r="BH10" s="242"/>
      <c r="BI10" s="242">
        <f t="shared" si="23"/>
        <v>300000</v>
      </c>
      <c r="BJ10" s="242">
        <f t="shared" si="24"/>
        <v>0</v>
      </c>
      <c r="BK10" s="242"/>
      <c r="BL10" s="242">
        <f t="shared" si="25"/>
        <v>300000</v>
      </c>
      <c r="BM10" s="242"/>
      <c r="BN10" s="242"/>
      <c r="BO10" s="242">
        <f t="shared" si="26"/>
        <v>0</v>
      </c>
      <c r="BP10" s="242"/>
      <c r="BQ10" s="242"/>
      <c r="BR10" s="242">
        <f t="shared" si="27"/>
        <v>0</v>
      </c>
      <c r="BS10" s="242"/>
      <c r="BT10" s="13">
        <v>828900</v>
      </c>
      <c r="BX10" s="244"/>
    </row>
    <row r="11" spans="1:76" s="244" customFormat="1">
      <c r="A11" s="241">
        <f t="shared" si="4"/>
        <v>6</v>
      </c>
      <c r="B11" s="241">
        <v>1372</v>
      </c>
      <c r="C11" s="241" t="s">
        <v>88</v>
      </c>
      <c r="D11" s="242">
        <v>2900000</v>
      </c>
      <c r="E11" s="242">
        <v>2900000</v>
      </c>
      <c r="F11" s="242">
        <f t="shared" si="0"/>
        <v>0</v>
      </c>
      <c r="G11" s="242">
        <v>1500000</v>
      </c>
      <c r="H11" s="242">
        <v>1407501.36</v>
      </c>
      <c r="I11" s="242">
        <v>92475.76</v>
      </c>
      <c r="J11" s="242"/>
      <c r="K11" s="242">
        <f t="shared" si="5"/>
        <v>92475.76</v>
      </c>
      <c r="L11" s="242">
        <f t="shared" si="6"/>
        <v>1499977.12</v>
      </c>
      <c r="M11" s="242">
        <f t="shared" si="7"/>
        <v>22.879999999888241</v>
      </c>
      <c r="N11" s="242"/>
      <c r="O11" s="242">
        <f t="shared" si="8"/>
        <v>1400000</v>
      </c>
      <c r="P11" s="242">
        <f t="shared" si="9"/>
        <v>22.879999999888241</v>
      </c>
      <c r="Q11" s="242"/>
      <c r="R11" s="242"/>
      <c r="S11" s="242">
        <f t="shared" si="1"/>
        <v>0</v>
      </c>
      <c r="T11" s="242">
        <f t="shared" si="10"/>
        <v>0</v>
      </c>
      <c r="U11" s="14">
        <f t="shared" si="2"/>
        <v>0</v>
      </c>
      <c r="V11" s="242"/>
      <c r="W11" s="242">
        <f t="shared" si="3"/>
        <v>0</v>
      </c>
      <c r="X11" s="242"/>
      <c r="Y11" s="241"/>
      <c r="Z11" s="242"/>
      <c r="AA11" s="242"/>
      <c r="AB11" s="242">
        <f t="shared" si="11"/>
        <v>0</v>
      </c>
      <c r="AC11" s="242"/>
      <c r="AD11" s="242"/>
      <c r="AE11" s="242">
        <f t="shared" si="12"/>
        <v>0</v>
      </c>
      <c r="AF11" s="242"/>
      <c r="AG11" s="242"/>
      <c r="AH11" s="242">
        <f t="shared" si="13"/>
        <v>0</v>
      </c>
      <c r="AI11" s="242"/>
      <c r="AJ11" s="242"/>
      <c r="AK11" s="242">
        <f t="shared" si="14"/>
        <v>0</v>
      </c>
      <c r="AL11" s="242"/>
      <c r="AM11" s="242"/>
      <c r="AN11" s="242">
        <f t="shared" si="15"/>
        <v>0</v>
      </c>
      <c r="AO11" s="242"/>
      <c r="AP11" s="242"/>
      <c r="AQ11" s="242">
        <f t="shared" si="16"/>
        <v>0</v>
      </c>
      <c r="AR11" s="242"/>
      <c r="AS11" s="242"/>
      <c r="AT11" s="242">
        <f t="shared" si="17"/>
        <v>0</v>
      </c>
      <c r="AU11" s="242"/>
      <c r="AV11" s="242"/>
      <c r="AW11" s="242">
        <f t="shared" si="18"/>
        <v>0</v>
      </c>
      <c r="AX11" s="242"/>
      <c r="AY11" s="242"/>
      <c r="AZ11" s="242">
        <f t="shared" si="19"/>
        <v>0</v>
      </c>
      <c r="BA11" s="242"/>
      <c r="BB11" s="242"/>
      <c r="BC11" s="242">
        <f t="shared" si="20"/>
        <v>0</v>
      </c>
      <c r="BD11" s="242"/>
      <c r="BE11" s="242"/>
      <c r="BF11" s="242">
        <f t="shared" si="21"/>
        <v>0</v>
      </c>
      <c r="BG11" s="242">
        <f t="shared" si="22"/>
        <v>0</v>
      </c>
      <c r="BH11" s="242"/>
      <c r="BI11" s="242">
        <f t="shared" si="23"/>
        <v>0</v>
      </c>
      <c r="BJ11" s="242">
        <f t="shared" si="24"/>
        <v>0</v>
      </c>
      <c r="BK11" s="242"/>
      <c r="BL11" s="242">
        <f t="shared" si="25"/>
        <v>0</v>
      </c>
      <c r="BM11" s="242"/>
      <c r="BN11" s="242"/>
      <c r="BO11" s="242">
        <f t="shared" si="26"/>
        <v>0</v>
      </c>
      <c r="BP11" s="242"/>
      <c r="BQ11" s="242"/>
      <c r="BR11" s="242">
        <f t="shared" si="27"/>
        <v>0</v>
      </c>
      <c r="BS11" s="242"/>
      <c r="BT11" s="241">
        <v>810000</v>
      </c>
    </row>
    <row r="12" spans="1:76" s="244" customFormat="1">
      <c r="A12" s="241">
        <f t="shared" si="4"/>
        <v>7</v>
      </c>
      <c r="B12" s="241">
        <v>1415</v>
      </c>
      <c r="C12" s="241" t="s">
        <v>89</v>
      </c>
      <c r="D12" s="242">
        <v>1150000</v>
      </c>
      <c r="E12" s="242">
        <v>1150000</v>
      </c>
      <c r="F12" s="242">
        <f t="shared" si="0"/>
        <v>0</v>
      </c>
      <c r="G12" s="242">
        <v>800000</v>
      </c>
      <c r="H12" s="242">
        <v>741130</v>
      </c>
      <c r="I12" s="242">
        <v>20082</v>
      </c>
      <c r="J12" s="242">
        <v>0.4</v>
      </c>
      <c r="K12" s="242">
        <f t="shared" si="5"/>
        <v>20082.400000000001</v>
      </c>
      <c r="L12" s="242">
        <f t="shared" si="6"/>
        <v>761212.4</v>
      </c>
      <c r="M12" s="242">
        <f t="shared" si="7"/>
        <v>38787.599999999977</v>
      </c>
      <c r="N12" s="242">
        <f>300000-200000</f>
        <v>100000</v>
      </c>
      <c r="O12" s="242">
        <f t="shared" si="8"/>
        <v>250000</v>
      </c>
      <c r="P12" s="242">
        <f t="shared" si="9"/>
        <v>38787.599999999977</v>
      </c>
      <c r="Q12" s="242"/>
      <c r="R12" s="242"/>
      <c r="S12" s="242">
        <f t="shared" si="1"/>
        <v>0</v>
      </c>
      <c r="T12" s="242">
        <f t="shared" si="10"/>
        <v>0</v>
      </c>
      <c r="U12" s="14">
        <f t="shared" si="2"/>
        <v>100000</v>
      </c>
      <c r="V12" s="242"/>
      <c r="W12" s="242">
        <f t="shared" si="3"/>
        <v>100000</v>
      </c>
      <c r="X12" s="242"/>
      <c r="Y12" s="241"/>
      <c r="Z12" s="242"/>
      <c r="AA12" s="242"/>
      <c r="AB12" s="242">
        <f t="shared" si="11"/>
        <v>0</v>
      </c>
      <c r="AC12" s="242"/>
      <c r="AD12" s="242"/>
      <c r="AE12" s="242">
        <f t="shared" si="12"/>
        <v>0</v>
      </c>
      <c r="AF12" s="242"/>
      <c r="AG12" s="242"/>
      <c r="AH12" s="242">
        <f t="shared" si="13"/>
        <v>0</v>
      </c>
      <c r="AI12" s="242"/>
      <c r="AJ12" s="242"/>
      <c r="AK12" s="242">
        <f t="shared" si="14"/>
        <v>0</v>
      </c>
      <c r="AL12" s="242">
        <v>100000</v>
      </c>
      <c r="AM12" s="242"/>
      <c r="AN12" s="242">
        <f t="shared" si="15"/>
        <v>100000</v>
      </c>
      <c r="AO12" s="242"/>
      <c r="AP12" s="242"/>
      <c r="AQ12" s="242">
        <f t="shared" si="16"/>
        <v>0</v>
      </c>
      <c r="AR12" s="242"/>
      <c r="AS12" s="242"/>
      <c r="AT12" s="242">
        <f t="shared" si="17"/>
        <v>0</v>
      </c>
      <c r="AU12" s="242"/>
      <c r="AV12" s="242"/>
      <c r="AW12" s="242">
        <f t="shared" si="18"/>
        <v>0</v>
      </c>
      <c r="AX12" s="242"/>
      <c r="AY12" s="242"/>
      <c r="AZ12" s="242">
        <f t="shared" si="19"/>
        <v>0</v>
      </c>
      <c r="BA12" s="242"/>
      <c r="BB12" s="242"/>
      <c r="BC12" s="242">
        <f t="shared" si="20"/>
        <v>0</v>
      </c>
      <c r="BD12" s="242"/>
      <c r="BE12" s="242"/>
      <c r="BF12" s="242">
        <f t="shared" si="21"/>
        <v>0</v>
      </c>
      <c r="BG12" s="242">
        <f t="shared" si="22"/>
        <v>100000</v>
      </c>
      <c r="BH12" s="242"/>
      <c r="BI12" s="242">
        <f t="shared" si="23"/>
        <v>100000</v>
      </c>
      <c r="BJ12" s="242">
        <f t="shared" si="24"/>
        <v>0</v>
      </c>
      <c r="BK12" s="242"/>
      <c r="BL12" s="242">
        <f t="shared" si="25"/>
        <v>100000</v>
      </c>
      <c r="BM12" s="242"/>
      <c r="BN12" s="242"/>
      <c r="BO12" s="242">
        <f t="shared" si="26"/>
        <v>0</v>
      </c>
      <c r="BP12" s="242"/>
      <c r="BQ12" s="242"/>
      <c r="BR12" s="242">
        <f t="shared" si="27"/>
        <v>0</v>
      </c>
      <c r="BS12" s="242"/>
      <c r="BT12" s="241">
        <v>930000</v>
      </c>
    </row>
    <row r="13" spans="1:76" s="244" customFormat="1">
      <c r="A13" s="241">
        <f t="shared" si="4"/>
        <v>8</v>
      </c>
      <c r="B13" s="241">
        <v>1416</v>
      </c>
      <c r="C13" s="241" t="s">
        <v>228</v>
      </c>
      <c r="D13" s="242">
        <v>1700000</v>
      </c>
      <c r="E13" s="242">
        <v>1700000</v>
      </c>
      <c r="F13" s="242">
        <f t="shared" si="0"/>
        <v>0</v>
      </c>
      <c r="G13" s="242">
        <v>1100000</v>
      </c>
      <c r="H13" s="242">
        <v>1030750.11</v>
      </c>
      <c r="I13" s="242">
        <v>25863.75</v>
      </c>
      <c r="J13" s="242"/>
      <c r="K13" s="242">
        <f t="shared" si="5"/>
        <v>25863.75</v>
      </c>
      <c r="L13" s="242">
        <f t="shared" si="6"/>
        <v>1056613.8599999999</v>
      </c>
      <c r="M13" s="242">
        <f>P13+S13</f>
        <v>93386.14000000013</v>
      </c>
      <c r="N13" s="242">
        <v>100000</v>
      </c>
      <c r="O13" s="242">
        <f t="shared" si="8"/>
        <v>450000</v>
      </c>
      <c r="P13" s="242">
        <f t="shared" si="9"/>
        <v>43386.14000000013</v>
      </c>
      <c r="Q13" s="484">
        <v>50000</v>
      </c>
      <c r="R13" s="242"/>
      <c r="S13" s="242">
        <f t="shared" si="1"/>
        <v>50000</v>
      </c>
      <c r="T13" s="242">
        <f t="shared" si="10"/>
        <v>0</v>
      </c>
      <c r="U13" s="14">
        <f t="shared" si="2"/>
        <v>100000</v>
      </c>
      <c r="V13" s="242"/>
      <c r="W13" s="242">
        <f t="shared" si="3"/>
        <v>100000</v>
      </c>
      <c r="X13" s="242"/>
      <c r="Y13" s="241"/>
      <c r="Z13" s="242"/>
      <c r="AA13" s="242"/>
      <c r="AB13" s="242">
        <f t="shared" si="11"/>
        <v>0</v>
      </c>
      <c r="AC13" s="242"/>
      <c r="AD13" s="242"/>
      <c r="AE13" s="242">
        <f t="shared" si="12"/>
        <v>0</v>
      </c>
      <c r="AF13" s="242">
        <v>100000</v>
      </c>
      <c r="AG13" s="242"/>
      <c r="AH13" s="242">
        <f t="shared" si="13"/>
        <v>100000</v>
      </c>
      <c r="AI13" s="242"/>
      <c r="AJ13" s="242"/>
      <c r="AK13" s="242">
        <f t="shared" si="14"/>
        <v>0</v>
      </c>
      <c r="AL13" s="242"/>
      <c r="AM13" s="242"/>
      <c r="AN13" s="242">
        <f t="shared" si="15"/>
        <v>0</v>
      </c>
      <c r="AO13" s="242"/>
      <c r="AP13" s="242"/>
      <c r="AQ13" s="242">
        <f t="shared" si="16"/>
        <v>0</v>
      </c>
      <c r="AR13" s="242"/>
      <c r="AS13" s="242"/>
      <c r="AT13" s="242">
        <f t="shared" si="17"/>
        <v>0</v>
      </c>
      <c r="AU13" s="242"/>
      <c r="AV13" s="242"/>
      <c r="AW13" s="242">
        <f t="shared" si="18"/>
        <v>0</v>
      </c>
      <c r="AX13" s="242"/>
      <c r="AY13" s="242"/>
      <c r="AZ13" s="242">
        <f t="shared" si="19"/>
        <v>0</v>
      </c>
      <c r="BA13" s="242"/>
      <c r="BB13" s="242"/>
      <c r="BC13" s="242">
        <f t="shared" si="20"/>
        <v>0</v>
      </c>
      <c r="BD13" s="242"/>
      <c r="BE13" s="242"/>
      <c r="BF13" s="242">
        <f t="shared" si="21"/>
        <v>0</v>
      </c>
      <c r="BG13" s="242">
        <f t="shared" si="22"/>
        <v>100000</v>
      </c>
      <c r="BH13" s="242"/>
      <c r="BI13" s="242">
        <f t="shared" si="23"/>
        <v>100000</v>
      </c>
      <c r="BJ13" s="242">
        <f t="shared" si="24"/>
        <v>0</v>
      </c>
      <c r="BK13" s="242"/>
      <c r="BL13" s="242">
        <f t="shared" si="25"/>
        <v>100000</v>
      </c>
      <c r="BM13" s="242"/>
      <c r="BN13" s="242"/>
      <c r="BO13" s="242">
        <f t="shared" si="26"/>
        <v>0</v>
      </c>
      <c r="BP13" s="242"/>
      <c r="BQ13" s="242"/>
      <c r="BR13" s="242">
        <f t="shared" si="27"/>
        <v>0</v>
      </c>
      <c r="BS13" s="242"/>
      <c r="BT13" s="241">
        <v>930000</v>
      </c>
    </row>
    <row r="14" spans="1:76" s="244" customFormat="1">
      <c r="A14" s="241">
        <f t="shared" si="4"/>
        <v>9</v>
      </c>
      <c r="B14" s="241">
        <v>1472</v>
      </c>
      <c r="C14" s="241" t="s">
        <v>90</v>
      </c>
      <c r="D14" s="242">
        <f>21000000-10150000</f>
        <v>10850000</v>
      </c>
      <c r="E14" s="242">
        <v>21000000</v>
      </c>
      <c r="F14" s="242">
        <f t="shared" si="0"/>
        <v>-10150000</v>
      </c>
      <c r="G14" s="242">
        <v>11250000</v>
      </c>
      <c r="H14" s="242">
        <v>9869070</v>
      </c>
      <c r="I14" s="242">
        <v>506122</v>
      </c>
      <c r="J14" s="242">
        <v>4448.6000000000004</v>
      </c>
      <c r="K14" s="242">
        <f t="shared" ref="K14:K64" si="28">SUM(I14:J14)</f>
        <v>510570.6</v>
      </c>
      <c r="L14" s="242">
        <f t="shared" si="6"/>
        <v>10379640.6</v>
      </c>
      <c r="M14" s="242">
        <f>P14+S14-400000</f>
        <v>470359.40000000037</v>
      </c>
      <c r="N14" s="242"/>
      <c r="O14" s="242">
        <f t="shared" si="8"/>
        <v>0</v>
      </c>
      <c r="P14" s="242">
        <f t="shared" si="9"/>
        <v>870359.40000000037</v>
      </c>
      <c r="Q14" s="242"/>
      <c r="R14" s="242"/>
      <c r="S14" s="242">
        <f t="shared" ref="S14:S72" si="29">SUM(Q14:R14)</f>
        <v>0</v>
      </c>
      <c r="T14" s="242">
        <f t="shared" si="10"/>
        <v>400000</v>
      </c>
      <c r="U14" s="14">
        <f t="shared" si="2"/>
        <v>-400000</v>
      </c>
      <c r="V14" s="242"/>
      <c r="W14" s="242">
        <f t="shared" si="3"/>
        <v>-400000</v>
      </c>
      <c r="X14" s="242"/>
      <c r="Y14" s="241"/>
      <c r="Z14" s="242">
        <v>-400000</v>
      </c>
      <c r="AA14" s="242"/>
      <c r="AB14" s="242">
        <f t="shared" si="11"/>
        <v>-400000</v>
      </c>
      <c r="AC14" s="242"/>
      <c r="AD14" s="242"/>
      <c r="AE14" s="242">
        <f t="shared" si="12"/>
        <v>0</v>
      </c>
      <c r="AF14" s="242"/>
      <c r="AG14" s="242"/>
      <c r="AH14" s="242">
        <f t="shared" si="13"/>
        <v>0</v>
      </c>
      <c r="AI14" s="242"/>
      <c r="AJ14" s="242"/>
      <c r="AK14" s="242">
        <f t="shared" si="14"/>
        <v>0</v>
      </c>
      <c r="AL14" s="242"/>
      <c r="AM14" s="242"/>
      <c r="AN14" s="242">
        <f t="shared" si="15"/>
        <v>0</v>
      </c>
      <c r="AO14" s="242"/>
      <c r="AP14" s="242"/>
      <c r="AQ14" s="242">
        <f t="shared" si="16"/>
        <v>0</v>
      </c>
      <c r="AR14" s="242"/>
      <c r="AS14" s="242"/>
      <c r="AT14" s="242">
        <f t="shared" si="17"/>
        <v>0</v>
      </c>
      <c r="AU14" s="242"/>
      <c r="AV14" s="242"/>
      <c r="AW14" s="242">
        <f t="shared" si="18"/>
        <v>0</v>
      </c>
      <c r="AX14" s="242"/>
      <c r="AY14" s="242"/>
      <c r="AZ14" s="242">
        <f t="shared" si="19"/>
        <v>0</v>
      </c>
      <c r="BA14" s="242"/>
      <c r="BB14" s="242"/>
      <c r="BC14" s="242">
        <f t="shared" si="20"/>
        <v>0</v>
      </c>
      <c r="BD14" s="242"/>
      <c r="BE14" s="242"/>
      <c r="BF14" s="242">
        <f t="shared" si="21"/>
        <v>0</v>
      </c>
      <c r="BG14" s="242">
        <f t="shared" si="22"/>
        <v>-400000</v>
      </c>
      <c r="BH14" s="242"/>
      <c r="BI14" s="242">
        <f t="shared" si="23"/>
        <v>-400000</v>
      </c>
      <c r="BJ14" s="242">
        <f t="shared" si="24"/>
        <v>0</v>
      </c>
      <c r="BK14" s="242"/>
      <c r="BL14" s="242">
        <f t="shared" si="25"/>
        <v>-400000</v>
      </c>
      <c r="BM14" s="242"/>
      <c r="BN14" s="242"/>
      <c r="BO14" s="242">
        <f t="shared" si="26"/>
        <v>0</v>
      </c>
      <c r="BP14" s="242"/>
      <c r="BQ14" s="242"/>
      <c r="BR14" s="242">
        <f t="shared" si="27"/>
        <v>0</v>
      </c>
      <c r="BS14" s="242"/>
      <c r="BT14" s="241">
        <v>810000</v>
      </c>
    </row>
    <row r="15" spans="1:76" s="244" customFormat="1">
      <c r="A15" s="241">
        <f t="shared" si="4"/>
        <v>10</v>
      </c>
      <c r="B15" s="241">
        <v>1474</v>
      </c>
      <c r="C15" s="241" t="s">
        <v>91</v>
      </c>
      <c r="D15" s="242">
        <f>4560000-2455000</f>
        <v>2105000</v>
      </c>
      <c r="E15" s="242">
        <v>4560000</v>
      </c>
      <c r="F15" s="242">
        <f t="shared" si="0"/>
        <v>-2455000</v>
      </c>
      <c r="G15" s="242">
        <v>1800000</v>
      </c>
      <c r="H15" s="242">
        <v>1491615.03</v>
      </c>
      <c r="I15" s="242">
        <v>307854.2</v>
      </c>
      <c r="J15" s="242"/>
      <c r="K15" s="242">
        <f t="shared" si="28"/>
        <v>307854.2</v>
      </c>
      <c r="L15" s="242">
        <f t="shared" si="6"/>
        <v>1799469.23</v>
      </c>
      <c r="M15" s="242">
        <f t="shared" si="7"/>
        <v>305530.77</v>
      </c>
      <c r="N15" s="242"/>
      <c r="O15" s="242">
        <f t="shared" si="8"/>
        <v>0</v>
      </c>
      <c r="P15" s="242">
        <f t="shared" si="9"/>
        <v>530.77000000001863</v>
      </c>
      <c r="Q15" s="242"/>
      <c r="R15" s="483">
        <v>305000</v>
      </c>
      <c r="S15" s="242">
        <f t="shared" si="29"/>
        <v>305000</v>
      </c>
      <c r="T15" s="242">
        <f t="shared" si="10"/>
        <v>0</v>
      </c>
      <c r="U15" s="14">
        <f t="shared" si="2"/>
        <v>0</v>
      </c>
      <c r="V15" s="242"/>
      <c r="W15" s="242">
        <f t="shared" si="3"/>
        <v>0</v>
      </c>
      <c r="X15" s="242"/>
      <c r="Y15" s="241"/>
      <c r="Z15" s="242"/>
      <c r="AA15" s="242"/>
      <c r="AB15" s="242">
        <f t="shared" si="11"/>
        <v>0</v>
      </c>
      <c r="AC15" s="242"/>
      <c r="AD15" s="242"/>
      <c r="AE15" s="242">
        <f t="shared" si="12"/>
        <v>0</v>
      </c>
      <c r="AF15" s="242"/>
      <c r="AG15" s="242"/>
      <c r="AH15" s="242">
        <f t="shared" si="13"/>
        <v>0</v>
      </c>
      <c r="AI15" s="242"/>
      <c r="AJ15" s="242"/>
      <c r="AK15" s="242">
        <f t="shared" si="14"/>
        <v>0</v>
      </c>
      <c r="AL15" s="242"/>
      <c r="AM15" s="242"/>
      <c r="AN15" s="242">
        <f t="shared" si="15"/>
        <v>0</v>
      </c>
      <c r="AO15" s="242"/>
      <c r="AP15" s="242"/>
      <c r="AQ15" s="242">
        <f t="shared" si="16"/>
        <v>0</v>
      </c>
      <c r="AR15" s="242"/>
      <c r="AS15" s="242"/>
      <c r="AT15" s="242">
        <f t="shared" si="17"/>
        <v>0</v>
      </c>
      <c r="AU15" s="242"/>
      <c r="AV15" s="242"/>
      <c r="AW15" s="242">
        <f t="shared" si="18"/>
        <v>0</v>
      </c>
      <c r="AX15" s="242"/>
      <c r="AY15" s="242"/>
      <c r="AZ15" s="242">
        <f t="shared" si="19"/>
        <v>0</v>
      </c>
      <c r="BA15" s="242"/>
      <c r="BB15" s="242"/>
      <c r="BC15" s="242">
        <f t="shared" si="20"/>
        <v>0</v>
      </c>
      <c r="BD15" s="242"/>
      <c r="BE15" s="242"/>
      <c r="BF15" s="242">
        <f t="shared" si="21"/>
        <v>0</v>
      </c>
      <c r="BG15" s="242">
        <f t="shared" si="22"/>
        <v>0</v>
      </c>
      <c r="BH15" s="242"/>
      <c r="BI15" s="242">
        <f t="shared" si="23"/>
        <v>0</v>
      </c>
      <c r="BJ15" s="242">
        <f t="shared" si="24"/>
        <v>0</v>
      </c>
      <c r="BK15" s="242"/>
      <c r="BL15" s="242">
        <f t="shared" si="25"/>
        <v>0</v>
      </c>
      <c r="BM15" s="242"/>
      <c r="BN15" s="242"/>
      <c r="BO15" s="242">
        <f t="shared" si="26"/>
        <v>0</v>
      </c>
      <c r="BP15" s="242"/>
      <c r="BQ15" s="242"/>
      <c r="BR15" s="242">
        <f t="shared" si="27"/>
        <v>0</v>
      </c>
      <c r="BS15" s="242"/>
      <c r="BT15" s="241">
        <v>812000</v>
      </c>
    </row>
    <row r="16" spans="1:76" s="244" customFormat="1">
      <c r="A16" s="241">
        <f t="shared" si="4"/>
        <v>11</v>
      </c>
      <c r="B16" s="394">
        <v>1475</v>
      </c>
      <c r="C16" s="394" t="s">
        <v>738</v>
      </c>
      <c r="D16" s="242">
        <f>3000000-1700000</f>
        <v>1300000</v>
      </c>
      <c r="E16" s="242">
        <v>3000000</v>
      </c>
      <c r="F16" s="242">
        <f t="shared" si="0"/>
        <v>-1700000</v>
      </c>
      <c r="G16" s="242">
        <v>1300000</v>
      </c>
      <c r="H16" s="242">
        <v>1023190.68</v>
      </c>
      <c r="I16" s="242">
        <v>269777.38</v>
      </c>
      <c r="J16" s="242"/>
      <c r="K16" s="242">
        <f t="shared" si="28"/>
        <v>269777.38</v>
      </c>
      <c r="L16" s="242">
        <f t="shared" si="6"/>
        <v>1292968.06</v>
      </c>
      <c r="M16" s="242">
        <f t="shared" si="7"/>
        <v>7031.9399999999441</v>
      </c>
      <c r="N16" s="242"/>
      <c r="O16" s="242">
        <f t="shared" si="8"/>
        <v>0</v>
      </c>
      <c r="P16" s="242">
        <f t="shared" si="9"/>
        <v>7031.9399999999441</v>
      </c>
      <c r="Q16" s="242"/>
      <c r="R16" s="242"/>
      <c r="S16" s="242">
        <f t="shared" si="29"/>
        <v>0</v>
      </c>
      <c r="T16" s="242">
        <f t="shared" si="10"/>
        <v>0</v>
      </c>
      <c r="U16" s="14">
        <f t="shared" si="2"/>
        <v>0</v>
      </c>
      <c r="V16" s="242"/>
      <c r="W16" s="242">
        <f t="shared" si="3"/>
        <v>0</v>
      </c>
      <c r="X16" s="242"/>
      <c r="Y16" s="241"/>
      <c r="Z16" s="242"/>
      <c r="AA16" s="242"/>
      <c r="AB16" s="242">
        <f t="shared" si="11"/>
        <v>0</v>
      </c>
      <c r="AC16" s="242"/>
      <c r="AD16" s="242"/>
      <c r="AE16" s="242">
        <f t="shared" si="12"/>
        <v>0</v>
      </c>
      <c r="AF16" s="242"/>
      <c r="AG16" s="242"/>
      <c r="AH16" s="242">
        <f t="shared" si="13"/>
        <v>0</v>
      </c>
      <c r="AI16" s="242"/>
      <c r="AJ16" s="242"/>
      <c r="AK16" s="242">
        <f t="shared" si="14"/>
        <v>0</v>
      </c>
      <c r="AL16" s="242"/>
      <c r="AM16" s="242"/>
      <c r="AN16" s="242">
        <f t="shared" si="15"/>
        <v>0</v>
      </c>
      <c r="AO16" s="242"/>
      <c r="AP16" s="242"/>
      <c r="AQ16" s="242">
        <f t="shared" si="16"/>
        <v>0</v>
      </c>
      <c r="AR16" s="242"/>
      <c r="AS16" s="242"/>
      <c r="AT16" s="242">
        <f t="shared" si="17"/>
        <v>0</v>
      </c>
      <c r="AU16" s="242"/>
      <c r="AV16" s="242"/>
      <c r="AW16" s="242">
        <f t="shared" si="18"/>
        <v>0</v>
      </c>
      <c r="AX16" s="242"/>
      <c r="AY16" s="242"/>
      <c r="AZ16" s="242">
        <f t="shared" si="19"/>
        <v>0</v>
      </c>
      <c r="BA16" s="242"/>
      <c r="BB16" s="242"/>
      <c r="BC16" s="242">
        <f t="shared" si="20"/>
        <v>0</v>
      </c>
      <c r="BD16" s="242"/>
      <c r="BE16" s="242"/>
      <c r="BF16" s="242">
        <f t="shared" si="21"/>
        <v>0</v>
      </c>
      <c r="BG16" s="242">
        <f t="shared" si="22"/>
        <v>0</v>
      </c>
      <c r="BH16" s="242"/>
      <c r="BI16" s="242">
        <f t="shared" si="23"/>
        <v>0</v>
      </c>
      <c r="BJ16" s="242">
        <f t="shared" si="24"/>
        <v>0</v>
      </c>
      <c r="BK16" s="242"/>
      <c r="BL16" s="242">
        <f t="shared" si="25"/>
        <v>0</v>
      </c>
      <c r="BM16" s="242"/>
      <c r="BN16" s="242"/>
      <c r="BO16" s="242">
        <f t="shared" si="26"/>
        <v>0</v>
      </c>
      <c r="BP16" s="242"/>
      <c r="BQ16" s="242"/>
      <c r="BR16" s="242">
        <f t="shared" si="27"/>
        <v>0</v>
      </c>
      <c r="BS16" s="242"/>
      <c r="BT16" s="241">
        <v>810000</v>
      </c>
    </row>
    <row r="17" spans="1:76" s="244" customFormat="1">
      <c r="A17" s="241">
        <f t="shared" si="4"/>
        <v>12</v>
      </c>
      <c r="B17" s="241">
        <v>1476</v>
      </c>
      <c r="C17" s="241" t="s">
        <v>388</v>
      </c>
      <c r="D17" s="242">
        <f>3000000-2100000</f>
        <v>900000</v>
      </c>
      <c r="E17" s="242">
        <v>3000000</v>
      </c>
      <c r="F17" s="242">
        <f t="shared" si="0"/>
        <v>-2100000</v>
      </c>
      <c r="G17" s="242">
        <v>800000</v>
      </c>
      <c r="H17" s="242">
        <v>700638.99</v>
      </c>
      <c r="I17" s="242">
        <v>96498.11</v>
      </c>
      <c r="J17" s="242"/>
      <c r="K17" s="242">
        <f t="shared" si="28"/>
        <v>96498.11</v>
      </c>
      <c r="L17" s="242">
        <f t="shared" si="6"/>
        <v>797137.1</v>
      </c>
      <c r="M17" s="242">
        <f t="shared" si="7"/>
        <v>102862.90000000002</v>
      </c>
      <c r="N17" s="242"/>
      <c r="O17" s="242">
        <f t="shared" si="8"/>
        <v>0</v>
      </c>
      <c r="P17" s="242">
        <f t="shared" si="9"/>
        <v>2862.9000000000233</v>
      </c>
      <c r="Q17" s="482">
        <v>100000</v>
      </c>
      <c r="R17" s="242"/>
      <c r="S17" s="242">
        <v>100000</v>
      </c>
      <c r="T17" s="242">
        <f t="shared" si="10"/>
        <v>0</v>
      </c>
      <c r="U17" s="14">
        <f t="shared" si="2"/>
        <v>0</v>
      </c>
      <c r="V17" s="242"/>
      <c r="W17" s="242">
        <f t="shared" si="3"/>
        <v>0</v>
      </c>
      <c r="X17" s="242"/>
      <c r="Y17" s="241"/>
      <c r="Z17" s="242"/>
      <c r="AA17" s="242"/>
      <c r="AB17" s="242">
        <f t="shared" si="11"/>
        <v>0</v>
      </c>
      <c r="AC17" s="242"/>
      <c r="AD17" s="242"/>
      <c r="AE17" s="242">
        <f t="shared" si="12"/>
        <v>0</v>
      </c>
      <c r="AF17" s="242"/>
      <c r="AG17" s="242"/>
      <c r="AH17" s="242">
        <f t="shared" si="13"/>
        <v>0</v>
      </c>
      <c r="AI17" s="242"/>
      <c r="AJ17" s="242"/>
      <c r="AK17" s="242">
        <f t="shared" si="14"/>
        <v>0</v>
      </c>
      <c r="AL17" s="242"/>
      <c r="AM17" s="242"/>
      <c r="AN17" s="242">
        <f t="shared" si="15"/>
        <v>0</v>
      </c>
      <c r="AO17" s="242"/>
      <c r="AP17" s="242"/>
      <c r="AQ17" s="242">
        <f t="shared" si="16"/>
        <v>0</v>
      </c>
      <c r="AR17" s="242"/>
      <c r="AS17" s="242"/>
      <c r="AT17" s="242">
        <f t="shared" si="17"/>
        <v>0</v>
      </c>
      <c r="AU17" s="242"/>
      <c r="AV17" s="242"/>
      <c r="AW17" s="242">
        <f t="shared" si="18"/>
        <v>0</v>
      </c>
      <c r="AX17" s="242"/>
      <c r="AY17" s="242"/>
      <c r="AZ17" s="242">
        <f t="shared" si="19"/>
        <v>0</v>
      </c>
      <c r="BA17" s="242"/>
      <c r="BB17" s="242"/>
      <c r="BC17" s="242">
        <f t="shared" si="20"/>
        <v>0</v>
      </c>
      <c r="BD17" s="242"/>
      <c r="BE17" s="242"/>
      <c r="BF17" s="242">
        <f t="shared" si="21"/>
        <v>0</v>
      </c>
      <c r="BG17" s="242">
        <f t="shared" si="22"/>
        <v>0</v>
      </c>
      <c r="BH17" s="242"/>
      <c r="BI17" s="242">
        <f t="shared" si="23"/>
        <v>0</v>
      </c>
      <c r="BJ17" s="242">
        <f t="shared" si="24"/>
        <v>0</v>
      </c>
      <c r="BK17" s="242"/>
      <c r="BL17" s="242">
        <f t="shared" si="25"/>
        <v>0</v>
      </c>
      <c r="BM17" s="242"/>
      <c r="BN17" s="242"/>
      <c r="BO17" s="242">
        <f t="shared" si="26"/>
        <v>0</v>
      </c>
      <c r="BP17" s="242"/>
      <c r="BQ17" s="242"/>
      <c r="BR17" s="242">
        <f t="shared" si="27"/>
        <v>0</v>
      </c>
      <c r="BS17" s="242"/>
      <c r="BT17" s="241">
        <v>810000</v>
      </c>
    </row>
    <row r="18" spans="1:76" s="244" customFormat="1">
      <c r="A18" s="241">
        <f t="shared" si="4"/>
        <v>13</v>
      </c>
      <c r="B18" s="241">
        <v>1477</v>
      </c>
      <c r="C18" s="241" t="s">
        <v>92</v>
      </c>
      <c r="D18" s="242">
        <f>7900000-5700000</f>
        <v>2200000</v>
      </c>
      <c r="E18" s="242">
        <v>7900000</v>
      </c>
      <c r="F18" s="242">
        <f t="shared" si="0"/>
        <v>-5700000</v>
      </c>
      <c r="G18" s="242">
        <v>2200000</v>
      </c>
      <c r="H18" s="242">
        <v>1162353</v>
      </c>
      <c r="I18" s="242">
        <v>865170</v>
      </c>
      <c r="J18" s="242"/>
      <c r="K18" s="242">
        <f t="shared" si="28"/>
        <v>865170</v>
      </c>
      <c r="L18" s="242">
        <f t="shared" si="6"/>
        <v>2027523</v>
      </c>
      <c r="M18" s="242">
        <f t="shared" si="7"/>
        <v>172477</v>
      </c>
      <c r="N18" s="242"/>
      <c r="O18" s="242">
        <f t="shared" si="8"/>
        <v>0</v>
      </c>
      <c r="P18" s="242">
        <f t="shared" si="9"/>
        <v>172477</v>
      </c>
      <c r="Q18" s="242"/>
      <c r="R18" s="242"/>
      <c r="S18" s="242">
        <f t="shared" si="29"/>
        <v>0</v>
      </c>
      <c r="T18" s="242">
        <f t="shared" si="10"/>
        <v>0</v>
      </c>
      <c r="U18" s="14">
        <f t="shared" si="2"/>
        <v>0</v>
      </c>
      <c r="V18" s="242"/>
      <c r="W18" s="242">
        <f t="shared" si="3"/>
        <v>0</v>
      </c>
      <c r="X18" s="242"/>
      <c r="Y18" s="241"/>
      <c r="Z18" s="242"/>
      <c r="AA18" s="242"/>
      <c r="AB18" s="242">
        <f t="shared" si="11"/>
        <v>0</v>
      </c>
      <c r="AC18" s="242"/>
      <c r="AD18" s="242"/>
      <c r="AE18" s="242">
        <f t="shared" si="12"/>
        <v>0</v>
      </c>
      <c r="AF18" s="242"/>
      <c r="AG18" s="242"/>
      <c r="AH18" s="242">
        <f t="shared" si="13"/>
        <v>0</v>
      </c>
      <c r="AI18" s="242"/>
      <c r="AJ18" s="242"/>
      <c r="AK18" s="242">
        <f t="shared" si="14"/>
        <v>0</v>
      </c>
      <c r="AL18" s="242"/>
      <c r="AM18" s="242"/>
      <c r="AN18" s="242">
        <f t="shared" si="15"/>
        <v>0</v>
      </c>
      <c r="AO18" s="242"/>
      <c r="AP18" s="242"/>
      <c r="AQ18" s="242">
        <f t="shared" si="16"/>
        <v>0</v>
      </c>
      <c r="AR18" s="242"/>
      <c r="AS18" s="242"/>
      <c r="AT18" s="242">
        <f t="shared" si="17"/>
        <v>0</v>
      </c>
      <c r="AU18" s="242"/>
      <c r="AV18" s="242"/>
      <c r="AW18" s="242">
        <f t="shared" si="18"/>
        <v>0</v>
      </c>
      <c r="AX18" s="242"/>
      <c r="AY18" s="242"/>
      <c r="AZ18" s="242">
        <f t="shared" si="19"/>
        <v>0</v>
      </c>
      <c r="BA18" s="242"/>
      <c r="BB18" s="242"/>
      <c r="BC18" s="242">
        <f t="shared" si="20"/>
        <v>0</v>
      </c>
      <c r="BD18" s="242"/>
      <c r="BE18" s="242"/>
      <c r="BF18" s="242">
        <f t="shared" si="21"/>
        <v>0</v>
      </c>
      <c r="BG18" s="242">
        <f t="shared" si="22"/>
        <v>0</v>
      </c>
      <c r="BH18" s="242"/>
      <c r="BI18" s="242">
        <f t="shared" si="23"/>
        <v>0</v>
      </c>
      <c r="BJ18" s="242">
        <f t="shared" si="24"/>
        <v>0</v>
      </c>
      <c r="BK18" s="242"/>
      <c r="BL18" s="242">
        <f t="shared" si="25"/>
        <v>0</v>
      </c>
      <c r="BM18" s="242"/>
      <c r="BN18" s="242"/>
      <c r="BO18" s="242">
        <f t="shared" si="26"/>
        <v>0</v>
      </c>
      <c r="BP18" s="242"/>
      <c r="BQ18" s="242"/>
      <c r="BR18" s="242">
        <f t="shared" si="27"/>
        <v>0</v>
      </c>
      <c r="BS18" s="242"/>
      <c r="BT18" s="241">
        <v>810000</v>
      </c>
    </row>
    <row r="19" spans="1:76" s="244" customFormat="1">
      <c r="A19" s="241">
        <f t="shared" si="4"/>
        <v>14</v>
      </c>
      <c r="B19" s="241">
        <v>1478</v>
      </c>
      <c r="C19" s="241" t="s">
        <v>383</v>
      </c>
      <c r="D19" s="242">
        <f>5000000-3200000</f>
        <v>1800000</v>
      </c>
      <c r="E19" s="242">
        <v>5000000</v>
      </c>
      <c r="F19" s="242">
        <f t="shared" si="0"/>
        <v>-3200000</v>
      </c>
      <c r="G19" s="242">
        <v>1800000</v>
      </c>
      <c r="H19" s="242">
        <v>1541049.74</v>
      </c>
      <c r="I19" s="242">
        <v>258099.13</v>
      </c>
      <c r="J19" s="242"/>
      <c r="K19" s="242">
        <f t="shared" si="28"/>
        <v>258099.13</v>
      </c>
      <c r="L19" s="242">
        <f t="shared" si="6"/>
        <v>1799148.87</v>
      </c>
      <c r="M19" s="242">
        <f t="shared" si="7"/>
        <v>851.12999999988824</v>
      </c>
      <c r="N19" s="242"/>
      <c r="O19" s="242">
        <f t="shared" si="8"/>
        <v>0</v>
      </c>
      <c r="P19" s="242">
        <f t="shared" si="9"/>
        <v>851.12999999988824</v>
      </c>
      <c r="Q19" s="242"/>
      <c r="R19" s="242"/>
      <c r="S19" s="242">
        <f t="shared" si="29"/>
        <v>0</v>
      </c>
      <c r="T19" s="242">
        <f t="shared" si="10"/>
        <v>0</v>
      </c>
      <c r="U19" s="14">
        <f t="shared" si="2"/>
        <v>0</v>
      </c>
      <c r="V19" s="242"/>
      <c r="W19" s="242">
        <f t="shared" si="3"/>
        <v>0</v>
      </c>
      <c r="X19" s="242"/>
      <c r="Y19" s="241"/>
      <c r="Z19" s="242"/>
      <c r="AA19" s="242"/>
      <c r="AB19" s="242">
        <f t="shared" si="11"/>
        <v>0</v>
      </c>
      <c r="AC19" s="242"/>
      <c r="AD19" s="242"/>
      <c r="AE19" s="242">
        <f t="shared" si="12"/>
        <v>0</v>
      </c>
      <c r="AF19" s="242"/>
      <c r="AG19" s="242"/>
      <c r="AH19" s="242">
        <f t="shared" si="13"/>
        <v>0</v>
      </c>
      <c r="AI19" s="242"/>
      <c r="AJ19" s="242"/>
      <c r="AK19" s="242">
        <f t="shared" si="14"/>
        <v>0</v>
      </c>
      <c r="AL19" s="242"/>
      <c r="AM19" s="242"/>
      <c r="AN19" s="242">
        <f t="shared" si="15"/>
        <v>0</v>
      </c>
      <c r="AO19" s="242"/>
      <c r="AP19" s="242"/>
      <c r="AQ19" s="242">
        <f t="shared" si="16"/>
        <v>0</v>
      </c>
      <c r="AR19" s="242"/>
      <c r="AS19" s="242"/>
      <c r="AT19" s="242">
        <f t="shared" si="17"/>
        <v>0</v>
      </c>
      <c r="AU19" s="242"/>
      <c r="AV19" s="242"/>
      <c r="AW19" s="242">
        <f t="shared" si="18"/>
        <v>0</v>
      </c>
      <c r="AX19" s="242"/>
      <c r="AY19" s="242"/>
      <c r="AZ19" s="242">
        <f t="shared" si="19"/>
        <v>0</v>
      </c>
      <c r="BA19" s="242"/>
      <c r="BB19" s="242"/>
      <c r="BC19" s="242">
        <f t="shared" si="20"/>
        <v>0</v>
      </c>
      <c r="BD19" s="242"/>
      <c r="BE19" s="242"/>
      <c r="BF19" s="242">
        <f t="shared" si="21"/>
        <v>0</v>
      </c>
      <c r="BG19" s="242">
        <f t="shared" si="22"/>
        <v>0</v>
      </c>
      <c r="BH19" s="242"/>
      <c r="BI19" s="242">
        <f t="shared" si="23"/>
        <v>0</v>
      </c>
      <c r="BJ19" s="242">
        <f t="shared" si="24"/>
        <v>0</v>
      </c>
      <c r="BK19" s="242"/>
      <c r="BL19" s="242">
        <f t="shared" si="25"/>
        <v>0</v>
      </c>
      <c r="BM19" s="242"/>
      <c r="BN19" s="242"/>
      <c r="BO19" s="242">
        <f t="shared" si="26"/>
        <v>0</v>
      </c>
      <c r="BP19" s="242"/>
      <c r="BQ19" s="242"/>
      <c r="BR19" s="242">
        <f t="shared" si="27"/>
        <v>0</v>
      </c>
      <c r="BS19" s="242"/>
      <c r="BT19" s="241">
        <v>930000</v>
      </c>
    </row>
    <row r="20" spans="1:76" s="244" customFormat="1">
      <c r="A20" s="241">
        <f t="shared" si="4"/>
        <v>15</v>
      </c>
      <c r="B20" s="241">
        <v>1479</v>
      </c>
      <c r="C20" s="241" t="s">
        <v>93</v>
      </c>
      <c r="D20" s="242">
        <f>2500000-1100000</f>
        <v>1400000</v>
      </c>
      <c r="E20" s="242">
        <v>2500000</v>
      </c>
      <c r="F20" s="242">
        <f t="shared" si="0"/>
        <v>-1100000</v>
      </c>
      <c r="G20" s="242">
        <v>1200000</v>
      </c>
      <c r="H20" s="242">
        <v>944517.17</v>
      </c>
      <c r="I20" s="242">
        <v>226892.82</v>
      </c>
      <c r="J20" s="242">
        <v>9066.33</v>
      </c>
      <c r="K20" s="242">
        <f t="shared" si="28"/>
        <v>235959.15</v>
      </c>
      <c r="L20" s="242">
        <f t="shared" si="6"/>
        <v>1180476.32</v>
      </c>
      <c r="M20" s="242">
        <f t="shared" si="7"/>
        <v>219523.67999999993</v>
      </c>
      <c r="N20" s="242"/>
      <c r="O20" s="242">
        <f t="shared" si="8"/>
        <v>0</v>
      </c>
      <c r="P20" s="242">
        <f t="shared" si="9"/>
        <v>19523.679999999935</v>
      </c>
      <c r="Q20" s="482">
        <v>200000</v>
      </c>
      <c r="R20" s="242"/>
      <c r="S20" s="242">
        <f t="shared" si="29"/>
        <v>200000</v>
      </c>
      <c r="T20" s="242">
        <f t="shared" si="10"/>
        <v>0</v>
      </c>
      <c r="U20" s="14">
        <f t="shared" si="2"/>
        <v>0</v>
      </c>
      <c r="V20" s="242"/>
      <c r="W20" s="242">
        <f t="shared" si="3"/>
        <v>0</v>
      </c>
      <c r="X20" s="242"/>
      <c r="Y20" s="241"/>
      <c r="Z20" s="242"/>
      <c r="AA20" s="242"/>
      <c r="AB20" s="242">
        <f t="shared" si="11"/>
        <v>0</v>
      </c>
      <c r="AC20" s="242"/>
      <c r="AD20" s="242"/>
      <c r="AE20" s="242">
        <f t="shared" si="12"/>
        <v>0</v>
      </c>
      <c r="AF20" s="242"/>
      <c r="AG20" s="242"/>
      <c r="AH20" s="242">
        <f t="shared" si="13"/>
        <v>0</v>
      </c>
      <c r="AI20" s="242"/>
      <c r="AJ20" s="242"/>
      <c r="AK20" s="242">
        <f t="shared" si="14"/>
        <v>0</v>
      </c>
      <c r="AL20" s="242"/>
      <c r="AM20" s="242"/>
      <c r="AN20" s="242">
        <f t="shared" si="15"/>
        <v>0</v>
      </c>
      <c r="AO20" s="242"/>
      <c r="AP20" s="242"/>
      <c r="AQ20" s="242">
        <f t="shared" si="16"/>
        <v>0</v>
      </c>
      <c r="AR20" s="242"/>
      <c r="AS20" s="242"/>
      <c r="AT20" s="242">
        <f t="shared" si="17"/>
        <v>0</v>
      </c>
      <c r="AU20" s="242"/>
      <c r="AV20" s="242"/>
      <c r="AW20" s="242">
        <f t="shared" si="18"/>
        <v>0</v>
      </c>
      <c r="AX20" s="242"/>
      <c r="AY20" s="242"/>
      <c r="AZ20" s="242">
        <f t="shared" si="19"/>
        <v>0</v>
      </c>
      <c r="BA20" s="242"/>
      <c r="BB20" s="242"/>
      <c r="BC20" s="242">
        <f t="shared" si="20"/>
        <v>0</v>
      </c>
      <c r="BD20" s="242"/>
      <c r="BE20" s="242"/>
      <c r="BF20" s="242">
        <f t="shared" si="21"/>
        <v>0</v>
      </c>
      <c r="BG20" s="242">
        <f t="shared" si="22"/>
        <v>0</v>
      </c>
      <c r="BH20" s="242"/>
      <c r="BI20" s="242">
        <f t="shared" si="23"/>
        <v>0</v>
      </c>
      <c r="BJ20" s="242">
        <f t="shared" si="24"/>
        <v>0</v>
      </c>
      <c r="BK20" s="242"/>
      <c r="BL20" s="242">
        <f t="shared" si="25"/>
        <v>0</v>
      </c>
      <c r="BM20" s="242"/>
      <c r="BN20" s="242"/>
      <c r="BO20" s="242">
        <f t="shared" si="26"/>
        <v>0</v>
      </c>
      <c r="BP20" s="242"/>
      <c r="BQ20" s="242"/>
      <c r="BR20" s="242">
        <f t="shared" si="27"/>
        <v>0</v>
      </c>
      <c r="BS20" s="242"/>
      <c r="BT20" s="241">
        <v>810000</v>
      </c>
    </row>
    <row r="21" spans="1:76" s="244" customFormat="1">
      <c r="A21" s="241">
        <f t="shared" si="4"/>
        <v>16</v>
      </c>
      <c r="B21" s="241">
        <v>1480</v>
      </c>
      <c r="C21" s="241" t="s">
        <v>94</v>
      </c>
      <c r="D21" s="242">
        <v>4500000</v>
      </c>
      <c r="E21" s="242">
        <v>4500000</v>
      </c>
      <c r="F21" s="242">
        <f t="shared" si="0"/>
        <v>0</v>
      </c>
      <c r="G21" s="242">
        <v>2100000</v>
      </c>
      <c r="H21" s="242">
        <v>1974585.09</v>
      </c>
      <c r="I21" s="242">
        <v>87005</v>
      </c>
      <c r="J21" s="242">
        <v>0.48</v>
      </c>
      <c r="K21" s="242">
        <f t="shared" si="28"/>
        <v>87005.48</v>
      </c>
      <c r="L21" s="242">
        <f t="shared" si="6"/>
        <v>2061590.57</v>
      </c>
      <c r="M21" s="242">
        <f t="shared" si="7"/>
        <v>438409.42999999993</v>
      </c>
      <c r="N21" s="242">
        <f>1500000-1000000</f>
        <v>500000</v>
      </c>
      <c r="O21" s="242">
        <f t="shared" si="8"/>
        <v>1499999.9999999998</v>
      </c>
      <c r="P21" s="242">
        <f t="shared" si="9"/>
        <v>38409.429999999935</v>
      </c>
      <c r="Q21" s="484">
        <v>400000</v>
      </c>
      <c r="R21" s="242"/>
      <c r="S21" s="242">
        <f t="shared" si="29"/>
        <v>400000</v>
      </c>
      <c r="T21" s="242">
        <f t="shared" si="10"/>
        <v>0</v>
      </c>
      <c r="U21" s="14">
        <f t="shared" si="2"/>
        <v>500000</v>
      </c>
      <c r="V21" s="242"/>
      <c r="W21" s="242">
        <f t="shared" si="3"/>
        <v>500000</v>
      </c>
      <c r="X21" s="242"/>
      <c r="Y21" s="241"/>
      <c r="Z21" s="242"/>
      <c r="AA21" s="242"/>
      <c r="AB21" s="242">
        <f t="shared" si="11"/>
        <v>0</v>
      </c>
      <c r="AC21" s="242"/>
      <c r="AD21" s="242"/>
      <c r="AE21" s="242">
        <f t="shared" si="12"/>
        <v>0</v>
      </c>
      <c r="AF21" s="242"/>
      <c r="AG21" s="242"/>
      <c r="AH21" s="242">
        <f t="shared" si="13"/>
        <v>0</v>
      </c>
      <c r="AI21" s="242"/>
      <c r="AJ21" s="242"/>
      <c r="AK21" s="242">
        <f t="shared" si="14"/>
        <v>0</v>
      </c>
      <c r="AL21" s="242"/>
      <c r="AM21" s="242"/>
      <c r="AN21" s="242">
        <f t="shared" si="15"/>
        <v>0</v>
      </c>
      <c r="AO21" s="242">
        <v>200000</v>
      </c>
      <c r="AP21" s="242"/>
      <c r="AQ21" s="242">
        <f t="shared" si="16"/>
        <v>200000</v>
      </c>
      <c r="AR21" s="242"/>
      <c r="AS21" s="242"/>
      <c r="AT21" s="242">
        <f t="shared" si="17"/>
        <v>0</v>
      </c>
      <c r="AU21" s="242">
        <v>100000</v>
      </c>
      <c r="AV21" s="242"/>
      <c r="AW21" s="242">
        <f t="shared" si="18"/>
        <v>100000</v>
      </c>
      <c r="AX21" s="242">
        <v>100000</v>
      </c>
      <c r="AY21" s="242"/>
      <c r="AZ21" s="242">
        <f t="shared" si="19"/>
        <v>100000</v>
      </c>
      <c r="BA21" s="242">
        <v>100000</v>
      </c>
      <c r="BB21" s="242"/>
      <c r="BC21" s="242">
        <f t="shared" si="20"/>
        <v>100000</v>
      </c>
      <c r="BD21" s="242"/>
      <c r="BE21" s="242"/>
      <c r="BF21" s="242">
        <f t="shared" si="21"/>
        <v>0</v>
      </c>
      <c r="BG21" s="242">
        <f t="shared" si="22"/>
        <v>500000</v>
      </c>
      <c r="BH21" s="242"/>
      <c r="BI21" s="242">
        <f t="shared" si="23"/>
        <v>500000</v>
      </c>
      <c r="BJ21" s="242">
        <f t="shared" si="24"/>
        <v>0</v>
      </c>
      <c r="BK21" s="242"/>
      <c r="BL21" s="242">
        <f t="shared" si="25"/>
        <v>500000</v>
      </c>
      <c r="BM21" s="242"/>
      <c r="BN21" s="242"/>
      <c r="BO21" s="242">
        <f t="shared" si="26"/>
        <v>0</v>
      </c>
      <c r="BP21" s="242"/>
      <c r="BQ21" s="242"/>
      <c r="BR21" s="242">
        <f t="shared" si="27"/>
        <v>0</v>
      </c>
      <c r="BS21" s="242"/>
      <c r="BT21" s="241">
        <v>810000</v>
      </c>
    </row>
    <row r="22" spans="1:76" s="244" customFormat="1">
      <c r="A22" s="241">
        <f t="shared" si="4"/>
        <v>17</v>
      </c>
      <c r="B22" s="241">
        <v>1481</v>
      </c>
      <c r="C22" s="241" t="s">
        <v>389</v>
      </c>
      <c r="D22" s="242">
        <f>17250000-9270000-1000000</f>
        <v>6980000</v>
      </c>
      <c r="E22" s="242">
        <v>17250000</v>
      </c>
      <c r="F22" s="242">
        <f t="shared" si="0"/>
        <v>-10270000</v>
      </c>
      <c r="G22" s="242">
        <f>5080000+900000</f>
        <v>5980000</v>
      </c>
      <c r="H22" s="242">
        <v>4160444.17</v>
      </c>
      <c r="I22" s="242">
        <v>918233.53</v>
      </c>
      <c r="J22" s="242"/>
      <c r="K22" s="242">
        <f t="shared" si="28"/>
        <v>918233.53</v>
      </c>
      <c r="L22" s="242">
        <f t="shared" si="6"/>
        <v>5078677.7</v>
      </c>
      <c r="M22" s="242">
        <f t="shared" si="7"/>
        <v>1901322.2999999998</v>
      </c>
      <c r="N22" s="242"/>
      <c r="O22" s="242">
        <f t="shared" si="8"/>
        <v>0</v>
      </c>
      <c r="P22" s="242">
        <f t="shared" si="9"/>
        <v>901322.29999999981</v>
      </c>
      <c r="Q22" s="483">
        <f>1900000-900000</f>
        <v>1000000</v>
      </c>
      <c r="R22" s="242"/>
      <c r="S22" s="242">
        <f t="shared" si="29"/>
        <v>1000000</v>
      </c>
      <c r="T22" s="242">
        <f t="shared" si="10"/>
        <v>0</v>
      </c>
      <c r="U22" s="14">
        <f t="shared" si="2"/>
        <v>0</v>
      </c>
      <c r="V22" s="242"/>
      <c r="W22" s="242">
        <f t="shared" si="3"/>
        <v>0</v>
      </c>
      <c r="X22" s="242"/>
      <c r="Y22" s="241"/>
      <c r="Z22" s="242"/>
      <c r="AA22" s="242"/>
      <c r="AB22" s="242">
        <f t="shared" si="11"/>
        <v>0</v>
      </c>
      <c r="AC22" s="242"/>
      <c r="AD22" s="242"/>
      <c r="AE22" s="242">
        <f t="shared" si="12"/>
        <v>0</v>
      </c>
      <c r="AF22" s="242"/>
      <c r="AG22" s="242"/>
      <c r="AH22" s="242">
        <f t="shared" si="13"/>
        <v>0</v>
      </c>
      <c r="AI22" s="242"/>
      <c r="AJ22" s="242"/>
      <c r="AK22" s="242">
        <f t="shared" si="14"/>
        <v>0</v>
      </c>
      <c r="AL22" s="242"/>
      <c r="AM22" s="242"/>
      <c r="AN22" s="242">
        <f t="shared" si="15"/>
        <v>0</v>
      </c>
      <c r="AO22" s="242"/>
      <c r="AP22" s="242"/>
      <c r="AQ22" s="242">
        <f t="shared" si="16"/>
        <v>0</v>
      </c>
      <c r="AR22" s="242"/>
      <c r="AS22" s="242"/>
      <c r="AT22" s="242">
        <f t="shared" si="17"/>
        <v>0</v>
      </c>
      <c r="AU22" s="242"/>
      <c r="AV22" s="242"/>
      <c r="AW22" s="242">
        <f t="shared" si="18"/>
        <v>0</v>
      </c>
      <c r="AX22" s="242"/>
      <c r="AY22" s="242"/>
      <c r="AZ22" s="242">
        <f t="shared" si="19"/>
        <v>0</v>
      </c>
      <c r="BA22" s="242"/>
      <c r="BB22" s="242"/>
      <c r="BC22" s="242">
        <f t="shared" si="20"/>
        <v>0</v>
      </c>
      <c r="BD22" s="242"/>
      <c r="BE22" s="242"/>
      <c r="BF22" s="242">
        <f t="shared" si="21"/>
        <v>0</v>
      </c>
      <c r="BG22" s="242">
        <f t="shared" si="22"/>
        <v>0</v>
      </c>
      <c r="BH22" s="242"/>
      <c r="BI22" s="242">
        <f t="shared" si="23"/>
        <v>0</v>
      </c>
      <c r="BJ22" s="242">
        <f t="shared" si="24"/>
        <v>0</v>
      </c>
      <c r="BK22" s="242"/>
      <c r="BL22" s="242">
        <f t="shared" si="25"/>
        <v>0</v>
      </c>
      <c r="BM22" s="242"/>
      <c r="BN22" s="242"/>
      <c r="BO22" s="242">
        <f t="shared" si="26"/>
        <v>0</v>
      </c>
      <c r="BP22" s="242"/>
      <c r="BQ22" s="242"/>
      <c r="BR22" s="242">
        <f t="shared" si="27"/>
        <v>0</v>
      </c>
      <c r="BS22" s="242"/>
      <c r="BT22" s="241">
        <v>743000</v>
      </c>
    </row>
    <row r="23" spans="1:76" s="244" customFormat="1">
      <c r="A23" s="241">
        <f t="shared" si="4"/>
        <v>18</v>
      </c>
      <c r="B23" s="241">
        <v>1482</v>
      </c>
      <c r="C23" s="241" t="s">
        <v>95</v>
      </c>
      <c r="D23" s="242">
        <f>5000000-3550000</f>
        <v>1450000</v>
      </c>
      <c r="E23" s="242">
        <v>5000000</v>
      </c>
      <c r="F23" s="242">
        <f t="shared" si="0"/>
        <v>-3550000</v>
      </c>
      <c r="G23" s="242">
        <v>1450000</v>
      </c>
      <c r="H23" s="242">
        <v>1233186</v>
      </c>
      <c r="I23" s="242">
        <v>212442</v>
      </c>
      <c r="J23" s="242"/>
      <c r="K23" s="242">
        <f t="shared" si="28"/>
        <v>212442</v>
      </c>
      <c r="L23" s="242">
        <f t="shared" si="6"/>
        <v>1445628</v>
      </c>
      <c r="M23" s="242">
        <f t="shared" si="7"/>
        <v>4372</v>
      </c>
      <c r="N23" s="242"/>
      <c r="O23" s="242">
        <f t="shared" si="8"/>
        <v>0</v>
      </c>
      <c r="P23" s="242">
        <f t="shared" si="9"/>
        <v>4372</v>
      </c>
      <c r="Q23" s="242"/>
      <c r="R23" s="242"/>
      <c r="S23" s="242">
        <f t="shared" si="29"/>
        <v>0</v>
      </c>
      <c r="T23" s="242">
        <f t="shared" si="10"/>
        <v>0</v>
      </c>
      <c r="U23" s="14">
        <f t="shared" si="2"/>
        <v>0</v>
      </c>
      <c r="V23" s="242"/>
      <c r="W23" s="242">
        <f t="shared" si="3"/>
        <v>0</v>
      </c>
      <c r="X23" s="242"/>
      <c r="Y23" s="241"/>
      <c r="Z23" s="242"/>
      <c r="AA23" s="242"/>
      <c r="AB23" s="242">
        <f t="shared" si="11"/>
        <v>0</v>
      </c>
      <c r="AC23" s="242"/>
      <c r="AD23" s="242"/>
      <c r="AE23" s="242">
        <f t="shared" si="12"/>
        <v>0</v>
      </c>
      <c r="AF23" s="242"/>
      <c r="AG23" s="242"/>
      <c r="AH23" s="242">
        <f t="shared" si="13"/>
        <v>0</v>
      </c>
      <c r="AI23" s="242"/>
      <c r="AJ23" s="242"/>
      <c r="AK23" s="242">
        <f t="shared" si="14"/>
        <v>0</v>
      </c>
      <c r="AL23" s="242"/>
      <c r="AM23" s="242"/>
      <c r="AN23" s="242">
        <f t="shared" si="15"/>
        <v>0</v>
      </c>
      <c r="AO23" s="242"/>
      <c r="AP23" s="242"/>
      <c r="AQ23" s="242">
        <f t="shared" si="16"/>
        <v>0</v>
      </c>
      <c r="AR23" s="242"/>
      <c r="AS23" s="242"/>
      <c r="AT23" s="242">
        <f t="shared" si="17"/>
        <v>0</v>
      </c>
      <c r="AU23" s="242"/>
      <c r="AV23" s="242"/>
      <c r="AW23" s="242">
        <f t="shared" si="18"/>
        <v>0</v>
      </c>
      <c r="AX23" s="242"/>
      <c r="AY23" s="242"/>
      <c r="AZ23" s="242">
        <f t="shared" si="19"/>
        <v>0</v>
      </c>
      <c r="BA23" s="242"/>
      <c r="BB23" s="242"/>
      <c r="BC23" s="242">
        <f t="shared" si="20"/>
        <v>0</v>
      </c>
      <c r="BD23" s="242"/>
      <c r="BE23" s="242"/>
      <c r="BF23" s="242">
        <f t="shared" si="21"/>
        <v>0</v>
      </c>
      <c r="BG23" s="242">
        <f t="shared" si="22"/>
        <v>0</v>
      </c>
      <c r="BH23" s="242"/>
      <c r="BI23" s="242">
        <f t="shared" si="23"/>
        <v>0</v>
      </c>
      <c r="BJ23" s="242">
        <f t="shared" si="24"/>
        <v>0</v>
      </c>
      <c r="BK23" s="242"/>
      <c r="BL23" s="242">
        <f t="shared" si="25"/>
        <v>0</v>
      </c>
      <c r="BM23" s="242"/>
      <c r="BN23" s="242"/>
      <c r="BO23" s="242">
        <f t="shared" si="26"/>
        <v>0</v>
      </c>
      <c r="BP23" s="242"/>
      <c r="BQ23" s="242"/>
      <c r="BR23" s="242">
        <f t="shared" si="27"/>
        <v>0</v>
      </c>
      <c r="BS23" s="242"/>
      <c r="BT23" s="241">
        <v>810000</v>
      </c>
    </row>
    <row r="24" spans="1:76" s="244" customFormat="1">
      <c r="A24" s="241">
        <f t="shared" si="4"/>
        <v>19</v>
      </c>
      <c r="B24" s="241">
        <v>1483</v>
      </c>
      <c r="C24" s="241" t="s">
        <v>96</v>
      </c>
      <c r="D24" s="242">
        <v>2700000</v>
      </c>
      <c r="E24" s="242">
        <v>2700000</v>
      </c>
      <c r="F24" s="242">
        <f t="shared" si="0"/>
        <v>0</v>
      </c>
      <c r="G24" s="242">
        <v>1200000</v>
      </c>
      <c r="H24" s="242">
        <v>1110871.24</v>
      </c>
      <c r="I24" s="242">
        <v>31259.62</v>
      </c>
      <c r="J24" s="242"/>
      <c r="K24" s="242">
        <f t="shared" si="28"/>
        <v>31259.62</v>
      </c>
      <c r="L24" s="242">
        <f t="shared" si="6"/>
        <v>1142130.8600000001</v>
      </c>
      <c r="M24" s="242">
        <f t="shared" si="7"/>
        <v>57869.139999999898</v>
      </c>
      <c r="N24" s="242">
        <v>300000</v>
      </c>
      <c r="O24" s="242">
        <f t="shared" si="8"/>
        <v>1200000</v>
      </c>
      <c r="P24" s="242">
        <f t="shared" si="9"/>
        <v>57869.139999999898</v>
      </c>
      <c r="Q24" s="242"/>
      <c r="R24" s="242"/>
      <c r="S24" s="242">
        <f t="shared" si="29"/>
        <v>0</v>
      </c>
      <c r="T24" s="242">
        <f t="shared" si="10"/>
        <v>0</v>
      </c>
      <c r="U24" s="14">
        <f t="shared" si="2"/>
        <v>300000</v>
      </c>
      <c r="V24" s="242"/>
      <c r="W24" s="242">
        <f t="shared" si="3"/>
        <v>300000</v>
      </c>
      <c r="X24" s="242"/>
      <c r="Y24" s="241"/>
      <c r="Z24" s="242"/>
      <c r="AA24" s="242"/>
      <c r="AB24" s="242">
        <f t="shared" si="11"/>
        <v>0</v>
      </c>
      <c r="AC24" s="242">
        <v>300000</v>
      </c>
      <c r="AD24" s="242"/>
      <c r="AE24" s="242">
        <f t="shared" si="12"/>
        <v>300000</v>
      </c>
      <c r="AF24" s="242"/>
      <c r="AG24" s="242"/>
      <c r="AH24" s="242">
        <f t="shared" si="13"/>
        <v>0</v>
      </c>
      <c r="AI24" s="242"/>
      <c r="AJ24" s="242"/>
      <c r="AK24" s="242">
        <f t="shared" si="14"/>
        <v>0</v>
      </c>
      <c r="AL24" s="242"/>
      <c r="AM24" s="242"/>
      <c r="AN24" s="242">
        <f t="shared" si="15"/>
        <v>0</v>
      </c>
      <c r="AO24" s="242"/>
      <c r="AP24" s="242"/>
      <c r="AQ24" s="242">
        <f t="shared" si="16"/>
        <v>0</v>
      </c>
      <c r="AR24" s="242"/>
      <c r="AS24" s="242"/>
      <c r="AT24" s="242">
        <f t="shared" si="17"/>
        <v>0</v>
      </c>
      <c r="AU24" s="242"/>
      <c r="AV24" s="242"/>
      <c r="AW24" s="242">
        <f t="shared" si="18"/>
        <v>0</v>
      </c>
      <c r="AX24" s="242"/>
      <c r="AY24" s="242"/>
      <c r="AZ24" s="242">
        <f t="shared" si="19"/>
        <v>0</v>
      </c>
      <c r="BA24" s="242"/>
      <c r="BB24" s="242"/>
      <c r="BC24" s="242">
        <f t="shared" si="20"/>
        <v>0</v>
      </c>
      <c r="BD24" s="242"/>
      <c r="BE24" s="242"/>
      <c r="BF24" s="242">
        <f t="shared" si="21"/>
        <v>0</v>
      </c>
      <c r="BG24" s="242">
        <f t="shared" si="22"/>
        <v>300000</v>
      </c>
      <c r="BH24" s="242"/>
      <c r="BI24" s="242">
        <f t="shared" si="23"/>
        <v>300000</v>
      </c>
      <c r="BJ24" s="242">
        <f t="shared" si="24"/>
        <v>0</v>
      </c>
      <c r="BK24" s="242"/>
      <c r="BL24" s="242">
        <f t="shared" si="25"/>
        <v>300000</v>
      </c>
      <c r="BM24" s="242"/>
      <c r="BN24" s="242"/>
      <c r="BO24" s="242">
        <f t="shared" si="26"/>
        <v>0</v>
      </c>
      <c r="BP24" s="242"/>
      <c r="BQ24" s="242"/>
      <c r="BR24" s="242">
        <f t="shared" si="27"/>
        <v>0</v>
      </c>
      <c r="BS24" s="242"/>
      <c r="BT24" s="241">
        <v>812000</v>
      </c>
    </row>
    <row r="25" spans="1:76" s="244" customFormat="1">
      <c r="A25" s="241">
        <f t="shared" si="4"/>
        <v>20</v>
      </c>
      <c r="B25" s="241">
        <v>1485</v>
      </c>
      <c r="C25" s="241" t="s">
        <v>97</v>
      </c>
      <c r="D25" s="242">
        <f>2200000-800000</f>
        <v>1400000</v>
      </c>
      <c r="E25" s="242">
        <v>2200000</v>
      </c>
      <c r="F25" s="242">
        <f t="shared" si="0"/>
        <v>-800000</v>
      </c>
      <c r="G25" s="242">
        <v>1400000</v>
      </c>
      <c r="H25" s="242">
        <v>1218418.8799999999</v>
      </c>
      <c r="I25" s="242"/>
      <c r="J25" s="242"/>
      <c r="K25" s="242">
        <f t="shared" si="28"/>
        <v>0</v>
      </c>
      <c r="L25" s="242">
        <f t="shared" si="6"/>
        <v>1218418.8799999999</v>
      </c>
      <c r="M25" s="242">
        <f t="shared" si="7"/>
        <v>181581.12000000011</v>
      </c>
      <c r="N25" s="242"/>
      <c r="O25" s="242">
        <f t="shared" si="8"/>
        <v>0</v>
      </c>
      <c r="P25" s="242">
        <f t="shared" si="9"/>
        <v>181581.12000000011</v>
      </c>
      <c r="Q25" s="242"/>
      <c r="R25" s="242"/>
      <c r="S25" s="242">
        <f t="shared" si="29"/>
        <v>0</v>
      </c>
      <c r="T25" s="242">
        <f t="shared" si="10"/>
        <v>0</v>
      </c>
      <c r="U25" s="14">
        <f t="shared" si="2"/>
        <v>0</v>
      </c>
      <c r="V25" s="242"/>
      <c r="W25" s="242">
        <f t="shared" si="3"/>
        <v>0</v>
      </c>
      <c r="X25" s="242"/>
      <c r="Y25" s="241"/>
      <c r="Z25" s="242"/>
      <c r="AA25" s="242"/>
      <c r="AB25" s="242">
        <f t="shared" si="11"/>
        <v>0</v>
      </c>
      <c r="AC25" s="242"/>
      <c r="AD25" s="242"/>
      <c r="AE25" s="242">
        <f t="shared" si="12"/>
        <v>0</v>
      </c>
      <c r="AF25" s="242"/>
      <c r="AG25" s="242"/>
      <c r="AH25" s="242">
        <f t="shared" si="13"/>
        <v>0</v>
      </c>
      <c r="AI25" s="242"/>
      <c r="AJ25" s="242"/>
      <c r="AK25" s="242">
        <f t="shared" si="14"/>
        <v>0</v>
      </c>
      <c r="AL25" s="242"/>
      <c r="AM25" s="242"/>
      <c r="AN25" s="242">
        <f t="shared" si="15"/>
        <v>0</v>
      </c>
      <c r="AO25" s="242"/>
      <c r="AP25" s="242"/>
      <c r="AQ25" s="242">
        <f t="shared" si="16"/>
        <v>0</v>
      </c>
      <c r="AR25" s="242"/>
      <c r="AS25" s="242"/>
      <c r="AT25" s="242">
        <f t="shared" si="17"/>
        <v>0</v>
      </c>
      <c r="AU25" s="242"/>
      <c r="AV25" s="242"/>
      <c r="AW25" s="242">
        <f t="shared" si="18"/>
        <v>0</v>
      </c>
      <c r="AX25" s="242"/>
      <c r="AY25" s="242"/>
      <c r="AZ25" s="242">
        <f t="shared" si="19"/>
        <v>0</v>
      </c>
      <c r="BA25" s="242"/>
      <c r="BB25" s="242"/>
      <c r="BC25" s="242">
        <f t="shared" si="20"/>
        <v>0</v>
      </c>
      <c r="BD25" s="242"/>
      <c r="BE25" s="242"/>
      <c r="BF25" s="242">
        <f t="shared" si="21"/>
        <v>0</v>
      </c>
      <c r="BG25" s="242">
        <f t="shared" si="22"/>
        <v>0</v>
      </c>
      <c r="BH25" s="242"/>
      <c r="BI25" s="242">
        <f t="shared" si="23"/>
        <v>0</v>
      </c>
      <c r="BJ25" s="242">
        <f t="shared" si="24"/>
        <v>0</v>
      </c>
      <c r="BK25" s="242"/>
      <c r="BL25" s="242">
        <f t="shared" si="25"/>
        <v>0</v>
      </c>
      <c r="BM25" s="242"/>
      <c r="BN25" s="242"/>
      <c r="BO25" s="242">
        <f t="shared" si="26"/>
        <v>0</v>
      </c>
      <c r="BP25" s="242"/>
      <c r="BQ25" s="242"/>
      <c r="BR25" s="242">
        <f t="shared" si="27"/>
        <v>0</v>
      </c>
      <c r="BS25" s="242"/>
      <c r="BT25" s="241">
        <v>742000</v>
      </c>
    </row>
    <row r="26" spans="1:76" s="244" customFormat="1" ht="31.5">
      <c r="A26" s="241">
        <f t="shared" si="4"/>
        <v>21</v>
      </c>
      <c r="B26" s="394">
        <v>1514</v>
      </c>
      <c r="C26" s="486" t="s">
        <v>739</v>
      </c>
      <c r="D26" s="242">
        <v>850000</v>
      </c>
      <c r="E26" s="242">
        <v>850000</v>
      </c>
      <c r="F26" s="242">
        <f t="shared" si="0"/>
        <v>0</v>
      </c>
      <c r="G26" s="242">
        <v>750000</v>
      </c>
      <c r="H26" s="242">
        <v>691313.61</v>
      </c>
      <c r="I26" s="242">
        <v>52650</v>
      </c>
      <c r="J26" s="242"/>
      <c r="K26" s="242">
        <f t="shared" si="28"/>
        <v>52650</v>
      </c>
      <c r="L26" s="242">
        <f t="shared" si="6"/>
        <v>743963.61</v>
      </c>
      <c r="M26" s="242">
        <f t="shared" si="7"/>
        <v>6036.390000000014</v>
      </c>
      <c r="N26" s="242"/>
      <c r="O26" s="242">
        <f t="shared" si="8"/>
        <v>100000</v>
      </c>
      <c r="P26" s="242">
        <f t="shared" si="9"/>
        <v>6036.390000000014</v>
      </c>
      <c r="Q26" s="242"/>
      <c r="R26" s="242"/>
      <c r="S26" s="242">
        <f t="shared" si="29"/>
        <v>0</v>
      </c>
      <c r="T26" s="242">
        <f t="shared" si="10"/>
        <v>0</v>
      </c>
      <c r="U26" s="14">
        <f t="shared" si="2"/>
        <v>0</v>
      </c>
      <c r="V26" s="242"/>
      <c r="W26" s="242">
        <f t="shared" si="3"/>
        <v>0</v>
      </c>
      <c r="X26" s="242"/>
      <c r="Y26" s="241"/>
      <c r="Z26" s="242"/>
      <c r="AA26" s="242"/>
      <c r="AB26" s="242">
        <f t="shared" si="11"/>
        <v>0</v>
      </c>
      <c r="AC26" s="242"/>
      <c r="AD26" s="242"/>
      <c r="AE26" s="242">
        <f t="shared" si="12"/>
        <v>0</v>
      </c>
      <c r="AF26" s="242"/>
      <c r="AG26" s="242"/>
      <c r="AH26" s="242">
        <f t="shared" si="13"/>
        <v>0</v>
      </c>
      <c r="AI26" s="242"/>
      <c r="AJ26" s="242"/>
      <c r="AK26" s="242">
        <f t="shared" si="14"/>
        <v>0</v>
      </c>
      <c r="AL26" s="242"/>
      <c r="AM26" s="242"/>
      <c r="AN26" s="242">
        <f t="shared" si="15"/>
        <v>0</v>
      </c>
      <c r="AO26" s="242"/>
      <c r="AP26" s="242"/>
      <c r="AQ26" s="242">
        <f t="shared" si="16"/>
        <v>0</v>
      </c>
      <c r="AR26" s="242"/>
      <c r="AS26" s="242"/>
      <c r="AT26" s="242">
        <f t="shared" si="17"/>
        <v>0</v>
      </c>
      <c r="AU26" s="242"/>
      <c r="AV26" s="242"/>
      <c r="AW26" s="242">
        <f t="shared" si="18"/>
        <v>0</v>
      </c>
      <c r="AX26" s="242"/>
      <c r="AY26" s="242"/>
      <c r="AZ26" s="242">
        <f t="shared" si="19"/>
        <v>0</v>
      </c>
      <c r="BA26" s="242"/>
      <c r="BB26" s="242"/>
      <c r="BC26" s="242">
        <f t="shared" si="20"/>
        <v>0</v>
      </c>
      <c r="BD26" s="242"/>
      <c r="BE26" s="242"/>
      <c r="BF26" s="242">
        <f t="shared" si="21"/>
        <v>0</v>
      </c>
      <c r="BG26" s="242">
        <f t="shared" si="22"/>
        <v>0</v>
      </c>
      <c r="BH26" s="242"/>
      <c r="BI26" s="242">
        <f t="shared" si="23"/>
        <v>0</v>
      </c>
      <c r="BJ26" s="242">
        <f t="shared" si="24"/>
        <v>0</v>
      </c>
      <c r="BK26" s="242"/>
      <c r="BL26" s="242">
        <f t="shared" si="25"/>
        <v>0</v>
      </c>
      <c r="BM26" s="242"/>
      <c r="BN26" s="242"/>
      <c r="BO26" s="242">
        <f t="shared" si="26"/>
        <v>0</v>
      </c>
      <c r="BP26" s="242"/>
      <c r="BQ26" s="242"/>
      <c r="BR26" s="242">
        <f t="shared" si="27"/>
        <v>0</v>
      </c>
      <c r="BS26" s="242"/>
      <c r="BT26" s="241">
        <v>724000</v>
      </c>
    </row>
    <row r="27" spans="1:76" s="244" customFormat="1">
      <c r="A27" s="241">
        <f t="shared" si="4"/>
        <v>22</v>
      </c>
      <c r="B27" s="241">
        <v>1560</v>
      </c>
      <c r="C27" s="241" t="s">
        <v>100</v>
      </c>
      <c r="D27" s="242">
        <f>3587000+73000</f>
        <v>3660000</v>
      </c>
      <c r="E27" s="242">
        <v>3587000</v>
      </c>
      <c r="F27" s="242">
        <f t="shared" si="0"/>
        <v>73000</v>
      </c>
      <c r="G27" s="242">
        <v>2180000</v>
      </c>
      <c r="H27" s="242">
        <v>1693893.47</v>
      </c>
      <c r="I27" s="242">
        <v>273982.71000000002</v>
      </c>
      <c r="J27" s="242"/>
      <c r="K27" s="242">
        <f t="shared" si="28"/>
        <v>273982.71000000002</v>
      </c>
      <c r="L27" s="242">
        <f t="shared" si="6"/>
        <v>1967876.18</v>
      </c>
      <c r="M27" s="242">
        <f t="shared" si="7"/>
        <v>212123.82000000007</v>
      </c>
      <c r="N27" s="242">
        <f>150000+700000+200000+430000-800000</f>
        <v>680000</v>
      </c>
      <c r="O27" s="242">
        <f t="shared" si="8"/>
        <v>800000</v>
      </c>
      <c r="P27" s="242">
        <f t="shared" si="9"/>
        <v>212123.82000000007</v>
      </c>
      <c r="Q27" s="242"/>
      <c r="R27" s="242"/>
      <c r="S27" s="242">
        <f t="shared" si="29"/>
        <v>0</v>
      </c>
      <c r="T27" s="242">
        <f t="shared" si="10"/>
        <v>0</v>
      </c>
      <c r="U27" s="14">
        <f t="shared" si="2"/>
        <v>680000</v>
      </c>
      <c r="V27" s="242">
        <v>430000</v>
      </c>
      <c r="W27" s="242">
        <f t="shared" si="3"/>
        <v>250000</v>
      </c>
      <c r="X27" s="242"/>
      <c r="Y27" s="241"/>
      <c r="Z27" s="242"/>
      <c r="AA27" s="242"/>
      <c r="AB27" s="242">
        <f t="shared" si="11"/>
        <v>0</v>
      </c>
      <c r="AC27" s="242"/>
      <c r="AD27" s="242"/>
      <c r="AE27" s="242">
        <f t="shared" si="12"/>
        <v>0</v>
      </c>
      <c r="AF27" s="242"/>
      <c r="AG27" s="242"/>
      <c r="AH27" s="242">
        <f t="shared" si="13"/>
        <v>0</v>
      </c>
      <c r="AI27" s="242"/>
      <c r="AJ27" s="242"/>
      <c r="AK27" s="242">
        <f t="shared" si="14"/>
        <v>0</v>
      </c>
      <c r="AL27" s="242">
        <v>680000</v>
      </c>
      <c r="AM27" s="242"/>
      <c r="AN27" s="242">
        <f t="shared" si="15"/>
        <v>680000</v>
      </c>
      <c r="AO27" s="242"/>
      <c r="AP27" s="242"/>
      <c r="AQ27" s="242">
        <f t="shared" si="16"/>
        <v>0</v>
      </c>
      <c r="AR27" s="242"/>
      <c r="AS27" s="242"/>
      <c r="AT27" s="242">
        <f t="shared" si="17"/>
        <v>0</v>
      </c>
      <c r="AU27" s="242"/>
      <c r="AV27" s="242"/>
      <c r="AW27" s="242">
        <f t="shared" si="18"/>
        <v>0</v>
      </c>
      <c r="AX27" s="242"/>
      <c r="AY27" s="242"/>
      <c r="AZ27" s="242">
        <f t="shared" si="19"/>
        <v>0</v>
      </c>
      <c r="BA27" s="242"/>
      <c r="BB27" s="242"/>
      <c r="BC27" s="242">
        <f t="shared" si="20"/>
        <v>0</v>
      </c>
      <c r="BD27" s="242"/>
      <c r="BE27" s="242"/>
      <c r="BF27" s="242">
        <f t="shared" si="21"/>
        <v>0</v>
      </c>
      <c r="BG27" s="242">
        <f t="shared" si="22"/>
        <v>680000</v>
      </c>
      <c r="BH27" s="242"/>
      <c r="BI27" s="242">
        <f t="shared" si="23"/>
        <v>680000</v>
      </c>
      <c r="BJ27" s="242">
        <f t="shared" si="24"/>
        <v>0</v>
      </c>
      <c r="BK27" s="242">
        <v>430000</v>
      </c>
      <c r="BL27" s="242">
        <f t="shared" si="25"/>
        <v>250000</v>
      </c>
      <c r="BM27" s="242"/>
      <c r="BN27" s="242"/>
      <c r="BO27" s="242">
        <f t="shared" si="26"/>
        <v>0</v>
      </c>
      <c r="BP27" s="242"/>
      <c r="BQ27" s="242"/>
      <c r="BR27" s="242">
        <f t="shared" si="27"/>
        <v>0</v>
      </c>
      <c r="BS27" s="242"/>
      <c r="BT27" s="241">
        <v>746000</v>
      </c>
    </row>
    <row r="28" spans="1:76" s="244" customFormat="1" ht="30">
      <c r="A28" s="241">
        <f t="shared" si="4"/>
        <v>23</v>
      </c>
      <c r="B28" s="487">
        <v>1636</v>
      </c>
      <c r="C28" s="487" t="s">
        <v>740</v>
      </c>
      <c r="D28" s="488">
        <v>12450000</v>
      </c>
      <c r="E28" s="488">
        <v>12450000</v>
      </c>
      <c r="F28" s="488">
        <f t="shared" si="0"/>
        <v>0</v>
      </c>
      <c r="G28" s="488">
        <v>250000</v>
      </c>
      <c r="H28" s="488">
        <v>99176.7</v>
      </c>
      <c r="I28" s="488">
        <v>82184</v>
      </c>
      <c r="J28" s="488"/>
      <c r="K28" s="488">
        <f t="shared" si="28"/>
        <v>82184</v>
      </c>
      <c r="L28" s="488">
        <f t="shared" si="6"/>
        <v>181360.7</v>
      </c>
      <c r="M28" s="488">
        <f t="shared" si="7"/>
        <v>68639.299999999988</v>
      </c>
      <c r="N28" s="488"/>
      <c r="O28" s="488">
        <f t="shared" si="8"/>
        <v>12200000</v>
      </c>
      <c r="P28" s="488">
        <f t="shared" si="9"/>
        <v>68639.299999999988</v>
      </c>
      <c r="Q28" s="242"/>
      <c r="R28" s="242"/>
      <c r="S28" s="488">
        <f t="shared" si="29"/>
        <v>0</v>
      </c>
      <c r="T28" s="488">
        <f t="shared" si="10"/>
        <v>0</v>
      </c>
      <c r="U28" s="14">
        <f t="shared" si="2"/>
        <v>0</v>
      </c>
      <c r="V28" s="488"/>
      <c r="W28" s="242">
        <f t="shared" si="3"/>
        <v>0</v>
      </c>
      <c r="X28" s="488"/>
      <c r="Y28" s="487"/>
      <c r="Z28" s="242"/>
      <c r="AA28" s="242"/>
      <c r="AB28" s="242">
        <f t="shared" si="11"/>
        <v>0</v>
      </c>
      <c r="AC28" s="242"/>
      <c r="AD28" s="242"/>
      <c r="AE28" s="242">
        <f t="shared" si="12"/>
        <v>0</v>
      </c>
      <c r="AF28" s="242"/>
      <c r="AG28" s="242"/>
      <c r="AH28" s="242">
        <f t="shared" si="13"/>
        <v>0</v>
      </c>
      <c r="AI28" s="242"/>
      <c r="AJ28" s="242"/>
      <c r="AK28" s="242">
        <f t="shared" si="14"/>
        <v>0</v>
      </c>
      <c r="AL28" s="242"/>
      <c r="AM28" s="242"/>
      <c r="AN28" s="242">
        <f t="shared" si="15"/>
        <v>0</v>
      </c>
      <c r="AO28" s="242"/>
      <c r="AP28" s="242"/>
      <c r="AQ28" s="242">
        <f t="shared" si="16"/>
        <v>0</v>
      </c>
      <c r="AR28" s="242"/>
      <c r="AS28" s="242"/>
      <c r="AT28" s="242">
        <f t="shared" si="17"/>
        <v>0</v>
      </c>
      <c r="AU28" s="242"/>
      <c r="AV28" s="242"/>
      <c r="AW28" s="242">
        <f t="shared" si="18"/>
        <v>0</v>
      </c>
      <c r="AX28" s="242"/>
      <c r="AY28" s="242"/>
      <c r="AZ28" s="242">
        <f t="shared" si="19"/>
        <v>0</v>
      </c>
      <c r="BA28" s="242"/>
      <c r="BB28" s="242"/>
      <c r="BC28" s="242">
        <f t="shared" si="20"/>
        <v>0</v>
      </c>
      <c r="BD28" s="242"/>
      <c r="BE28" s="242"/>
      <c r="BF28" s="242">
        <f t="shared" si="21"/>
        <v>0</v>
      </c>
      <c r="BG28" s="242">
        <f t="shared" si="22"/>
        <v>0</v>
      </c>
      <c r="BH28" s="242"/>
      <c r="BI28" s="242">
        <f t="shared" si="23"/>
        <v>0</v>
      </c>
      <c r="BJ28" s="242">
        <f t="shared" si="24"/>
        <v>0</v>
      </c>
      <c r="BK28" s="242"/>
      <c r="BL28" s="242">
        <f t="shared" si="25"/>
        <v>0</v>
      </c>
      <c r="BM28" s="242"/>
      <c r="BN28" s="242"/>
      <c r="BO28" s="242">
        <f t="shared" si="26"/>
        <v>0</v>
      </c>
      <c r="BP28" s="242"/>
      <c r="BQ28" s="242"/>
      <c r="BR28" s="242">
        <f t="shared" si="27"/>
        <v>0</v>
      </c>
      <c r="BS28" s="242"/>
      <c r="BT28" s="487">
        <v>870000</v>
      </c>
    </row>
    <row r="29" spans="1:76" s="244" customFormat="1">
      <c r="A29" s="241">
        <f t="shared" si="4"/>
        <v>24</v>
      </c>
      <c r="B29" s="394">
        <v>1655</v>
      </c>
      <c r="C29" s="394" t="s">
        <v>741</v>
      </c>
      <c r="D29" s="242">
        <f>1350000-44000</f>
        <v>1306000</v>
      </c>
      <c r="E29" s="242">
        <v>1350000</v>
      </c>
      <c r="F29" s="242">
        <f t="shared" si="0"/>
        <v>-44000</v>
      </c>
      <c r="G29" s="242">
        <v>1350000</v>
      </c>
      <c r="H29" s="242">
        <v>1275024.18</v>
      </c>
      <c r="I29" s="242">
        <v>30585.83</v>
      </c>
      <c r="J29" s="242"/>
      <c r="K29" s="242">
        <f t="shared" si="28"/>
        <v>30585.83</v>
      </c>
      <c r="L29" s="242">
        <f t="shared" si="6"/>
        <v>1305610.01</v>
      </c>
      <c r="M29" s="242">
        <f>P29+S29-44000</f>
        <v>389.98999999999069</v>
      </c>
      <c r="N29" s="242"/>
      <c r="O29" s="242">
        <f t="shared" si="8"/>
        <v>0</v>
      </c>
      <c r="P29" s="242">
        <f t="shared" si="9"/>
        <v>44389.989999999991</v>
      </c>
      <c r="Q29" s="242"/>
      <c r="R29" s="242"/>
      <c r="S29" s="242">
        <f t="shared" si="29"/>
        <v>0</v>
      </c>
      <c r="T29" s="242">
        <f t="shared" si="10"/>
        <v>44000</v>
      </c>
      <c r="U29" s="14">
        <f t="shared" si="2"/>
        <v>-44000</v>
      </c>
      <c r="V29" s="242"/>
      <c r="W29" s="242">
        <f t="shared" si="3"/>
        <v>-44000</v>
      </c>
      <c r="X29" s="242"/>
      <c r="Y29" s="241"/>
      <c r="Z29" s="242"/>
      <c r="AA29" s="242"/>
      <c r="AB29" s="242">
        <f t="shared" si="11"/>
        <v>0</v>
      </c>
      <c r="AC29" s="242"/>
      <c r="AD29" s="242"/>
      <c r="AE29" s="242">
        <f t="shared" si="12"/>
        <v>0</v>
      </c>
      <c r="AF29" s="242"/>
      <c r="AG29" s="242"/>
      <c r="AH29" s="242">
        <f t="shared" si="13"/>
        <v>0</v>
      </c>
      <c r="AI29" s="242"/>
      <c r="AJ29" s="242"/>
      <c r="AK29" s="242">
        <f t="shared" si="14"/>
        <v>0</v>
      </c>
      <c r="AL29" s="242"/>
      <c r="AM29" s="242"/>
      <c r="AN29" s="242">
        <f t="shared" si="15"/>
        <v>0</v>
      </c>
      <c r="AO29" s="242"/>
      <c r="AP29" s="242"/>
      <c r="AQ29" s="242">
        <f t="shared" si="16"/>
        <v>0</v>
      </c>
      <c r="AR29" s="242"/>
      <c r="AS29" s="242"/>
      <c r="AT29" s="242">
        <f t="shared" si="17"/>
        <v>0</v>
      </c>
      <c r="AU29" s="242"/>
      <c r="AV29" s="242"/>
      <c r="AW29" s="242">
        <f t="shared" si="18"/>
        <v>0</v>
      </c>
      <c r="AX29" s="242"/>
      <c r="AY29" s="242"/>
      <c r="AZ29" s="242">
        <f t="shared" si="19"/>
        <v>0</v>
      </c>
      <c r="BA29" s="242"/>
      <c r="BB29" s="242"/>
      <c r="BC29" s="242">
        <f t="shared" si="20"/>
        <v>0</v>
      </c>
      <c r="BD29" s="242"/>
      <c r="BE29" s="242"/>
      <c r="BF29" s="242">
        <f t="shared" si="21"/>
        <v>0</v>
      </c>
      <c r="BG29" s="242">
        <f t="shared" si="22"/>
        <v>0</v>
      </c>
      <c r="BH29" s="242"/>
      <c r="BI29" s="242">
        <f t="shared" si="23"/>
        <v>0</v>
      </c>
      <c r="BJ29" s="242">
        <f t="shared" si="24"/>
        <v>-44000</v>
      </c>
      <c r="BK29" s="242"/>
      <c r="BL29" s="242">
        <f t="shared" si="25"/>
        <v>0</v>
      </c>
      <c r="BM29" s="242"/>
      <c r="BN29" s="242"/>
      <c r="BO29" s="242">
        <f t="shared" si="26"/>
        <v>0</v>
      </c>
      <c r="BP29" s="242"/>
      <c r="BQ29" s="242"/>
      <c r="BR29" s="242">
        <f t="shared" si="27"/>
        <v>-44000</v>
      </c>
      <c r="BS29" s="242"/>
      <c r="BT29" s="241">
        <v>824000</v>
      </c>
    </row>
    <row r="30" spans="1:76" s="15" customFormat="1">
      <c r="A30" s="241">
        <f t="shared" si="4"/>
        <v>25</v>
      </c>
      <c r="B30" s="13">
        <v>1662</v>
      </c>
      <c r="C30" s="13" t="s">
        <v>298</v>
      </c>
      <c r="D30" s="14">
        <f>525000</f>
        <v>525000</v>
      </c>
      <c r="E30" s="14">
        <v>525000</v>
      </c>
      <c r="F30" s="14">
        <f t="shared" si="0"/>
        <v>0</v>
      </c>
      <c r="G30" s="14">
        <v>425000</v>
      </c>
      <c r="H30" s="14">
        <v>2781.97</v>
      </c>
      <c r="I30" s="14">
        <v>14251</v>
      </c>
      <c r="J30" s="14"/>
      <c r="K30" s="14">
        <f t="shared" si="28"/>
        <v>14251</v>
      </c>
      <c r="L30" s="14">
        <f t="shared" si="6"/>
        <v>17032.97</v>
      </c>
      <c r="M30" s="14">
        <f t="shared" si="7"/>
        <v>407967.03</v>
      </c>
      <c r="N30" s="14"/>
      <c r="O30" s="14">
        <f t="shared" si="8"/>
        <v>100000</v>
      </c>
      <c r="P30" s="14">
        <f t="shared" si="9"/>
        <v>407967.03</v>
      </c>
      <c r="Q30" s="242"/>
      <c r="R30" s="242"/>
      <c r="S30" s="14">
        <f t="shared" si="29"/>
        <v>0</v>
      </c>
      <c r="T30" s="14">
        <f t="shared" si="10"/>
        <v>0</v>
      </c>
      <c r="U30" s="14">
        <f t="shared" si="2"/>
        <v>0</v>
      </c>
      <c r="V30" s="14"/>
      <c r="W30" s="242">
        <f t="shared" si="3"/>
        <v>0</v>
      </c>
      <c r="X30" s="14"/>
      <c r="Y30" s="13"/>
      <c r="Z30" s="242"/>
      <c r="AA30" s="242"/>
      <c r="AB30" s="242">
        <f t="shared" si="11"/>
        <v>0</v>
      </c>
      <c r="AC30" s="242"/>
      <c r="AD30" s="242"/>
      <c r="AE30" s="242">
        <f t="shared" si="12"/>
        <v>0</v>
      </c>
      <c r="AF30" s="242"/>
      <c r="AG30" s="242"/>
      <c r="AH30" s="242">
        <f t="shared" si="13"/>
        <v>0</v>
      </c>
      <c r="AI30" s="242"/>
      <c r="AJ30" s="242"/>
      <c r="AK30" s="242">
        <f t="shared" si="14"/>
        <v>0</v>
      </c>
      <c r="AL30" s="242"/>
      <c r="AM30" s="242"/>
      <c r="AN30" s="242">
        <f t="shared" si="15"/>
        <v>0</v>
      </c>
      <c r="AO30" s="242"/>
      <c r="AP30" s="242"/>
      <c r="AQ30" s="242">
        <f t="shared" si="16"/>
        <v>0</v>
      </c>
      <c r="AR30" s="242"/>
      <c r="AS30" s="242"/>
      <c r="AT30" s="242">
        <f t="shared" si="17"/>
        <v>0</v>
      </c>
      <c r="AU30" s="242"/>
      <c r="AV30" s="242"/>
      <c r="AW30" s="242">
        <f t="shared" si="18"/>
        <v>0</v>
      </c>
      <c r="AX30" s="242"/>
      <c r="AY30" s="242"/>
      <c r="AZ30" s="242">
        <f t="shared" si="19"/>
        <v>0</v>
      </c>
      <c r="BA30" s="242"/>
      <c r="BB30" s="242"/>
      <c r="BC30" s="242">
        <f t="shared" si="20"/>
        <v>0</v>
      </c>
      <c r="BD30" s="242"/>
      <c r="BE30" s="242"/>
      <c r="BF30" s="242">
        <f t="shared" si="21"/>
        <v>0</v>
      </c>
      <c r="BG30" s="242">
        <f t="shared" si="22"/>
        <v>0</v>
      </c>
      <c r="BH30" s="242"/>
      <c r="BI30" s="242">
        <f t="shared" si="23"/>
        <v>0</v>
      </c>
      <c r="BJ30" s="242">
        <f t="shared" si="24"/>
        <v>0</v>
      </c>
      <c r="BK30" s="242"/>
      <c r="BL30" s="242">
        <f t="shared" si="25"/>
        <v>0</v>
      </c>
      <c r="BM30" s="242"/>
      <c r="BN30" s="242"/>
      <c r="BO30" s="242">
        <f t="shared" si="26"/>
        <v>0</v>
      </c>
      <c r="BP30" s="242"/>
      <c r="BQ30" s="242"/>
      <c r="BR30" s="242">
        <f t="shared" si="27"/>
        <v>0</v>
      </c>
      <c r="BS30" s="242"/>
      <c r="BT30" s="13">
        <v>870000</v>
      </c>
      <c r="BX30" s="244"/>
    </row>
    <row r="31" spans="1:76" s="244" customFormat="1">
      <c r="A31" s="241">
        <f t="shared" si="4"/>
        <v>26</v>
      </c>
      <c r="B31" s="241">
        <v>1676</v>
      </c>
      <c r="C31" s="241" t="s">
        <v>390</v>
      </c>
      <c r="D31" s="242">
        <v>43215000</v>
      </c>
      <c r="E31" s="242">
        <v>43215000</v>
      </c>
      <c r="F31" s="242">
        <f t="shared" si="0"/>
        <v>0</v>
      </c>
      <c r="G31" s="242">
        <v>43215000</v>
      </c>
      <c r="H31" s="242">
        <v>42035314.229999997</v>
      </c>
      <c r="I31" s="242">
        <v>102752.78</v>
      </c>
      <c r="J31" s="242">
        <v>529520.14</v>
      </c>
      <c r="K31" s="242">
        <f t="shared" si="28"/>
        <v>632272.92000000004</v>
      </c>
      <c r="L31" s="242">
        <f t="shared" si="6"/>
        <v>42667587.149999999</v>
      </c>
      <c r="M31" s="242">
        <f t="shared" si="7"/>
        <v>547412.85000000149</v>
      </c>
      <c r="N31" s="242"/>
      <c r="O31" s="242">
        <f t="shared" si="8"/>
        <v>0</v>
      </c>
      <c r="P31" s="242">
        <f t="shared" si="9"/>
        <v>547412.85000000149</v>
      </c>
      <c r="Q31" s="242"/>
      <c r="R31" s="242"/>
      <c r="S31" s="242">
        <f t="shared" si="29"/>
        <v>0</v>
      </c>
      <c r="T31" s="242">
        <f t="shared" si="10"/>
        <v>0</v>
      </c>
      <c r="U31" s="14">
        <f t="shared" si="2"/>
        <v>0</v>
      </c>
      <c r="V31" s="242"/>
      <c r="W31" s="242">
        <f t="shared" si="3"/>
        <v>0</v>
      </c>
      <c r="X31" s="242"/>
      <c r="Y31" s="241"/>
      <c r="Z31" s="242"/>
      <c r="AA31" s="242"/>
      <c r="AB31" s="242">
        <f t="shared" si="11"/>
        <v>0</v>
      </c>
      <c r="AC31" s="242"/>
      <c r="AD31" s="242"/>
      <c r="AE31" s="242">
        <f t="shared" si="12"/>
        <v>0</v>
      </c>
      <c r="AF31" s="242"/>
      <c r="AG31" s="242"/>
      <c r="AH31" s="242">
        <f t="shared" si="13"/>
        <v>0</v>
      </c>
      <c r="AI31" s="242"/>
      <c r="AJ31" s="242"/>
      <c r="AK31" s="242">
        <f t="shared" si="14"/>
        <v>0</v>
      </c>
      <c r="AL31" s="242"/>
      <c r="AM31" s="242"/>
      <c r="AN31" s="242">
        <f t="shared" si="15"/>
        <v>0</v>
      </c>
      <c r="AO31" s="242"/>
      <c r="AP31" s="242"/>
      <c r="AQ31" s="242">
        <f t="shared" si="16"/>
        <v>0</v>
      </c>
      <c r="AR31" s="242"/>
      <c r="AS31" s="242"/>
      <c r="AT31" s="242">
        <f t="shared" si="17"/>
        <v>0</v>
      </c>
      <c r="AU31" s="242"/>
      <c r="AV31" s="242"/>
      <c r="AW31" s="242">
        <f t="shared" si="18"/>
        <v>0</v>
      </c>
      <c r="AX31" s="242"/>
      <c r="AY31" s="242"/>
      <c r="AZ31" s="242">
        <f t="shared" si="19"/>
        <v>0</v>
      </c>
      <c r="BA31" s="242"/>
      <c r="BB31" s="242"/>
      <c r="BC31" s="242">
        <f t="shared" si="20"/>
        <v>0</v>
      </c>
      <c r="BD31" s="242"/>
      <c r="BE31" s="242"/>
      <c r="BF31" s="242">
        <f t="shared" si="21"/>
        <v>0</v>
      </c>
      <c r="BG31" s="242">
        <f t="shared" si="22"/>
        <v>0</v>
      </c>
      <c r="BH31" s="242"/>
      <c r="BI31" s="242">
        <f t="shared" si="23"/>
        <v>0</v>
      </c>
      <c r="BJ31" s="242">
        <f t="shared" si="24"/>
        <v>0</v>
      </c>
      <c r="BK31" s="242"/>
      <c r="BL31" s="242">
        <f t="shared" si="25"/>
        <v>0</v>
      </c>
      <c r="BM31" s="242"/>
      <c r="BN31" s="242"/>
      <c r="BO31" s="242">
        <f t="shared" si="26"/>
        <v>0</v>
      </c>
      <c r="BP31" s="242"/>
      <c r="BQ31" s="242"/>
      <c r="BR31" s="242">
        <f t="shared" si="27"/>
        <v>0</v>
      </c>
      <c r="BS31" s="242"/>
      <c r="BT31" s="241">
        <v>810000</v>
      </c>
    </row>
    <row r="32" spans="1:76" s="244" customFormat="1">
      <c r="A32" s="241">
        <f t="shared" si="4"/>
        <v>27</v>
      </c>
      <c r="B32" s="241">
        <v>1677</v>
      </c>
      <c r="C32" s="241" t="s">
        <v>102</v>
      </c>
      <c r="D32" s="242">
        <v>19000000</v>
      </c>
      <c r="E32" s="242">
        <v>19000000</v>
      </c>
      <c r="F32" s="242">
        <f t="shared" si="0"/>
        <v>0</v>
      </c>
      <c r="G32" s="242">
        <v>19000000</v>
      </c>
      <c r="H32" s="242">
        <v>15431808.43</v>
      </c>
      <c r="I32" s="242">
        <v>2659116.7799999998</v>
      </c>
      <c r="J32" s="242">
        <v>840876.03</v>
      </c>
      <c r="K32" s="242">
        <f t="shared" si="28"/>
        <v>3499992.8099999996</v>
      </c>
      <c r="L32" s="242">
        <f t="shared" si="6"/>
        <v>18931801.239999998</v>
      </c>
      <c r="M32" s="242">
        <f t="shared" si="7"/>
        <v>68198.760000001639</v>
      </c>
      <c r="N32" s="242"/>
      <c r="O32" s="242">
        <f t="shared" si="8"/>
        <v>0</v>
      </c>
      <c r="P32" s="242">
        <f t="shared" si="9"/>
        <v>68198.760000001639</v>
      </c>
      <c r="Q32" s="242"/>
      <c r="R32" s="242"/>
      <c r="S32" s="242">
        <f t="shared" si="29"/>
        <v>0</v>
      </c>
      <c r="T32" s="242">
        <f t="shared" si="10"/>
        <v>0</v>
      </c>
      <c r="U32" s="14">
        <f t="shared" si="2"/>
        <v>0</v>
      </c>
      <c r="V32" s="242"/>
      <c r="W32" s="242">
        <f t="shared" si="3"/>
        <v>0</v>
      </c>
      <c r="X32" s="242"/>
      <c r="Y32" s="241"/>
      <c r="Z32" s="242"/>
      <c r="AA32" s="242"/>
      <c r="AB32" s="242">
        <f t="shared" si="11"/>
        <v>0</v>
      </c>
      <c r="AC32" s="242"/>
      <c r="AD32" s="242"/>
      <c r="AE32" s="242">
        <f t="shared" si="12"/>
        <v>0</v>
      </c>
      <c r="AF32" s="242"/>
      <c r="AG32" s="242"/>
      <c r="AH32" s="242">
        <f t="shared" si="13"/>
        <v>0</v>
      </c>
      <c r="AI32" s="242"/>
      <c r="AJ32" s="242"/>
      <c r="AK32" s="242">
        <f t="shared" si="14"/>
        <v>0</v>
      </c>
      <c r="AL32" s="242"/>
      <c r="AM32" s="242"/>
      <c r="AN32" s="242">
        <f t="shared" si="15"/>
        <v>0</v>
      </c>
      <c r="AO32" s="242"/>
      <c r="AP32" s="242"/>
      <c r="AQ32" s="242">
        <f t="shared" si="16"/>
        <v>0</v>
      </c>
      <c r="AR32" s="242"/>
      <c r="AS32" s="242"/>
      <c r="AT32" s="242">
        <f t="shared" si="17"/>
        <v>0</v>
      </c>
      <c r="AU32" s="242"/>
      <c r="AV32" s="242"/>
      <c r="AW32" s="242">
        <f t="shared" si="18"/>
        <v>0</v>
      </c>
      <c r="AX32" s="242"/>
      <c r="AY32" s="242"/>
      <c r="AZ32" s="242">
        <f t="shared" si="19"/>
        <v>0</v>
      </c>
      <c r="BA32" s="242"/>
      <c r="BB32" s="242"/>
      <c r="BC32" s="242">
        <f t="shared" si="20"/>
        <v>0</v>
      </c>
      <c r="BD32" s="242"/>
      <c r="BE32" s="242"/>
      <c r="BF32" s="242">
        <f t="shared" si="21"/>
        <v>0</v>
      </c>
      <c r="BG32" s="242">
        <f t="shared" si="22"/>
        <v>0</v>
      </c>
      <c r="BH32" s="242"/>
      <c r="BI32" s="242">
        <f t="shared" si="23"/>
        <v>0</v>
      </c>
      <c r="BJ32" s="242">
        <f t="shared" si="24"/>
        <v>0</v>
      </c>
      <c r="BK32" s="242"/>
      <c r="BL32" s="242">
        <f t="shared" si="25"/>
        <v>0</v>
      </c>
      <c r="BM32" s="242"/>
      <c r="BN32" s="242"/>
      <c r="BO32" s="242">
        <f t="shared" si="26"/>
        <v>0</v>
      </c>
      <c r="BP32" s="242"/>
      <c r="BQ32" s="242"/>
      <c r="BR32" s="242">
        <f t="shared" si="27"/>
        <v>0</v>
      </c>
      <c r="BS32" s="242"/>
      <c r="BT32" s="241">
        <v>810000</v>
      </c>
    </row>
    <row r="33" spans="1:76" s="244" customFormat="1">
      <c r="A33" s="241">
        <f t="shared" si="4"/>
        <v>28</v>
      </c>
      <c r="B33" s="241">
        <v>1691</v>
      </c>
      <c r="C33" s="241" t="s">
        <v>391</v>
      </c>
      <c r="D33" s="242">
        <v>210000</v>
      </c>
      <c r="E33" s="242">
        <v>210000</v>
      </c>
      <c r="F33" s="242">
        <f t="shared" si="0"/>
        <v>0</v>
      </c>
      <c r="G33" s="242">
        <v>210000</v>
      </c>
      <c r="H33" s="242">
        <v>184253.53</v>
      </c>
      <c r="I33" s="242"/>
      <c r="J33" s="242"/>
      <c r="K33" s="242">
        <f t="shared" si="28"/>
        <v>0</v>
      </c>
      <c r="L33" s="242">
        <f t="shared" si="6"/>
        <v>184253.53</v>
      </c>
      <c r="M33" s="242">
        <f t="shared" si="7"/>
        <v>25746.47</v>
      </c>
      <c r="N33" s="242"/>
      <c r="O33" s="242">
        <f t="shared" si="8"/>
        <v>0</v>
      </c>
      <c r="P33" s="242">
        <f t="shared" si="9"/>
        <v>25746.47</v>
      </c>
      <c r="Q33" s="242"/>
      <c r="R33" s="242"/>
      <c r="S33" s="242">
        <f t="shared" si="29"/>
        <v>0</v>
      </c>
      <c r="T33" s="242">
        <f t="shared" si="10"/>
        <v>0</v>
      </c>
      <c r="U33" s="14">
        <f t="shared" si="2"/>
        <v>0</v>
      </c>
      <c r="V33" s="242"/>
      <c r="W33" s="242">
        <f t="shared" si="3"/>
        <v>0</v>
      </c>
      <c r="X33" s="242"/>
      <c r="Y33" s="241"/>
      <c r="Z33" s="242"/>
      <c r="AA33" s="242"/>
      <c r="AB33" s="242">
        <f t="shared" si="11"/>
        <v>0</v>
      </c>
      <c r="AC33" s="242"/>
      <c r="AD33" s="242"/>
      <c r="AE33" s="242">
        <f t="shared" si="12"/>
        <v>0</v>
      </c>
      <c r="AF33" s="242"/>
      <c r="AG33" s="242"/>
      <c r="AH33" s="242">
        <f t="shared" si="13"/>
        <v>0</v>
      </c>
      <c r="AI33" s="242"/>
      <c r="AJ33" s="242"/>
      <c r="AK33" s="242">
        <f t="shared" si="14"/>
        <v>0</v>
      </c>
      <c r="AL33" s="242"/>
      <c r="AM33" s="242"/>
      <c r="AN33" s="242">
        <f t="shared" si="15"/>
        <v>0</v>
      </c>
      <c r="AO33" s="242"/>
      <c r="AP33" s="242"/>
      <c r="AQ33" s="242">
        <f t="shared" si="16"/>
        <v>0</v>
      </c>
      <c r="AR33" s="242"/>
      <c r="AS33" s="242"/>
      <c r="AT33" s="242">
        <f t="shared" si="17"/>
        <v>0</v>
      </c>
      <c r="AU33" s="242"/>
      <c r="AV33" s="242"/>
      <c r="AW33" s="242">
        <f t="shared" si="18"/>
        <v>0</v>
      </c>
      <c r="AX33" s="242"/>
      <c r="AY33" s="242"/>
      <c r="AZ33" s="242">
        <f t="shared" si="19"/>
        <v>0</v>
      </c>
      <c r="BA33" s="242"/>
      <c r="BB33" s="242"/>
      <c r="BC33" s="242">
        <f t="shared" si="20"/>
        <v>0</v>
      </c>
      <c r="BD33" s="242"/>
      <c r="BE33" s="242"/>
      <c r="BF33" s="242">
        <f t="shared" si="21"/>
        <v>0</v>
      </c>
      <c r="BG33" s="242">
        <f t="shared" si="22"/>
        <v>0</v>
      </c>
      <c r="BH33" s="242"/>
      <c r="BI33" s="242">
        <f t="shared" si="23"/>
        <v>0</v>
      </c>
      <c r="BJ33" s="242">
        <f t="shared" si="24"/>
        <v>0</v>
      </c>
      <c r="BK33" s="242"/>
      <c r="BL33" s="242">
        <f t="shared" si="25"/>
        <v>0</v>
      </c>
      <c r="BM33" s="242"/>
      <c r="BN33" s="242"/>
      <c r="BO33" s="242">
        <f t="shared" si="26"/>
        <v>0</v>
      </c>
      <c r="BP33" s="242"/>
      <c r="BQ33" s="242"/>
      <c r="BR33" s="242">
        <f t="shared" si="27"/>
        <v>0</v>
      </c>
      <c r="BS33" s="242"/>
      <c r="BT33" s="241">
        <v>810000</v>
      </c>
    </row>
    <row r="34" spans="1:76" s="15" customFormat="1">
      <c r="A34" s="241">
        <f t="shared" si="4"/>
        <v>29</v>
      </c>
      <c r="B34" s="396">
        <v>1698</v>
      </c>
      <c r="C34" s="396" t="s">
        <v>885</v>
      </c>
      <c r="D34" s="242">
        <v>400000</v>
      </c>
      <c r="E34" s="242">
        <v>400000</v>
      </c>
      <c r="F34" s="242">
        <f t="shared" si="0"/>
        <v>0</v>
      </c>
      <c r="G34" s="242">
        <v>400000</v>
      </c>
      <c r="H34" s="242">
        <v>187137</v>
      </c>
      <c r="I34" s="242">
        <v>212832</v>
      </c>
      <c r="J34" s="242"/>
      <c r="K34" s="242">
        <f t="shared" si="28"/>
        <v>212832</v>
      </c>
      <c r="L34" s="242">
        <f t="shared" si="6"/>
        <v>399969</v>
      </c>
      <c r="M34" s="242">
        <f t="shared" si="7"/>
        <v>31</v>
      </c>
      <c r="N34" s="242"/>
      <c r="O34" s="242">
        <f t="shared" si="8"/>
        <v>0</v>
      </c>
      <c r="P34" s="242">
        <f t="shared" si="9"/>
        <v>31</v>
      </c>
      <c r="Q34" s="242"/>
      <c r="R34" s="242"/>
      <c r="S34" s="242">
        <f t="shared" si="29"/>
        <v>0</v>
      </c>
      <c r="T34" s="242">
        <f t="shared" si="10"/>
        <v>0</v>
      </c>
      <c r="U34" s="14">
        <f t="shared" si="2"/>
        <v>0</v>
      </c>
      <c r="V34" s="242"/>
      <c r="W34" s="242">
        <f t="shared" si="3"/>
        <v>0</v>
      </c>
      <c r="X34" s="242"/>
      <c r="Y34" s="241"/>
      <c r="Z34" s="242"/>
      <c r="AA34" s="242"/>
      <c r="AB34" s="242">
        <f t="shared" si="11"/>
        <v>0</v>
      </c>
      <c r="AC34" s="242"/>
      <c r="AD34" s="242"/>
      <c r="AE34" s="242">
        <f t="shared" si="12"/>
        <v>0</v>
      </c>
      <c r="AF34" s="242"/>
      <c r="AG34" s="242"/>
      <c r="AH34" s="242">
        <f t="shared" si="13"/>
        <v>0</v>
      </c>
      <c r="AI34" s="242"/>
      <c r="AJ34" s="242"/>
      <c r="AK34" s="242">
        <f t="shared" si="14"/>
        <v>0</v>
      </c>
      <c r="AL34" s="242"/>
      <c r="AM34" s="242"/>
      <c r="AN34" s="242">
        <f t="shared" si="15"/>
        <v>0</v>
      </c>
      <c r="AO34" s="242"/>
      <c r="AP34" s="242"/>
      <c r="AQ34" s="242">
        <f t="shared" si="16"/>
        <v>0</v>
      </c>
      <c r="AR34" s="242"/>
      <c r="AS34" s="242"/>
      <c r="AT34" s="242">
        <f t="shared" si="17"/>
        <v>0</v>
      </c>
      <c r="AU34" s="242"/>
      <c r="AV34" s="242"/>
      <c r="AW34" s="242">
        <f t="shared" si="18"/>
        <v>0</v>
      </c>
      <c r="AX34" s="242"/>
      <c r="AY34" s="242"/>
      <c r="AZ34" s="242">
        <f t="shared" si="19"/>
        <v>0</v>
      </c>
      <c r="BA34" s="242"/>
      <c r="BB34" s="242"/>
      <c r="BC34" s="242">
        <f t="shared" si="20"/>
        <v>0</v>
      </c>
      <c r="BD34" s="242"/>
      <c r="BE34" s="242"/>
      <c r="BF34" s="242">
        <f t="shared" si="21"/>
        <v>0</v>
      </c>
      <c r="BG34" s="242">
        <f t="shared" si="22"/>
        <v>0</v>
      </c>
      <c r="BH34" s="242"/>
      <c r="BI34" s="242">
        <f t="shared" si="23"/>
        <v>0</v>
      </c>
      <c r="BJ34" s="242">
        <f t="shared" si="24"/>
        <v>0</v>
      </c>
      <c r="BK34" s="242"/>
      <c r="BL34" s="242">
        <f t="shared" si="25"/>
        <v>0</v>
      </c>
      <c r="BM34" s="242"/>
      <c r="BN34" s="242"/>
      <c r="BO34" s="242">
        <f t="shared" si="26"/>
        <v>0</v>
      </c>
      <c r="BP34" s="242"/>
      <c r="BQ34" s="242"/>
      <c r="BR34" s="242">
        <f t="shared" si="27"/>
        <v>0</v>
      </c>
      <c r="BS34" s="242"/>
      <c r="BT34" s="241">
        <v>743000</v>
      </c>
      <c r="BX34" s="244"/>
    </row>
    <row r="35" spans="1:76" s="244" customFormat="1">
      <c r="A35" s="241">
        <f t="shared" si="4"/>
        <v>30</v>
      </c>
      <c r="B35" s="394">
        <v>1699</v>
      </c>
      <c r="C35" s="394" t="s">
        <v>886</v>
      </c>
      <c r="D35" s="242">
        <f>3130000-120000</f>
        <v>3010000</v>
      </c>
      <c r="E35" s="242">
        <v>3130000</v>
      </c>
      <c r="F35" s="242">
        <f t="shared" si="0"/>
        <v>-120000</v>
      </c>
      <c r="G35" s="242">
        <v>3130000</v>
      </c>
      <c r="H35" s="242">
        <v>2993334.65</v>
      </c>
      <c r="I35" s="242"/>
      <c r="J35" s="242">
        <v>16520</v>
      </c>
      <c r="K35" s="242">
        <f t="shared" si="28"/>
        <v>16520</v>
      </c>
      <c r="L35" s="242">
        <f t="shared" si="6"/>
        <v>3009854.65</v>
      </c>
      <c r="M35" s="242">
        <f>P35+S35-120000</f>
        <v>145.35000000009313</v>
      </c>
      <c r="N35" s="242"/>
      <c r="O35" s="242">
        <f t="shared" si="8"/>
        <v>0</v>
      </c>
      <c r="P35" s="242">
        <f t="shared" si="9"/>
        <v>120145.35000000009</v>
      </c>
      <c r="Q35" s="242"/>
      <c r="R35" s="242"/>
      <c r="S35" s="242">
        <f t="shared" si="29"/>
        <v>0</v>
      </c>
      <c r="T35" s="242">
        <f t="shared" si="10"/>
        <v>120000</v>
      </c>
      <c r="U35" s="14">
        <f t="shared" si="2"/>
        <v>-120000</v>
      </c>
      <c r="V35" s="242"/>
      <c r="W35" s="242">
        <f t="shared" si="3"/>
        <v>-120000</v>
      </c>
      <c r="X35" s="242"/>
      <c r="Y35" s="241"/>
      <c r="Z35" s="242">
        <v>-11000</v>
      </c>
      <c r="AA35" s="242">
        <v>-108000</v>
      </c>
      <c r="AB35" s="242">
        <f t="shared" si="11"/>
        <v>-119000</v>
      </c>
      <c r="AC35" s="242"/>
      <c r="AD35" s="242"/>
      <c r="AE35" s="242">
        <f t="shared" si="12"/>
        <v>0</v>
      </c>
      <c r="AF35" s="242"/>
      <c r="AG35" s="242"/>
      <c r="AH35" s="242">
        <f t="shared" si="13"/>
        <v>0</v>
      </c>
      <c r="AI35" s="242"/>
      <c r="AJ35" s="242">
        <v>-1000</v>
      </c>
      <c r="AK35" s="242">
        <f t="shared" si="14"/>
        <v>-1000</v>
      </c>
      <c r="AL35" s="242"/>
      <c r="AM35" s="242"/>
      <c r="AN35" s="242">
        <f t="shared" si="15"/>
        <v>0</v>
      </c>
      <c r="AO35" s="242"/>
      <c r="AP35" s="242"/>
      <c r="AQ35" s="242">
        <f t="shared" si="16"/>
        <v>0</v>
      </c>
      <c r="AR35" s="242"/>
      <c r="AS35" s="242"/>
      <c r="AT35" s="242">
        <f t="shared" si="17"/>
        <v>0</v>
      </c>
      <c r="AU35" s="242"/>
      <c r="AV35" s="242"/>
      <c r="AW35" s="242">
        <f t="shared" si="18"/>
        <v>0</v>
      </c>
      <c r="AX35" s="242"/>
      <c r="AY35" s="242"/>
      <c r="AZ35" s="242">
        <f t="shared" si="19"/>
        <v>0</v>
      </c>
      <c r="BA35" s="242"/>
      <c r="BB35" s="242"/>
      <c r="BC35" s="242">
        <f t="shared" si="20"/>
        <v>0</v>
      </c>
      <c r="BD35" s="242"/>
      <c r="BE35" s="242"/>
      <c r="BF35" s="242">
        <f t="shared" si="21"/>
        <v>0</v>
      </c>
      <c r="BG35" s="242">
        <f t="shared" si="22"/>
        <v>-120000</v>
      </c>
      <c r="BH35" s="242"/>
      <c r="BI35" s="242">
        <f t="shared" si="23"/>
        <v>-120000</v>
      </c>
      <c r="BJ35" s="242">
        <f t="shared" si="24"/>
        <v>0</v>
      </c>
      <c r="BK35" s="242"/>
      <c r="BL35" s="242">
        <f t="shared" si="25"/>
        <v>-120000</v>
      </c>
      <c r="BM35" s="242"/>
      <c r="BN35" s="242"/>
      <c r="BO35" s="242">
        <f t="shared" si="26"/>
        <v>0</v>
      </c>
      <c r="BP35" s="242"/>
      <c r="BQ35" s="242"/>
      <c r="BR35" s="242">
        <f t="shared" si="27"/>
        <v>0</v>
      </c>
      <c r="BS35" s="242"/>
      <c r="BT35" s="241">
        <v>817300</v>
      </c>
    </row>
    <row r="36" spans="1:76" s="244" customFormat="1">
      <c r="A36" s="241">
        <f t="shared" si="4"/>
        <v>31</v>
      </c>
      <c r="B36" s="394">
        <v>1703</v>
      </c>
      <c r="C36" s="394" t="s">
        <v>742</v>
      </c>
      <c r="D36" s="242">
        <f>550000-31000</f>
        <v>519000</v>
      </c>
      <c r="E36" s="242">
        <v>550000</v>
      </c>
      <c r="F36" s="242">
        <f t="shared" si="0"/>
        <v>-31000</v>
      </c>
      <c r="G36" s="242">
        <v>550000</v>
      </c>
      <c r="H36" s="242">
        <v>517511.31</v>
      </c>
      <c r="I36" s="242">
        <v>839.4</v>
      </c>
      <c r="J36" s="242"/>
      <c r="K36" s="242">
        <f t="shared" si="28"/>
        <v>839.4</v>
      </c>
      <c r="L36" s="242">
        <f t="shared" si="6"/>
        <v>518350.71</v>
      </c>
      <c r="M36" s="242">
        <f>P36+S36-31000</f>
        <v>649.28999999997905</v>
      </c>
      <c r="N36" s="242"/>
      <c r="O36" s="242">
        <f t="shared" si="8"/>
        <v>0</v>
      </c>
      <c r="P36" s="242">
        <f t="shared" si="9"/>
        <v>31649.289999999979</v>
      </c>
      <c r="Q36" s="242"/>
      <c r="R36" s="242"/>
      <c r="S36" s="242">
        <f t="shared" si="29"/>
        <v>0</v>
      </c>
      <c r="T36" s="242">
        <f t="shared" si="10"/>
        <v>31000</v>
      </c>
      <c r="U36" s="14">
        <f t="shared" si="2"/>
        <v>-31000</v>
      </c>
      <c r="V36" s="242"/>
      <c r="W36" s="242">
        <f t="shared" si="3"/>
        <v>-31000</v>
      </c>
      <c r="X36" s="242"/>
      <c r="Y36" s="241"/>
      <c r="Z36" s="242"/>
      <c r="AA36" s="242"/>
      <c r="AB36" s="242">
        <f t="shared" si="11"/>
        <v>0</v>
      </c>
      <c r="AC36" s="242"/>
      <c r="AD36" s="242"/>
      <c r="AE36" s="242">
        <f t="shared" si="12"/>
        <v>0</v>
      </c>
      <c r="AF36" s="242"/>
      <c r="AG36" s="242"/>
      <c r="AH36" s="242">
        <f t="shared" si="13"/>
        <v>0</v>
      </c>
      <c r="AI36" s="242"/>
      <c r="AJ36" s="242"/>
      <c r="AK36" s="242">
        <f t="shared" si="14"/>
        <v>0</v>
      </c>
      <c r="AL36" s="242"/>
      <c r="AM36" s="242"/>
      <c r="AN36" s="242">
        <f t="shared" si="15"/>
        <v>0</v>
      </c>
      <c r="AO36" s="242"/>
      <c r="AP36" s="242"/>
      <c r="AQ36" s="242">
        <f t="shared" si="16"/>
        <v>0</v>
      </c>
      <c r="AR36" s="242"/>
      <c r="AS36" s="242"/>
      <c r="AT36" s="242">
        <f t="shared" si="17"/>
        <v>0</v>
      </c>
      <c r="AU36" s="242"/>
      <c r="AV36" s="242"/>
      <c r="AW36" s="242">
        <f t="shared" si="18"/>
        <v>0</v>
      </c>
      <c r="AX36" s="242"/>
      <c r="AY36" s="242"/>
      <c r="AZ36" s="242">
        <f t="shared" si="19"/>
        <v>0</v>
      </c>
      <c r="BA36" s="242"/>
      <c r="BB36" s="242"/>
      <c r="BC36" s="242">
        <f t="shared" si="20"/>
        <v>0</v>
      </c>
      <c r="BD36" s="242"/>
      <c r="BE36" s="242"/>
      <c r="BF36" s="242">
        <f t="shared" si="21"/>
        <v>0</v>
      </c>
      <c r="BG36" s="242">
        <f t="shared" si="22"/>
        <v>0</v>
      </c>
      <c r="BH36" s="242"/>
      <c r="BI36" s="242">
        <f t="shared" si="23"/>
        <v>0</v>
      </c>
      <c r="BJ36" s="242">
        <f t="shared" si="24"/>
        <v>-31000</v>
      </c>
      <c r="BK36" s="242"/>
      <c r="BL36" s="242">
        <f t="shared" si="25"/>
        <v>0</v>
      </c>
      <c r="BM36" s="242"/>
      <c r="BN36" s="242"/>
      <c r="BO36" s="242">
        <f t="shared" si="26"/>
        <v>0</v>
      </c>
      <c r="BP36" s="242"/>
      <c r="BQ36" s="242"/>
      <c r="BR36" s="242">
        <f t="shared" si="27"/>
        <v>-31000</v>
      </c>
      <c r="BS36" s="242"/>
      <c r="BT36" s="241">
        <v>810000</v>
      </c>
    </row>
    <row r="37" spans="1:76" s="244" customFormat="1">
      <c r="A37" s="241">
        <f t="shared" si="4"/>
        <v>32</v>
      </c>
      <c r="B37" s="241">
        <v>1711</v>
      </c>
      <c r="C37" s="241" t="s">
        <v>104</v>
      </c>
      <c r="D37" s="242">
        <f>215000+210000</f>
        <v>425000</v>
      </c>
      <c r="E37" s="242">
        <v>215000</v>
      </c>
      <c r="F37" s="242">
        <f t="shared" si="0"/>
        <v>210000</v>
      </c>
      <c r="G37" s="242">
        <v>215000</v>
      </c>
      <c r="H37" s="242">
        <v>184663.4</v>
      </c>
      <c r="I37" s="242">
        <v>30134.04</v>
      </c>
      <c r="J37" s="242"/>
      <c r="K37" s="242">
        <f t="shared" si="28"/>
        <v>30134.04</v>
      </c>
      <c r="L37" s="242">
        <f t="shared" si="6"/>
        <v>214797.44</v>
      </c>
      <c r="M37" s="242">
        <f t="shared" si="7"/>
        <v>202.55999999999767</v>
      </c>
      <c r="N37" s="242">
        <v>210000</v>
      </c>
      <c r="O37" s="242">
        <f t="shared" si="8"/>
        <v>0</v>
      </c>
      <c r="P37" s="242">
        <f t="shared" si="9"/>
        <v>202.55999999999767</v>
      </c>
      <c r="Q37" s="242"/>
      <c r="R37" s="242"/>
      <c r="S37" s="242">
        <f t="shared" si="29"/>
        <v>0</v>
      </c>
      <c r="T37" s="242">
        <f t="shared" si="10"/>
        <v>0</v>
      </c>
      <c r="U37" s="14">
        <f t="shared" si="2"/>
        <v>210000</v>
      </c>
      <c r="V37" s="242">
        <v>110000</v>
      </c>
      <c r="W37" s="242">
        <f t="shared" si="3"/>
        <v>100000</v>
      </c>
      <c r="X37" s="242"/>
      <c r="Y37" s="241"/>
      <c r="Z37" s="242"/>
      <c r="AA37" s="242"/>
      <c r="AB37" s="242">
        <f t="shared" si="11"/>
        <v>0</v>
      </c>
      <c r="AC37" s="242"/>
      <c r="AD37" s="242"/>
      <c r="AE37" s="242">
        <f t="shared" si="12"/>
        <v>0</v>
      </c>
      <c r="AF37" s="242"/>
      <c r="AG37" s="242"/>
      <c r="AH37" s="242">
        <f t="shared" si="13"/>
        <v>0</v>
      </c>
      <c r="AI37" s="242">
        <v>210000</v>
      </c>
      <c r="AJ37" s="242"/>
      <c r="AK37" s="242">
        <f t="shared" si="14"/>
        <v>210000</v>
      </c>
      <c r="AL37" s="242"/>
      <c r="AM37" s="242"/>
      <c r="AN37" s="242">
        <f t="shared" si="15"/>
        <v>0</v>
      </c>
      <c r="AO37" s="242"/>
      <c r="AP37" s="242"/>
      <c r="AQ37" s="242">
        <f t="shared" si="16"/>
        <v>0</v>
      </c>
      <c r="AR37" s="242"/>
      <c r="AS37" s="242"/>
      <c r="AT37" s="242">
        <f t="shared" si="17"/>
        <v>0</v>
      </c>
      <c r="AU37" s="242"/>
      <c r="AV37" s="242"/>
      <c r="AW37" s="242">
        <f t="shared" si="18"/>
        <v>0</v>
      </c>
      <c r="AX37" s="242"/>
      <c r="AY37" s="242"/>
      <c r="AZ37" s="242">
        <f t="shared" si="19"/>
        <v>0</v>
      </c>
      <c r="BA37" s="242"/>
      <c r="BB37" s="242"/>
      <c r="BC37" s="242">
        <f t="shared" si="20"/>
        <v>0</v>
      </c>
      <c r="BD37" s="242"/>
      <c r="BE37" s="242"/>
      <c r="BF37" s="242">
        <f t="shared" si="21"/>
        <v>0</v>
      </c>
      <c r="BG37" s="242">
        <f t="shared" si="22"/>
        <v>210000</v>
      </c>
      <c r="BH37" s="242"/>
      <c r="BI37" s="242">
        <f t="shared" si="23"/>
        <v>210000</v>
      </c>
      <c r="BJ37" s="242">
        <f t="shared" si="24"/>
        <v>0</v>
      </c>
      <c r="BK37" s="242">
        <v>110000</v>
      </c>
      <c r="BL37" s="242">
        <f t="shared" si="25"/>
        <v>100000</v>
      </c>
      <c r="BM37" s="242"/>
      <c r="BN37" s="242"/>
      <c r="BO37" s="242">
        <f t="shared" si="26"/>
        <v>0</v>
      </c>
      <c r="BP37" s="242"/>
      <c r="BQ37" s="242"/>
      <c r="BR37" s="242">
        <f t="shared" si="27"/>
        <v>0</v>
      </c>
      <c r="BS37" s="242"/>
      <c r="BT37" s="241">
        <v>810000</v>
      </c>
    </row>
    <row r="38" spans="1:76" s="15" customFormat="1">
      <c r="A38" s="241">
        <f t="shared" si="4"/>
        <v>33</v>
      </c>
      <c r="B38" s="396">
        <v>1713</v>
      </c>
      <c r="C38" s="396" t="s">
        <v>887</v>
      </c>
      <c r="D38" s="242">
        <v>300000</v>
      </c>
      <c r="E38" s="242">
        <v>300000</v>
      </c>
      <c r="F38" s="242">
        <f t="shared" si="0"/>
        <v>0</v>
      </c>
      <c r="G38" s="242">
        <v>300000</v>
      </c>
      <c r="H38" s="242">
        <v>253550.3</v>
      </c>
      <c r="I38" s="242">
        <v>46449</v>
      </c>
      <c r="J38" s="242"/>
      <c r="K38" s="242">
        <f t="shared" si="28"/>
        <v>46449</v>
      </c>
      <c r="L38" s="242">
        <f t="shared" si="6"/>
        <v>299999.3</v>
      </c>
      <c r="M38" s="242">
        <f t="shared" si="7"/>
        <v>0.70000000001164153</v>
      </c>
      <c r="N38" s="242"/>
      <c r="O38" s="242">
        <f t="shared" si="8"/>
        <v>0</v>
      </c>
      <c r="P38" s="242">
        <f t="shared" si="9"/>
        <v>0.70000000001164153</v>
      </c>
      <c r="Q38" s="242"/>
      <c r="R38" s="242"/>
      <c r="S38" s="242">
        <f t="shared" si="29"/>
        <v>0</v>
      </c>
      <c r="T38" s="242">
        <f t="shared" si="10"/>
        <v>0</v>
      </c>
      <c r="U38" s="14">
        <f t="shared" si="2"/>
        <v>0</v>
      </c>
      <c r="V38" s="242"/>
      <c r="W38" s="242">
        <f t="shared" si="3"/>
        <v>0</v>
      </c>
      <c r="X38" s="242"/>
      <c r="Y38" s="241"/>
      <c r="Z38" s="242"/>
      <c r="AA38" s="242"/>
      <c r="AB38" s="242">
        <f t="shared" si="11"/>
        <v>0</v>
      </c>
      <c r="AC38" s="242"/>
      <c r="AD38" s="242"/>
      <c r="AE38" s="242">
        <f t="shared" si="12"/>
        <v>0</v>
      </c>
      <c r="AF38" s="242"/>
      <c r="AG38" s="242"/>
      <c r="AH38" s="242">
        <f t="shared" si="13"/>
        <v>0</v>
      </c>
      <c r="AI38" s="242"/>
      <c r="AJ38" s="242"/>
      <c r="AK38" s="242">
        <f t="shared" si="14"/>
        <v>0</v>
      </c>
      <c r="AL38" s="242"/>
      <c r="AM38" s="242"/>
      <c r="AN38" s="242">
        <f t="shared" si="15"/>
        <v>0</v>
      </c>
      <c r="AO38" s="242"/>
      <c r="AP38" s="242"/>
      <c r="AQ38" s="242">
        <f t="shared" si="16"/>
        <v>0</v>
      </c>
      <c r="AR38" s="242"/>
      <c r="AS38" s="242"/>
      <c r="AT38" s="242">
        <f t="shared" si="17"/>
        <v>0</v>
      </c>
      <c r="AU38" s="242"/>
      <c r="AV38" s="242"/>
      <c r="AW38" s="242">
        <f t="shared" si="18"/>
        <v>0</v>
      </c>
      <c r="AX38" s="242"/>
      <c r="AY38" s="242"/>
      <c r="AZ38" s="242">
        <f t="shared" si="19"/>
        <v>0</v>
      </c>
      <c r="BA38" s="242"/>
      <c r="BB38" s="242"/>
      <c r="BC38" s="242">
        <f t="shared" si="20"/>
        <v>0</v>
      </c>
      <c r="BD38" s="242"/>
      <c r="BE38" s="242"/>
      <c r="BF38" s="242">
        <f t="shared" si="21"/>
        <v>0</v>
      </c>
      <c r="BG38" s="242">
        <f t="shared" si="22"/>
        <v>0</v>
      </c>
      <c r="BH38" s="242"/>
      <c r="BI38" s="242">
        <f t="shared" si="23"/>
        <v>0</v>
      </c>
      <c r="BJ38" s="242">
        <f t="shared" si="24"/>
        <v>0</v>
      </c>
      <c r="BK38" s="242"/>
      <c r="BL38" s="242">
        <f t="shared" si="25"/>
        <v>0</v>
      </c>
      <c r="BM38" s="242"/>
      <c r="BN38" s="242"/>
      <c r="BO38" s="242">
        <f t="shared" si="26"/>
        <v>0</v>
      </c>
      <c r="BP38" s="242"/>
      <c r="BQ38" s="242"/>
      <c r="BR38" s="242">
        <f t="shared" si="27"/>
        <v>0</v>
      </c>
      <c r="BS38" s="242"/>
      <c r="BT38" s="241">
        <v>743000</v>
      </c>
      <c r="BX38" s="244"/>
    </row>
    <row r="39" spans="1:76" s="244" customFormat="1">
      <c r="A39" s="241">
        <f t="shared" si="4"/>
        <v>34</v>
      </c>
      <c r="B39" s="396">
        <v>1733</v>
      </c>
      <c r="C39" s="396" t="s">
        <v>888</v>
      </c>
      <c r="D39" s="242">
        <f>1255000-62000</f>
        <v>1193000</v>
      </c>
      <c r="E39" s="242">
        <v>1255000</v>
      </c>
      <c r="F39" s="242">
        <f t="shared" si="0"/>
        <v>-62000</v>
      </c>
      <c r="G39" s="242">
        <v>1255000</v>
      </c>
      <c r="H39" s="242">
        <v>1117321.78</v>
      </c>
      <c r="I39" s="242">
        <v>75128.47</v>
      </c>
      <c r="J39" s="242"/>
      <c r="K39" s="242">
        <f t="shared" si="28"/>
        <v>75128.47</v>
      </c>
      <c r="L39" s="242">
        <f t="shared" si="6"/>
        <v>1192450.25</v>
      </c>
      <c r="M39" s="242">
        <f>P39+S39-62000</f>
        <v>549.75</v>
      </c>
      <c r="N39" s="242"/>
      <c r="O39" s="242">
        <f t="shared" si="8"/>
        <v>0</v>
      </c>
      <c r="P39" s="242">
        <f t="shared" si="9"/>
        <v>62549.75</v>
      </c>
      <c r="Q39" s="242"/>
      <c r="R39" s="242"/>
      <c r="S39" s="242">
        <f t="shared" si="29"/>
        <v>0</v>
      </c>
      <c r="T39" s="242">
        <f t="shared" si="10"/>
        <v>62000</v>
      </c>
      <c r="U39" s="14">
        <f t="shared" si="2"/>
        <v>-62000</v>
      </c>
      <c r="V39" s="242"/>
      <c r="W39" s="242">
        <f t="shared" si="3"/>
        <v>-62000</v>
      </c>
      <c r="X39" s="242"/>
      <c r="Y39" s="241"/>
      <c r="Z39" s="242">
        <v>-62000</v>
      </c>
      <c r="AA39" s="242"/>
      <c r="AB39" s="242">
        <f t="shared" si="11"/>
        <v>-62000</v>
      </c>
      <c r="AC39" s="242"/>
      <c r="AD39" s="242"/>
      <c r="AE39" s="242">
        <f t="shared" si="12"/>
        <v>0</v>
      </c>
      <c r="AF39" s="242"/>
      <c r="AG39" s="242"/>
      <c r="AH39" s="242">
        <f t="shared" si="13"/>
        <v>0</v>
      </c>
      <c r="AI39" s="242">
        <v>0</v>
      </c>
      <c r="AJ39" s="242"/>
      <c r="AK39" s="242">
        <f t="shared" si="14"/>
        <v>0</v>
      </c>
      <c r="AL39" s="242"/>
      <c r="AM39" s="242"/>
      <c r="AN39" s="242">
        <f t="shared" si="15"/>
        <v>0</v>
      </c>
      <c r="AO39" s="242"/>
      <c r="AP39" s="242"/>
      <c r="AQ39" s="242">
        <f t="shared" si="16"/>
        <v>0</v>
      </c>
      <c r="AR39" s="242"/>
      <c r="AS39" s="242"/>
      <c r="AT39" s="242">
        <f t="shared" si="17"/>
        <v>0</v>
      </c>
      <c r="AU39" s="242"/>
      <c r="AV39" s="242"/>
      <c r="AW39" s="242">
        <f t="shared" si="18"/>
        <v>0</v>
      </c>
      <c r="AX39" s="242"/>
      <c r="AY39" s="242"/>
      <c r="AZ39" s="242">
        <f t="shared" si="19"/>
        <v>0</v>
      </c>
      <c r="BA39" s="242"/>
      <c r="BB39" s="242"/>
      <c r="BC39" s="242">
        <f t="shared" si="20"/>
        <v>0</v>
      </c>
      <c r="BD39" s="242"/>
      <c r="BE39" s="242"/>
      <c r="BF39" s="242">
        <f t="shared" si="21"/>
        <v>0</v>
      </c>
      <c r="BG39" s="242">
        <f t="shared" si="22"/>
        <v>-62000</v>
      </c>
      <c r="BH39" s="242"/>
      <c r="BI39" s="242">
        <f t="shared" si="23"/>
        <v>-62000</v>
      </c>
      <c r="BJ39" s="242">
        <f t="shared" si="24"/>
        <v>0</v>
      </c>
      <c r="BK39" s="242"/>
      <c r="BL39" s="242">
        <f t="shared" si="25"/>
        <v>-62000</v>
      </c>
      <c r="BM39" s="242"/>
      <c r="BN39" s="242"/>
      <c r="BO39" s="242">
        <f t="shared" si="26"/>
        <v>0</v>
      </c>
      <c r="BP39" s="242"/>
      <c r="BQ39" s="242"/>
      <c r="BR39" s="242">
        <f t="shared" si="27"/>
        <v>0</v>
      </c>
      <c r="BS39" s="242"/>
      <c r="BT39" s="241">
        <v>810000</v>
      </c>
    </row>
    <row r="40" spans="1:76" s="244" customFormat="1">
      <c r="A40" s="241">
        <f t="shared" si="4"/>
        <v>35</v>
      </c>
      <c r="B40" s="487">
        <v>1767</v>
      </c>
      <c r="C40" s="487" t="s">
        <v>347</v>
      </c>
      <c r="D40" s="488">
        <f>2300000-1000000</f>
        <v>1300000</v>
      </c>
      <c r="E40" s="488">
        <v>1300000</v>
      </c>
      <c r="F40" s="242">
        <f t="shared" si="0"/>
        <v>0</v>
      </c>
      <c r="G40" s="488">
        <f>300000+200000</f>
        <v>500000</v>
      </c>
      <c r="H40" s="488">
        <v>276723</v>
      </c>
      <c r="I40" s="488">
        <v>149860</v>
      </c>
      <c r="J40" s="488"/>
      <c r="K40" s="488">
        <f t="shared" si="28"/>
        <v>149860</v>
      </c>
      <c r="L40" s="488">
        <f t="shared" si="6"/>
        <v>426583</v>
      </c>
      <c r="M40" s="488">
        <f>P40+S40</f>
        <v>873417</v>
      </c>
      <c r="N40" s="488"/>
      <c r="O40" s="488">
        <f t="shared" si="8"/>
        <v>0</v>
      </c>
      <c r="P40" s="488">
        <f t="shared" si="9"/>
        <v>73417</v>
      </c>
      <c r="Q40" s="242"/>
      <c r="R40" s="483">
        <f>1000000-200000</f>
        <v>800000</v>
      </c>
      <c r="S40" s="242">
        <f t="shared" si="29"/>
        <v>800000</v>
      </c>
      <c r="T40" s="488">
        <f t="shared" si="10"/>
        <v>0</v>
      </c>
      <c r="U40" s="14">
        <f t="shared" si="2"/>
        <v>0</v>
      </c>
      <c r="V40" s="488"/>
      <c r="W40" s="242">
        <f t="shared" si="3"/>
        <v>0</v>
      </c>
      <c r="X40" s="488"/>
      <c r="Y40" s="487"/>
      <c r="Z40" s="242"/>
      <c r="AA40" s="242"/>
      <c r="AB40" s="242">
        <f t="shared" si="11"/>
        <v>0</v>
      </c>
      <c r="AC40" s="242"/>
      <c r="AD40" s="242"/>
      <c r="AE40" s="242">
        <f t="shared" si="12"/>
        <v>0</v>
      </c>
      <c r="AF40" s="242"/>
      <c r="AG40" s="242"/>
      <c r="AH40" s="242">
        <f t="shared" si="13"/>
        <v>0</v>
      </c>
      <c r="AI40" s="242"/>
      <c r="AJ40" s="242"/>
      <c r="AK40" s="242">
        <f t="shared" si="14"/>
        <v>0</v>
      </c>
      <c r="AL40" s="242"/>
      <c r="AM40" s="242"/>
      <c r="AN40" s="242">
        <f t="shared" si="15"/>
        <v>0</v>
      </c>
      <c r="AO40" s="242"/>
      <c r="AP40" s="242"/>
      <c r="AQ40" s="242">
        <f t="shared" si="16"/>
        <v>0</v>
      </c>
      <c r="AR40" s="242"/>
      <c r="AS40" s="242"/>
      <c r="AT40" s="242">
        <f t="shared" si="17"/>
        <v>0</v>
      </c>
      <c r="AU40" s="242"/>
      <c r="AV40" s="242"/>
      <c r="AW40" s="242">
        <f t="shared" si="18"/>
        <v>0</v>
      </c>
      <c r="AX40" s="242"/>
      <c r="AY40" s="242"/>
      <c r="AZ40" s="242">
        <f t="shared" si="19"/>
        <v>0</v>
      </c>
      <c r="BA40" s="242"/>
      <c r="BB40" s="242"/>
      <c r="BC40" s="242">
        <f t="shared" si="20"/>
        <v>0</v>
      </c>
      <c r="BD40" s="242"/>
      <c r="BE40" s="242"/>
      <c r="BF40" s="242">
        <f t="shared" si="21"/>
        <v>0</v>
      </c>
      <c r="BG40" s="242">
        <f t="shared" si="22"/>
        <v>0</v>
      </c>
      <c r="BH40" s="242"/>
      <c r="BI40" s="242">
        <f t="shared" si="23"/>
        <v>0</v>
      </c>
      <c r="BJ40" s="242">
        <f t="shared" si="24"/>
        <v>0</v>
      </c>
      <c r="BK40" s="242"/>
      <c r="BL40" s="242">
        <f t="shared" si="25"/>
        <v>0</v>
      </c>
      <c r="BM40" s="242"/>
      <c r="BN40" s="242"/>
      <c r="BO40" s="242">
        <f t="shared" si="26"/>
        <v>0</v>
      </c>
      <c r="BP40" s="242"/>
      <c r="BQ40" s="242"/>
      <c r="BR40" s="242">
        <f t="shared" si="27"/>
        <v>0</v>
      </c>
      <c r="BS40" s="242"/>
      <c r="BT40" s="487">
        <v>810000</v>
      </c>
    </row>
    <row r="41" spans="1:76" s="244" customFormat="1">
      <c r="A41" s="241">
        <f t="shared" si="4"/>
        <v>36</v>
      </c>
      <c r="B41" s="396">
        <v>1768</v>
      </c>
      <c r="C41" s="396" t="s">
        <v>889</v>
      </c>
      <c r="D41" s="242">
        <v>1430000</v>
      </c>
      <c r="E41" s="242">
        <v>1430000</v>
      </c>
      <c r="F41" s="242">
        <f t="shared" si="0"/>
        <v>0</v>
      </c>
      <c r="G41" s="242">
        <v>1430000</v>
      </c>
      <c r="H41" s="242">
        <v>664504.73</v>
      </c>
      <c r="I41" s="242">
        <v>1638</v>
      </c>
      <c r="J41" s="242">
        <v>437195.78</v>
      </c>
      <c r="K41" s="242">
        <f t="shared" si="28"/>
        <v>438833.78</v>
      </c>
      <c r="L41" s="242">
        <f t="shared" si="6"/>
        <v>1103338.51</v>
      </c>
      <c r="M41" s="242">
        <f t="shared" si="7"/>
        <v>326661.49</v>
      </c>
      <c r="N41" s="242"/>
      <c r="O41" s="242">
        <f t="shared" si="8"/>
        <v>0</v>
      </c>
      <c r="P41" s="242">
        <f t="shared" si="9"/>
        <v>326661.49</v>
      </c>
      <c r="Q41" s="242"/>
      <c r="R41" s="242"/>
      <c r="S41" s="242">
        <f t="shared" si="29"/>
        <v>0</v>
      </c>
      <c r="T41" s="242">
        <f t="shared" si="10"/>
        <v>0</v>
      </c>
      <c r="U41" s="14">
        <f t="shared" si="2"/>
        <v>0</v>
      </c>
      <c r="V41" s="242"/>
      <c r="W41" s="242">
        <f t="shared" si="3"/>
        <v>0</v>
      </c>
      <c r="X41" s="242"/>
      <c r="Y41" s="241"/>
      <c r="Z41" s="242"/>
      <c r="AA41" s="242"/>
      <c r="AB41" s="242">
        <f t="shared" si="11"/>
        <v>0</v>
      </c>
      <c r="AC41" s="242"/>
      <c r="AD41" s="242"/>
      <c r="AE41" s="242">
        <f t="shared" si="12"/>
        <v>0</v>
      </c>
      <c r="AF41" s="242"/>
      <c r="AG41" s="242"/>
      <c r="AH41" s="242">
        <f t="shared" si="13"/>
        <v>0</v>
      </c>
      <c r="AI41" s="242"/>
      <c r="AJ41" s="242"/>
      <c r="AK41" s="242">
        <f t="shared" si="14"/>
        <v>0</v>
      </c>
      <c r="AL41" s="242"/>
      <c r="AM41" s="242"/>
      <c r="AN41" s="242">
        <f t="shared" si="15"/>
        <v>0</v>
      </c>
      <c r="AO41" s="242"/>
      <c r="AP41" s="242"/>
      <c r="AQ41" s="242">
        <f t="shared" si="16"/>
        <v>0</v>
      </c>
      <c r="AR41" s="242"/>
      <c r="AS41" s="242"/>
      <c r="AT41" s="242">
        <f t="shared" si="17"/>
        <v>0</v>
      </c>
      <c r="AU41" s="242"/>
      <c r="AV41" s="242"/>
      <c r="AW41" s="242">
        <f t="shared" si="18"/>
        <v>0</v>
      </c>
      <c r="AX41" s="242"/>
      <c r="AY41" s="242"/>
      <c r="AZ41" s="242">
        <f t="shared" si="19"/>
        <v>0</v>
      </c>
      <c r="BA41" s="242"/>
      <c r="BB41" s="242"/>
      <c r="BC41" s="242">
        <f t="shared" si="20"/>
        <v>0</v>
      </c>
      <c r="BD41" s="242"/>
      <c r="BE41" s="242"/>
      <c r="BF41" s="242">
        <f t="shared" si="21"/>
        <v>0</v>
      </c>
      <c r="BG41" s="242">
        <f t="shared" si="22"/>
        <v>0</v>
      </c>
      <c r="BH41" s="242"/>
      <c r="BI41" s="242">
        <f t="shared" si="23"/>
        <v>0</v>
      </c>
      <c r="BJ41" s="242">
        <f t="shared" si="24"/>
        <v>0</v>
      </c>
      <c r="BK41" s="242"/>
      <c r="BL41" s="242">
        <f t="shared" si="25"/>
        <v>0</v>
      </c>
      <c r="BM41" s="242"/>
      <c r="BN41" s="242"/>
      <c r="BO41" s="242">
        <f t="shared" si="26"/>
        <v>0</v>
      </c>
      <c r="BP41" s="242"/>
      <c r="BQ41" s="242"/>
      <c r="BR41" s="242">
        <f t="shared" si="27"/>
        <v>0</v>
      </c>
      <c r="BS41" s="242"/>
      <c r="BT41" s="241">
        <v>810000</v>
      </c>
    </row>
    <row r="42" spans="1:76" s="244" customFormat="1">
      <c r="A42" s="241">
        <f t="shared" si="4"/>
        <v>37</v>
      </c>
      <c r="B42" s="241">
        <v>1769</v>
      </c>
      <c r="C42" s="241" t="s">
        <v>105</v>
      </c>
      <c r="D42" s="242">
        <f>5000000-130000</f>
        <v>4870000</v>
      </c>
      <c r="E42" s="242">
        <v>5000000</v>
      </c>
      <c r="F42" s="242">
        <f t="shared" si="0"/>
        <v>-130000</v>
      </c>
      <c r="G42" s="242">
        <v>5000000</v>
      </c>
      <c r="H42" s="242">
        <v>4590469.59</v>
      </c>
      <c r="I42" s="242">
        <v>9440.49</v>
      </c>
      <c r="J42" s="242">
        <v>263287.28999999998</v>
      </c>
      <c r="K42" s="242">
        <f t="shared" si="28"/>
        <v>272727.77999999997</v>
      </c>
      <c r="L42" s="242">
        <f t="shared" si="6"/>
        <v>4863197.37</v>
      </c>
      <c r="M42" s="242">
        <f>P42+S42-130000</f>
        <v>6802.6299999998882</v>
      </c>
      <c r="N42" s="242"/>
      <c r="O42" s="242">
        <f t="shared" si="8"/>
        <v>0</v>
      </c>
      <c r="P42" s="242">
        <f t="shared" si="9"/>
        <v>136802.62999999989</v>
      </c>
      <c r="Q42" s="242"/>
      <c r="R42" s="242"/>
      <c r="S42" s="242">
        <f t="shared" si="29"/>
        <v>0</v>
      </c>
      <c r="T42" s="242">
        <f t="shared" si="10"/>
        <v>130000</v>
      </c>
      <c r="U42" s="14">
        <f t="shared" si="2"/>
        <v>-130000</v>
      </c>
      <c r="V42" s="242"/>
      <c r="W42" s="242">
        <f t="shared" si="3"/>
        <v>-130000</v>
      </c>
      <c r="X42" s="242"/>
      <c r="Y42" s="241"/>
      <c r="Z42" s="242">
        <v>-130000</v>
      </c>
      <c r="AA42" s="242"/>
      <c r="AB42" s="242">
        <f t="shared" si="11"/>
        <v>-130000</v>
      </c>
      <c r="AC42" s="242"/>
      <c r="AD42" s="242"/>
      <c r="AE42" s="242">
        <f t="shared" si="12"/>
        <v>0</v>
      </c>
      <c r="AF42" s="242"/>
      <c r="AG42" s="242"/>
      <c r="AH42" s="242">
        <f t="shared" si="13"/>
        <v>0</v>
      </c>
      <c r="AI42" s="242"/>
      <c r="AJ42" s="242"/>
      <c r="AK42" s="242">
        <f t="shared" si="14"/>
        <v>0</v>
      </c>
      <c r="AL42" s="242"/>
      <c r="AM42" s="242"/>
      <c r="AN42" s="242">
        <f t="shared" si="15"/>
        <v>0</v>
      </c>
      <c r="AO42" s="242"/>
      <c r="AP42" s="242"/>
      <c r="AQ42" s="242">
        <f t="shared" si="16"/>
        <v>0</v>
      </c>
      <c r="AR42" s="242"/>
      <c r="AS42" s="242"/>
      <c r="AT42" s="242">
        <f t="shared" si="17"/>
        <v>0</v>
      </c>
      <c r="AU42" s="242"/>
      <c r="AV42" s="242"/>
      <c r="AW42" s="242">
        <f t="shared" si="18"/>
        <v>0</v>
      </c>
      <c r="AX42" s="242"/>
      <c r="AY42" s="242"/>
      <c r="AZ42" s="242">
        <f t="shared" si="19"/>
        <v>0</v>
      </c>
      <c r="BA42" s="242"/>
      <c r="BB42" s="242"/>
      <c r="BC42" s="242">
        <f t="shared" si="20"/>
        <v>0</v>
      </c>
      <c r="BD42" s="242"/>
      <c r="BE42" s="242"/>
      <c r="BF42" s="242">
        <f t="shared" si="21"/>
        <v>0</v>
      </c>
      <c r="BG42" s="242">
        <f t="shared" si="22"/>
        <v>-130000</v>
      </c>
      <c r="BH42" s="242"/>
      <c r="BI42" s="242">
        <f t="shared" si="23"/>
        <v>-130000</v>
      </c>
      <c r="BJ42" s="242">
        <f t="shared" si="24"/>
        <v>0</v>
      </c>
      <c r="BK42" s="242"/>
      <c r="BL42" s="242">
        <f t="shared" si="25"/>
        <v>-130000</v>
      </c>
      <c r="BM42" s="242"/>
      <c r="BN42" s="242"/>
      <c r="BO42" s="242">
        <f t="shared" si="26"/>
        <v>0</v>
      </c>
      <c r="BP42" s="242"/>
      <c r="BQ42" s="242"/>
      <c r="BR42" s="242">
        <f t="shared" si="27"/>
        <v>0</v>
      </c>
      <c r="BS42" s="242"/>
      <c r="BT42" s="241">
        <v>810000</v>
      </c>
    </row>
    <row r="43" spans="1:76" s="244" customFormat="1">
      <c r="A43" s="241">
        <f t="shared" si="4"/>
        <v>38</v>
      </c>
      <c r="B43" s="487">
        <v>1770</v>
      </c>
      <c r="C43" s="487" t="s">
        <v>355</v>
      </c>
      <c r="D43" s="488">
        <v>29520000</v>
      </c>
      <c r="E43" s="488">
        <v>29520000</v>
      </c>
      <c r="F43" s="488">
        <f t="shared" si="0"/>
        <v>0</v>
      </c>
      <c r="G43" s="488">
        <f>25158580+770000+1301420</f>
        <v>27230000</v>
      </c>
      <c r="H43" s="488">
        <v>13791020</v>
      </c>
      <c r="I43" s="488">
        <v>1104693</v>
      </c>
      <c r="J43" s="488">
        <v>10745214</v>
      </c>
      <c r="K43" s="488">
        <f t="shared" si="28"/>
        <v>11849907</v>
      </c>
      <c r="L43" s="488">
        <f>H43+K43</f>
        <v>25640927</v>
      </c>
      <c r="M43" s="488">
        <f t="shared" si="7"/>
        <v>3879073</v>
      </c>
      <c r="N43" s="488"/>
      <c r="O43" s="488">
        <f t="shared" si="8"/>
        <v>0</v>
      </c>
      <c r="P43" s="488">
        <f t="shared" si="9"/>
        <v>1589073</v>
      </c>
      <c r="Q43" s="242"/>
      <c r="R43" s="242">
        <v>2290000</v>
      </c>
      <c r="S43" s="488">
        <f t="shared" si="29"/>
        <v>2290000</v>
      </c>
      <c r="T43" s="488">
        <f t="shared" si="10"/>
        <v>0</v>
      </c>
      <c r="U43" s="14">
        <f t="shared" si="2"/>
        <v>0</v>
      </c>
      <c r="V43" s="488"/>
      <c r="W43" s="242">
        <f t="shared" si="3"/>
        <v>0</v>
      </c>
      <c r="X43" s="488"/>
      <c r="Y43" s="487"/>
      <c r="Z43" s="242"/>
      <c r="AA43" s="242"/>
      <c r="AB43" s="242">
        <f t="shared" si="11"/>
        <v>0</v>
      </c>
      <c r="AC43" s="242"/>
      <c r="AD43" s="242"/>
      <c r="AE43" s="242">
        <f t="shared" si="12"/>
        <v>0</v>
      </c>
      <c r="AF43" s="242"/>
      <c r="AG43" s="242"/>
      <c r="AH43" s="242">
        <f t="shared" si="13"/>
        <v>0</v>
      </c>
      <c r="AI43" s="242"/>
      <c r="AJ43" s="242"/>
      <c r="AK43" s="242">
        <f t="shared" si="14"/>
        <v>0</v>
      </c>
      <c r="AL43" s="242"/>
      <c r="AM43" s="242"/>
      <c r="AN43" s="242">
        <f t="shared" si="15"/>
        <v>0</v>
      </c>
      <c r="AO43" s="242"/>
      <c r="AP43" s="242"/>
      <c r="AQ43" s="242">
        <f t="shared" si="16"/>
        <v>0</v>
      </c>
      <c r="AR43" s="242"/>
      <c r="AS43" s="242"/>
      <c r="AT43" s="242">
        <f t="shared" si="17"/>
        <v>0</v>
      </c>
      <c r="AU43" s="242"/>
      <c r="AV43" s="242"/>
      <c r="AW43" s="242">
        <f t="shared" si="18"/>
        <v>0</v>
      </c>
      <c r="AX43" s="242"/>
      <c r="AY43" s="242"/>
      <c r="AZ43" s="242">
        <f t="shared" si="19"/>
        <v>0</v>
      </c>
      <c r="BA43" s="242"/>
      <c r="BB43" s="242"/>
      <c r="BC43" s="242">
        <f t="shared" si="20"/>
        <v>0</v>
      </c>
      <c r="BD43" s="242"/>
      <c r="BE43" s="242"/>
      <c r="BF43" s="242">
        <f t="shared" si="21"/>
        <v>0</v>
      </c>
      <c r="BG43" s="242">
        <f t="shared" si="22"/>
        <v>0</v>
      </c>
      <c r="BH43" s="242"/>
      <c r="BI43" s="242">
        <f t="shared" si="23"/>
        <v>0</v>
      </c>
      <c r="BJ43" s="242">
        <f t="shared" si="24"/>
        <v>0</v>
      </c>
      <c r="BK43" s="242"/>
      <c r="BL43" s="242">
        <f t="shared" si="25"/>
        <v>0</v>
      </c>
      <c r="BM43" s="242"/>
      <c r="BN43" s="242"/>
      <c r="BO43" s="242">
        <f t="shared" si="26"/>
        <v>0</v>
      </c>
      <c r="BP43" s="242"/>
      <c r="BQ43" s="242"/>
      <c r="BR43" s="242">
        <f t="shared" si="27"/>
        <v>0</v>
      </c>
      <c r="BS43" s="242"/>
      <c r="BT43" s="487">
        <v>810000</v>
      </c>
    </row>
    <row r="44" spans="1:76" s="244" customFormat="1">
      <c r="A44" s="241">
        <f t="shared" si="4"/>
        <v>39</v>
      </c>
      <c r="B44" s="396">
        <v>1771</v>
      </c>
      <c r="C44" s="396" t="s">
        <v>890</v>
      </c>
      <c r="D44" s="242">
        <f>3500000-230000</f>
        <v>3270000</v>
      </c>
      <c r="E44" s="242">
        <v>3500000</v>
      </c>
      <c r="F44" s="242">
        <f t="shared" si="0"/>
        <v>-230000</v>
      </c>
      <c r="G44" s="242">
        <v>3500000</v>
      </c>
      <c r="H44" s="242">
        <v>3256302.82</v>
      </c>
      <c r="I44" s="242">
        <v>11800</v>
      </c>
      <c r="J44" s="242"/>
      <c r="K44" s="242">
        <f t="shared" si="28"/>
        <v>11800</v>
      </c>
      <c r="L44" s="242">
        <f t="shared" si="6"/>
        <v>3268102.82</v>
      </c>
      <c r="M44" s="242">
        <f>P44+S44-230000</f>
        <v>1897.1800000001676</v>
      </c>
      <c r="N44" s="242"/>
      <c r="O44" s="242">
        <f t="shared" si="8"/>
        <v>0</v>
      </c>
      <c r="P44" s="242">
        <f t="shared" si="9"/>
        <v>231897.18000000017</v>
      </c>
      <c r="Q44" s="242"/>
      <c r="R44" s="242"/>
      <c r="S44" s="242">
        <f t="shared" si="29"/>
        <v>0</v>
      </c>
      <c r="T44" s="242">
        <f t="shared" si="10"/>
        <v>230000</v>
      </c>
      <c r="U44" s="14">
        <f t="shared" si="2"/>
        <v>-230000</v>
      </c>
      <c r="V44" s="242"/>
      <c r="W44" s="242">
        <f t="shared" si="3"/>
        <v>-230000</v>
      </c>
      <c r="X44" s="242"/>
      <c r="Y44" s="241"/>
      <c r="Z44" s="242">
        <v>-155000</v>
      </c>
      <c r="AA44" s="242">
        <v>-75000</v>
      </c>
      <c r="AB44" s="242">
        <f t="shared" si="11"/>
        <v>-230000</v>
      </c>
      <c r="AC44" s="242"/>
      <c r="AD44" s="242"/>
      <c r="AE44" s="242">
        <f t="shared" si="12"/>
        <v>0</v>
      </c>
      <c r="AF44" s="242"/>
      <c r="AG44" s="242"/>
      <c r="AH44" s="242">
        <f t="shared" si="13"/>
        <v>0</v>
      </c>
      <c r="AI44" s="242"/>
      <c r="AJ44" s="242"/>
      <c r="AK44" s="242">
        <f t="shared" si="14"/>
        <v>0</v>
      </c>
      <c r="AL44" s="242"/>
      <c r="AM44" s="242"/>
      <c r="AN44" s="242">
        <f t="shared" si="15"/>
        <v>0</v>
      </c>
      <c r="AO44" s="242"/>
      <c r="AP44" s="242"/>
      <c r="AQ44" s="242">
        <f t="shared" si="16"/>
        <v>0</v>
      </c>
      <c r="AR44" s="242"/>
      <c r="AS44" s="242"/>
      <c r="AT44" s="242">
        <f t="shared" si="17"/>
        <v>0</v>
      </c>
      <c r="AU44" s="242"/>
      <c r="AV44" s="242"/>
      <c r="AW44" s="242">
        <f t="shared" si="18"/>
        <v>0</v>
      </c>
      <c r="AX44" s="242"/>
      <c r="AY44" s="242"/>
      <c r="AZ44" s="242">
        <f t="shared" si="19"/>
        <v>0</v>
      </c>
      <c r="BA44" s="242"/>
      <c r="BB44" s="242"/>
      <c r="BC44" s="242">
        <f t="shared" si="20"/>
        <v>0</v>
      </c>
      <c r="BD44" s="242"/>
      <c r="BE44" s="242"/>
      <c r="BF44" s="242">
        <f t="shared" si="21"/>
        <v>0</v>
      </c>
      <c r="BG44" s="242">
        <f t="shared" si="22"/>
        <v>-230000</v>
      </c>
      <c r="BH44" s="242"/>
      <c r="BI44" s="242">
        <f t="shared" si="23"/>
        <v>-230000</v>
      </c>
      <c r="BJ44" s="242">
        <f t="shared" si="24"/>
        <v>0</v>
      </c>
      <c r="BK44" s="242"/>
      <c r="BL44" s="242">
        <f t="shared" si="25"/>
        <v>-230000</v>
      </c>
      <c r="BM44" s="242"/>
      <c r="BN44" s="242"/>
      <c r="BO44" s="242">
        <f t="shared" si="26"/>
        <v>0</v>
      </c>
      <c r="BP44" s="242"/>
      <c r="BQ44" s="242"/>
      <c r="BR44" s="242">
        <f t="shared" si="27"/>
        <v>0</v>
      </c>
      <c r="BS44" s="242"/>
      <c r="BT44" s="241">
        <v>810000</v>
      </c>
    </row>
    <row r="45" spans="1:76" s="244" customFormat="1">
      <c r="A45" s="241">
        <f t="shared" si="4"/>
        <v>40</v>
      </c>
      <c r="B45" s="13">
        <v>1773</v>
      </c>
      <c r="C45" s="13" t="s">
        <v>222</v>
      </c>
      <c r="D45" s="14">
        <v>1000000</v>
      </c>
      <c r="E45" s="242">
        <v>1000000</v>
      </c>
      <c r="F45" s="242">
        <f t="shared" si="0"/>
        <v>0</v>
      </c>
      <c r="G45" s="242">
        <v>500000</v>
      </c>
      <c r="H45" s="242">
        <v>0</v>
      </c>
      <c r="I45" s="242"/>
      <c r="J45" s="242"/>
      <c r="K45" s="242">
        <f t="shared" si="28"/>
        <v>0</v>
      </c>
      <c r="L45" s="242">
        <f t="shared" si="6"/>
        <v>0</v>
      </c>
      <c r="M45" s="242">
        <f t="shared" si="7"/>
        <v>500000</v>
      </c>
      <c r="N45" s="242"/>
      <c r="O45" s="242">
        <f t="shared" si="8"/>
        <v>500000</v>
      </c>
      <c r="P45" s="242">
        <f t="shared" si="9"/>
        <v>500000</v>
      </c>
      <c r="Q45" s="242"/>
      <c r="R45" s="242"/>
      <c r="S45" s="242">
        <f t="shared" si="29"/>
        <v>0</v>
      </c>
      <c r="T45" s="242">
        <f t="shared" si="10"/>
        <v>0</v>
      </c>
      <c r="U45" s="14">
        <f t="shared" si="2"/>
        <v>0</v>
      </c>
      <c r="V45" s="242"/>
      <c r="W45" s="242">
        <f t="shared" si="3"/>
        <v>0</v>
      </c>
      <c r="X45" s="242"/>
      <c r="Y45" s="241"/>
      <c r="Z45" s="242"/>
      <c r="AA45" s="242"/>
      <c r="AB45" s="242">
        <f t="shared" si="11"/>
        <v>0</v>
      </c>
      <c r="AC45" s="242"/>
      <c r="AD45" s="242"/>
      <c r="AE45" s="242">
        <f t="shared" si="12"/>
        <v>0</v>
      </c>
      <c r="AF45" s="242"/>
      <c r="AG45" s="242"/>
      <c r="AH45" s="242">
        <f t="shared" si="13"/>
        <v>0</v>
      </c>
      <c r="AI45" s="242"/>
      <c r="AJ45" s="242"/>
      <c r="AK45" s="242">
        <f t="shared" si="14"/>
        <v>0</v>
      </c>
      <c r="AL45" s="242"/>
      <c r="AM45" s="242"/>
      <c r="AN45" s="242">
        <f t="shared" si="15"/>
        <v>0</v>
      </c>
      <c r="AO45" s="242"/>
      <c r="AP45" s="242"/>
      <c r="AQ45" s="242">
        <f t="shared" si="16"/>
        <v>0</v>
      </c>
      <c r="AR45" s="242"/>
      <c r="AS45" s="242"/>
      <c r="AT45" s="242">
        <f t="shared" si="17"/>
        <v>0</v>
      </c>
      <c r="AU45" s="242"/>
      <c r="AV45" s="242"/>
      <c r="AW45" s="242">
        <f t="shared" si="18"/>
        <v>0</v>
      </c>
      <c r="AX45" s="242"/>
      <c r="AY45" s="242"/>
      <c r="AZ45" s="242">
        <f t="shared" si="19"/>
        <v>0</v>
      </c>
      <c r="BA45" s="242"/>
      <c r="BB45" s="242"/>
      <c r="BC45" s="242">
        <f t="shared" si="20"/>
        <v>0</v>
      </c>
      <c r="BD45" s="242"/>
      <c r="BE45" s="242"/>
      <c r="BF45" s="242">
        <f t="shared" si="21"/>
        <v>0</v>
      </c>
      <c r="BG45" s="242">
        <f t="shared" si="22"/>
        <v>0</v>
      </c>
      <c r="BH45" s="242"/>
      <c r="BI45" s="242">
        <f t="shared" si="23"/>
        <v>0</v>
      </c>
      <c r="BJ45" s="242">
        <f t="shared" si="24"/>
        <v>0</v>
      </c>
      <c r="BK45" s="242"/>
      <c r="BL45" s="242">
        <f t="shared" si="25"/>
        <v>0</v>
      </c>
      <c r="BM45" s="242"/>
      <c r="BN45" s="242"/>
      <c r="BO45" s="242">
        <f t="shared" si="26"/>
        <v>0</v>
      </c>
      <c r="BP45" s="242"/>
      <c r="BQ45" s="242"/>
      <c r="BR45" s="242">
        <f t="shared" si="27"/>
        <v>0</v>
      </c>
      <c r="BS45" s="242"/>
      <c r="BT45" s="241">
        <v>746000</v>
      </c>
    </row>
    <row r="46" spans="1:76" s="244" customFormat="1">
      <c r="A46" s="241">
        <f t="shared" si="4"/>
        <v>41</v>
      </c>
      <c r="B46" s="241">
        <v>1794</v>
      </c>
      <c r="C46" s="241" t="s">
        <v>242</v>
      </c>
      <c r="D46" s="242">
        <v>380000</v>
      </c>
      <c r="E46" s="242">
        <v>380000</v>
      </c>
      <c r="F46" s="242">
        <f t="shared" si="0"/>
        <v>0</v>
      </c>
      <c r="G46" s="242">
        <v>380000</v>
      </c>
      <c r="H46" s="242">
        <v>0</v>
      </c>
      <c r="I46" s="242">
        <v>379940.62</v>
      </c>
      <c r="J46" s="242"/>
      <c r="K46" s="242">
        <f t="shared" si="28"/>
        <v>379940.62</v>
      </c>
      <c r="L46" s="242">
        <f t="shared" si="6"/>
        <v>379940.62</v>
      </c>
      <c r="M46" s="242">
        <f t="shared" si="7"/>
        <v>59.380000000004657</v>
      </c>
      <c r="N46" s="242"/>
      <c r="O46" s="242">
        <f t="shared" si="8"/>
        <v>0</v>
      </c>
      <c r="P46" s="242">
        <f t="shared" si="9"/>
        <v>59.380000000004657</v>
      </c>
      <c r="Q46" s="242"/>
      <c r="R46" s="242"/>
      <c r="S46" s="242">
        <f t="shared" si="29"/>
        <v>0</v>
      </c>
      <c r="T46" s="242">
        <f t="shared" si="10"/>
        <v>0</v>
      </c>
      <c r="U46" s="14">
        <f t="shared" si="2"/>
        <v>0</v>
      </c>
      <c r="V46" s="242"/>
      <c r="W46" s="242">
        <f t="shared" si="3"/>
        <v>0</v>
      </c>
      <c r="X46" s="242"/>
      <c r="Y46" s="241"/>
      <c r="Z46" s="242"/>
      <c r="AA46" s="242"/>
      <c r="AB46" s="242">
        <f t="shared" si="11"/>
        <v>0</v>
      </c>
      <c r="AC46" s="242"/>
      <c r="AD46" s="242"/>
      <c r="AE46" s="242">
        <f t="shared" si="12"/>
        <v>0</v>
      </c>
      <c r="AF46" s="242"/>
      <c r="AG46" s="242"/>
      <c r="AH46" s="242">
        <f t="shared" si="13"/>
        <v>0</v>
      </c>
      <c r="AI46" s="242"/>
      <c r="AJ46" s="242"/>
      <c r="AK46" s="242">
        <f t="shared" si="14"/>
        <v>0</v>
      </c>
      <c r="AL46" s="242"/>
      <c r="AM46" s="242"/>
      <c r="AN46" s="242">
        <f t="shared" si="15"/>
        <v>0</v>
      </c>
      <c r="AO46" s="242"/>
      <c r="AP46" s="242"/>
      <c r="AQ46" s="242">
        <f t="shared" si="16"/>
        <v>0</v>
      </c>
      <c r="AR46" s="242"/>
      <c r="AS46" s="242"/>
      <c r="AT46" s="242">
        <f t="shared" si="17"/>
        <v>0</v>
      </c>
      <c r="AU46" s="242"/>
      <c r="AV46" s="242"/>
      <c r="AW46" s="242">
        <f t="shared" si="18"/>
        <v>0</v>
      </c>
      <c r="AX46" s="242"/>
      <c r="AY46" s="242"/>
      <c r="AZ46" s="242">
        <f t="shared" si="19"/>
        <v>0</v>
      </c>
      <c r="BA46" s="242"/>
      <c r="BB46" s="242"/>
      <c r="BC46" s="242">
        <f t="shared" si="20"/>
        <v>0</v>
      </c>
      <c r="BD46" s="242"/>
      <c r="BE46" s="242"/>
      <c r="BF46" s="242">
        <f t="shared" si="21"/>
        <v>0</v>
      </c>
      <c r="BG46" s="242">
        <f t="shared" si="22"/>
        <v>0</v>
      </c>
      <c r="BH46" s="242"/>
      <c r="BI46" s="242">
        <f t="shared" si="23"/>
        <v>0</v>
      </c>
      <c r="BJ46" s="242">
        <f t="shared" si="24"/>
        <v>0</v>
      </c>
      <c r="BK46" s="242"/>
      <c r="BL46" s="242">
        <f t="shared" si="25"/>
        <v>0</v>
      </c>
      <c r="BM46" s="242"/>
      <c r="BN46" s="242"/>
      <c r="BO46" s="242">
        <f t="shared" si="26"/>
        <v>0</v>
      </c>
      <c r="BP46" s="242"/>
      <c r="BQ46" s="242"/>
      <c r="BR46" s="242">
        <f t="shared" si="27"/>
        <v>0</v>
      </c>
      <c r="BS46" s="242"/>
      <c r="BT46" s="241">
        <v>850000</v>
      </c>
    </row>
    <row r="47" spans="1:76" s="244" customFormat="1">
      <c r="A47" s="241">
        <f t="shared" si="4"/>
        <v>42</v>
      </c>
      <c r="B47" s="241">
        <v>1795</v>
      </c>
      <c r="C47" s="241" t="s">
        <v>243</v>
      </c>
      <c r="D47" s="242">
        <v>1268000</v>
      </c>
      <c r="E47" s="242">
        <v>1268000</v>
      </c>
      <c r="F47" s="242">
        <f t="shared" si="0"/>
        <v>0</v>
      </c>
      <c r="G47" s="242">
        <v>1268000</v>
      </c>
      <c r="H47" s="242">
        <v>1114076</v>
      </c>
      <c r="I47" s="242">
        <v>123786</v>
      </c>
      <c r="J47" s="242">
        <v>28950</v>
      </c>
      <c r="K47" s="242">
        <f t="shared" si="28"/>
        <v>152736</v>
      </c>
      <c r="L47" s="242">
        <f t="shared" si="6"/>
        <v>1266812</v>
      </c>
      <c r="M47" s="242">
        <f>P47+S47+S47</f>
        <v>1188</v>
      </c>
      <c r="N47" s="242"/>
      <c r="O47" s="242">
        <f t="shared" si="8"/>
        <v>0</v>
      </c>
      <c r="P47" s="242">
        <f t="shared" si="9"/>
        <v>1188</v>
      </c>
      <c r="Q47" s="242"/>
      <c r="R47" s="242"/>
      <c r="S47" s="242">
        <f t="shared" si="29"/>
        <v>0</v>
      </c>
      <c r="T47" s="242">
        <f t="shared" si="10"/>
        <v>0</v>
      </c>
      <c r="U47" s="14">
        <f t="shared" si="2"/>
        <v>0</v>
      </c>
      <c r="V47" s="242"/>
      <c r="W47" s="242">
        <f t="shared" si="3"/>
        <v>0</v>
      </c>
      <c r="X47" s="242"/>
      <c r="Y47" s="241"/>
      <c r="Z47" s="242"/>
      <c r="AA47" s="242"/>
      <c r="AB47" s="242">
        <f t="shared" si="11"/>
        <v>0</v>
      </c>
      <c r="AC47" s="242"/>
      <c r="AD47" s="242"/>
      <c r="AE47" s="242">
        <f t="shared" si="12"/>
        <v>0</v>
      </c>
      <c r="AF47" s="242"/>
      <c r="AG47" s="242"/>
      <c r="AH47" s="242">
        <f t="shared" si="13"/>
        <v>0</v>
      </c>
      <c r="AI47" s="242"/>
      <c r="AJ47" s="242"/>
      <c r="AK47" s="242">
        <f t="shared" si="14"/>
        <v>0</v>
      </c>
      <c r="AL47" s="242"/>
      <c r="AM47" s="242"/>
      <c r="AN47" s="242">
        <f t="shared" si="15"/>
        <v>0</v>
      </c>
      <c r="AO47" s="242"/>
      <c r="AP47" s="242"/>
      <c r="AQ47" s="242">
        <f t="shared" si="16"/>
        <v>0</v>
      </c>
      <c r="AR47" s="242"/>
      <c r="AS47" s="242"/>
      <c r="AT47" s="242">
        <f t="shared" si="17"/>
        <v>0</v>
      </c>
      <c r="AU47" s="242"/>
      <c r="AV47" s="242"/>
      <c r="AW47" s="242">
        <f t="shared" si="18"/>
        <v>0</v>
      </c>
      <c r="AX47" s="242"/>
      <c r="AY47" s="242"/>
      <c r="AZ47" s="242">
        <f t="shared" si="19"/>
        <v>0</v>
      </c>
      <c r="BA47" s="242"/>
      <c r="BB47" s="242"/>
      <c r="BC47" s="242">
        <f t="shared" si="20"/>
        <v>0</v>
      </c>
      <c r="BD47" s="242"/>
      <c r="BE47" s="242"/>
      <c r="BF47" s="242">
        <f t="shared" si="21"/>
        <v>0</v>
      </c>
      <c r="BG47" s="242">
        <f t="shared" si="22"/>
        <v>0</v>
      </c>
      <c r="BH47" s="242"/>
      <c r="BI47" s="242">
        <f t="shared" si="23"/>
        <v>0</v>
      </c>
      <c r="BJ47" s="242">
        <f t="shared" si="24"/>
        <v>0</v>
      </c>
      <c r="BK47" s="242"/>
      <c r="BL47" s="242">
        <f t="shared" si="25"/>
        <v>0</v>
      </c>
      <c r="BM47" s="242"/>
      <c r="BN47" s="242"/>
      <c r="BO47" s="242">
        <f t="shared" si="26"/>
        <v>0</v>
      </c>
      <c r="BP47" s="242"/>
      <c r="BQ47" s="242"/>
      <c r="BR47" s="242">
        <f t="shared" si="27"/>
        <v>0</v>
      </c>
      <c r="BS47" s="242"/>
      <c r="BT47" s="241">
        <v>870000</v>
      </c>
    </row>
    <row r="48" spans="1:76" s="244" customFormat="1">
      <c r="A48" s="241">
        <f t="shared" si="4"/>
        <v>43</v>
      </c>
      <c r="B48" s="396">
        <v>1800</v>
      </c>
      <c r="C48" s="396" t="s">
        <v>743</v>
      </c>
      <c r="D48" s="14">
        <v>600000</v>
      </c>
      <c r="E48" s="242">
        <v>600000</v>
      </c>
      <c r="F48" s="242">
        <f t="shared" si="0"/>
        <v>0</v>
      </c>
      <c r="G48" s="242">
        <v>600000</v>
      </c>
      <c r="H48" s="242">
        <v>426898.02</v>
      </c>
      <c r="I48" s="242">
        <v>173000</v>
      </c>
      <c r="J48" s="242"/>
      <c r="K48" s="242">
        <f t="shared" si="28"/>
        <v>173000</v>
      </c>
      <c r="L48" s="242">
        <f t="shared" si="6"/>
        <v>599898.02</v>
      </c>
      <c r="M48" s="242">
        <f t="shared" si="7"/>
        <v>101.97999999998137</v>
      </c>
      <c r="N48" s="242"/>
      <c r="O48" s="242">
        <f t="shared" si="8"/>
        <v>0</v>
      </c>
      <c r="P48" s="242">
        <f t="shared" si="9"/>
        <v>101.97999999998137</v>
      </c>
      <c r="Q48" s="242"/>
      <c r="R48" s="242"/>
      <c r="S48" s="242">
        <f t="shared" si="29"/>
        <v>0</v>
      </c>
      <c r="T48" s="242">
        <f t="shared" si="10"/>
        <v>0</v>
      </c>
      <c r="U48" s="14">
        <f t="shared" si="2"/>
        <v>0</v>
      </c>
      <c r="V48" s="242"/>
      <c r="W48" s="242">
        <f t="shared" si="3"/>
        <v>0</v>
      </c>
      <c r="X48" s="242"/>
      <c r="Y48" s="241"/>
      <c r="Z48" s="242"/>
      <c r="AA48" s="242"/>
      <c r="AB48" s="242">
        <f t="shared" si="11"/>
        <v>0</v>
      </c>
      <c r="AC48" s="242"/>
      <c r="AD48" s="242"/>
      <c r="AE48" s="242">
        <f t="shared" si="12"/>
        <v>0</v>
      </c>
      <c r="AF48" s="242"/>
      <c r="AG48" s="242"/>
      <c r="AH48" s="242">
        <f t="shared" si="13"/>
        <v>0</v>
      </c>
      <c r="AI48" s="242"/>
      <c r="AJ48" s="242"/>
      <c r="AK48" s="242">
        <f t="shared" si="14"/>
        <v>0</v>
      </c>
      <c r="AL48" s="242"/>
      <c r="AM48" s="242"/>
      <c r="AN48" s="242">
        <f t="shared" si="15"/>
        <v>0</v>
      </c>
      <c r="AO48" s="242"/>
      <c r="AP48" s="242"/>
      <c r="AQ48" s="242">
        <f t="shared" si="16"/>
        <v>0</v>
      </c>
      <c r="AR48" s="242"/>
      <c r="AS48" s="242"/>
      <c r="AT48" s="242">
        <f t="shared" si="17"/>
        <v>0</v>
      </c>
      <c r="AU48" s="242"/>
      <c r="AV48" s="242"/>
      <c r="AW48" s="242">
        <f t="shared" si="18"/>
        <v>0</v>
      </c>
      <c r="AX48" s="242"/>
      <c r="AY48" s="242"/>
      <c r="AZ48" s="242">
        <f t="shared" si="19"/>
        <v>0</v>
      </c>
      <c r="BA48" s="242"/>
      <c r="BB48" s="242"/>
      <c r="BC48" s="242">
        <f t="shared" si="20"/>
        <v>0</v>
      </c>
      <c r="BD48" s="242"/>
      <c r="BE48" s="242"/>
      <c r="BF48" s="242">
        <f t="shared" si="21"/>
        <v>0</v>
      </c>
      <c r="BG48" s="242">
        <f t="shared" si="22"/>
        <v>0</v>
      </c>
      <c r="BH48" s="242"/>
      <c r="BI48" s="242">
        <f t="shared" si="23"/>
        <v>0</v>
      </c>
      <c r="BJ48" s="242">
        <f t="shared" si="24"/>
        <v>0</v>
      </c>
      <c r="BK48" s="242"/>
      <c r="BL48" s="242">
        <f t="shared" si="25"/>
        <v>0</v>
      </c>
      <c r="BM48" s="242"/>
      <c r="BN48" s="242"/>
      <c r="BO48" s="242">
        <f t="shared" si="26"/>
        <v>0</v>
      </c>
      <c r="BP48" s="242"/>
      <c r="BQ48" s="242"/>
      <c r="BR48" s="242">
        <f t="shared" si="27"/>
        <v>0</v>
      </c>
      <c r="BS48" s="242"/>
      <c r="BT48" s="241">
        <v>930000</v>
      </c>
    </row>
    <row r="49" spans="1:72" s="244" customFormat="1">
      <c r="A49" s="241">
        <f t="shared" si="4"/>
        <v>44</v>
      </c>
      <c r="B49" s="241">
        <v>1821</v>
      </c>
      <c r="C49" s="241" t="s">
        <v>279</v>
      </c>
      <c r="D49" s="242">
        <v>170000</v>
      </c>
      <c r="E49" s="242">
        <v>170000</v>
      </c>
      <c r="F49" s="242">
        <f t="shared" si="0"/>
        <v>0</v>
      </c>
      <c r="G49" s="242">
        <v>170000</v>
      </c>
      <c r="H49" s="242">
        <v>55000</v>
      </c>
      <c r="I49" s="242">
        <v>42660.54</v>
      </c>
      <c r="J49" s="242"/>
      <c r="K49" s="242">
        <f t="shared" si="28"/>
        <v>42660.54</v>
      </c>
      <c r="L49" s="242">
        <f t="shared" si="6"/>
        <v>97660.540000000008</v>
      </c>
      <c r="M49" s="242">
        <f t="shared" si="7"/>
        <v>72339.459999999992</v>
      </c>
      <c r="N49" s="242"/>
      <c r="O49" s="242">
        <f t="shared" si="8"/>
        <v>0</v>
      </c>
      <c r="P49" s="242">
        <f t="shared" si="9"/>
        <v>72339.459999999992</v>
      </c>
      <c r="Q49" s="242"/>
      <c r="R49" s="242"/>
      <c r="S49" s="242">
        <f t="shared" si="29"/>
        <v>0</v>
      </c>
      <c r="T49" s="242">
        <f t="shared" si="10"/>
        <v>0</v>
      </c>
      <c r="U49" s="14">
        <f t="shared" si="2"/>
        <v>0</v>
      </c>
      <c r="V49" s="242"/>
      <c r="W49" s="242">
        <f t="shared" si="3"/>
        <v>0</v>
      </c>
      <c r="X49" s="242"/>
      <c r="Y49" s="241"/>
      <c r="Z49" s="242"/>
      <c r="AA49" s="242"/>
      <c r="AB49" s="242">
        <f t="shared" si="11"/>
        <v>0</v>
      </c>
      <c r="AC49" s="242"/>
      <c r="AD49" s="242"/>
      <c r="AE49" s="242">
        <f t="shared" si="12"/>
        <v>0</v>
      </c>
      <c r="AF49" s="242"/>
      <c r="AG49" s="242"/>
      <c r="AH49" s="242">
        <f t="shared" si="13"/>
        <v>0</v>
      </c>
      <c r="AI49" s="242"/>
      <c r="AJ49" s="242"/>
      <c r="AK49" s="242">
        <f t="shared" si="14"/>
        <v>0</v>
      </c>
      <c r="AL49" s="242"/>
      <c r="AM49" s="242"/>
      <c r="AN49" s="242">
        <f t="shared" si="15"/>
        <v>0</v>
      </c>
      <c r="AO49" s="242"/>
      <c r="AP49" s="242"/>
      <c r="AQ49" s="242">
        <f t="shared" si="16"/>
        <v>0</v>
      </c>
      <c r="AR49" s="242"/>
      <c r="AS49" s="242"/>
      <c r="AT49" s="242">
        <f t="shared" si="17"/>
        <v>0</v>
      </c>
      <c r="AU49" s="242"/>
      <c r="AV49" s="242"/>
      <c r="AW49" s="242">
        <f t="shared" si="18"/>
        <v>0</v>
      </c>
      <c r="AX49" s="242"/>
      <c r="AY49" s="242"/>
      <c r="AZ49" s="242">
        <f t="shared" si="19"/>
        <v>0</v>
      </c>
      <c r="BA49" s="242"/>
      <c r="BB49" s="242"/>
      <c r="BC49" s="242">
        <f t="shared" si="20"/>
        <v>0</v>
      </c>
      <c r="BD49" s="242"/>
      <c r="BE49" s="242"/>
      <c r="BF49" s="242">
        <f t="shared" si="21"/>
        <v>0</v>
      </c>
      <c r="BG49" s="242">
        <f t="shared" si="22"/>
        <v>0</v>
      </c>
      <c r="BH49" s="242"/>
      <c r="BI49" s="242">
        <f t="shared" si="23"/>
        <v>0</v>
      </c>
      <c r="BJ49" s="242">
        <f t="shared" si="24"/>
        <v>0</v>
      </c>
      <c r="BK49" s="242"/>
      <c r="BL49" s="242">
        <f t="shared" si="25"/>
        <v>0</v>
      </c>
      <c r="BM49" s="242"/>
      <c r="BN49" s="242"/>
      <c r="BO49" s="242">
        <f t="shared" si="26"/>
        <v>0</v>
      </c>
      <c r="BP49" s="242"/>
      <c r="BQ49" s="242"/>
      <c r="BR49" s="242">
        <f t="shared" si="27"/>
        <v>0</v>
      </c>
      <c r="BS49" s="242"/>
      <c r="BT49" s="241">
        <v>810000</v>
      </c>
    </row>
    <row r="50" spans="1:72" s="244" customFormat="1">
      <c r="A50" s="241">
        <f t="shared" si="4"/>
        <v>45</v>
      </c>
      <c r="B50" s="396">
        <v>1824</v>
      </c>
      <c r="C50" s="396" t="s">
        <v>891</v>
      </c>
      <c r="D50" s="242">
        <f>1500000-500000</f>
        <v>1000000</v>
      </c>
      <c r="E50" s="242">
        <v>1000000</v>
      </c>
      <c r="F50" s="242">
        <f t="shared" si="0"/>
        <v>0</v>
      </c>
      <c r="G50" s="242">
        <v>100000</v>
      </c>
      <c r="H50" s="242">
        <v>0</v>
      </c>
      <c r="I50" s="242">
        <v>99000</v>
      </c>
      <c r="J50" s="242"/>
      <c r="K50" s="242">
        <f t="shared" si="28"/>
        <v>99000</v>
      </c>
      <c r="L50" s="242">
        <f t="shared" si="6"/>
        <v>99000</v>
      </c>
      <c r="M50" s="242">
        <f t="shared" si="7"/>
        <v>1000</v>
      </c>
      <c r="N50" s="242"/>
      <c r="O50" s="242">
        <f t="shared" si="8"/>
        <v>900000</v>
      </c>
      <c r="P50" s="242">
        <f t="shared" si="9"/>
        <v>1000</v>
      </c>
      <c r="Q50" s="242"/>
      <c r="R50" s="242"/>
      <c r="S50" s="242">
        <f t="shared" si="29"/>
        <v>0</v>
      </c>
      <c r="T50" s="242">
        <f t="shared" si="10"/>
        <v>0</v>
      </c>
      <c r="U50" s="14">
        <f t="shared" si="2"/>
        <v>0</v>
      </c>
      <c r="V50" s="242"/>
      <c r="W50" s="242">
        <f t="shared" si="3"/>
        <v>0</v>
      </c>
      <c r="X50" s="242"/>
      <c r="Y50" s="241"/>
      <c r="Z50" s="242"/>
      <c r="AA50" s="242"/>
      <c r="AB50" s="242">
        <f t="shared" si="11"/>
        <v>0</v>
      </c>
      <c r="AC50" s="242"/>
      <c r="AD50" s="242"/>
      <c r="AE50" s="242">
        <f t="shared" si="12"/>
        <v>0</v>
      </c>
      <c r="AF50" s="242"/>
      <c r="AG50" s="242"/>
      <c r="AH50" s="242">
        <f t="shared" si="13"/>
        <v>0</v>
      </c>
      <c r="AI50" s="242"/>
      <c r="AJ50" s="242"/>
      <c r="AK50" s="242">
        <f t="shared" si="14"/>
        <v>0</v>
      </c>
      <c r="AL50" s="242"/>
      <c r="AM50" s="242"/>
      <c r="AN50" s="242">
        <f t="shared" si="15"/>
        <v>0</v>
      </c>
      <c r="AO50" s="242"/>
      <c r="AP50" s="242"/>
      <c r="AQ50" s="242">
        <f t="shared" si="16"/>
        <v>0</v>
      </c>
      <c r="AR50" s="242"/>
      <c r="AS50" s="242"/>
      <c r="AT50" s="242">
        <f t="shared" si="17"/>
        <v>0</v>
      </c>
      <c r="AU50" s="242"/>
      <c r="AV50" s="242"/>
      <c r="AW50" s="242">
        <f t="shared" si="18"/>
        <v>0</v>
      </c>
      <c r="AX50" s="242"/>
      <c r="AY50" s="242"/>
      <c r="AZ50" s="242">
        <f t="shared" si="19"/>
        <v>0</v>
      </c>
      <c r="BA50" s="242"/>
      <c r="BB50" s="242"/>
      <c r="BC50" s="242">
        <f t="shared" si="20"/>
        <v>0</v>
      </c>
      <c r="BD50" s="242"/>
      <c r="BE50" s="242"/>
      <c r="BF50" s="242">
        <f t="shared" si="21"/>
        <v>0</v>
      </c>
      <c r="BG50" s="242">
        <f t="shared" si="22"/>
        <v>0</v>
      </c>
      <c r="BH50" s="242"/>
      <c r="BI50" s="242">
        <f t="shared" si="23"/>
        <v>0</v>
      </c>
      <c r="BJ50" s="242">
        <f t="shared" si="24"/>
        <v>0</v>
      </c>
      <c r="BK50" s="242"/>
      <c r="BL50" s="242">
        <f t="shared" si="25"/>
        <v>0</v>
      </c>
      <c r="BM50" s="242"/>
      <c r="BN50" s="242"/>
      <c r="BO50" s="242">
        <f t="shared" si="26"/>
        <v>0</v>
      </c>
      <c r="BP50" s="242"/>
      <c r="BQ50" s="242"/>
      <c r="BR50" s="242">
        <f t="shared" si="27"/>
        <v>0</v>
      </c>
      <c r="BS50" s="242"/>
      <c r="BT50" s="241">
        <v>746000</v>
      </c>
    </row>
    <row r="51" spans="1:72" s="244" customFormat="1">
      <c r="A51" s="241">
        <f t="shared" si="4"/>
        <v>46</v>
      </c>
      <c r="B51" s="241">
        <v>1848</v>
      </c>
      <c r="C51" s="13" t="s">
        <v>280</v>
      </c>
      <c r="D51" s="14">
        <f>1500000-900000-100000</f>
        <v>500000</v>
      </c>
      <c r="E51" s="242">
        <v>500000</v>
      </c>
      <c r="F51" s="242">
        <f t="shared" si="0"/>
        <v>0</v>
      </c>
      <c r="G51" s="242">
        <v>100000</v>
      </c>
      <c r="H51" s="242">
        <v>0</v>
      </c>
      <c r="I51" s="242">
        <v>18160</v>
      </c>
      <c r="J51" s="242"/>
      <c r="K51" s="242">
        <f t="shared" si="28"/>
        <v>18160</v>
      </c>
      <c r="L51" s="242">
        <f t="shared" si="6"/>
        <v>18160</v>
      </c>
      <c r="M51" s="242">
        <f t="shared" si="7"/>
        <v>81840</v>
      </c>
      <c r="N51" s="242">
        <v>200000</v>
      </c>
      <c r="O51" s="242">
        <f t="shared" si="8"/>
        <v>200000</v>
      </c>
      <c r="P51" s="242">
        <f t="shared" si="9"/>
        <v>81840</v>
      </c>
      <c r="Q51" s="242"/>
      <c r="R51" s="242"/>
      <c r="S51" s="242">
        <f t="shared" si="29"/>
        <v>0</v>
      </c>
      <c r="T51" s="242">
        <f t="shared" si="10"/>
        <v>0</v>
      </c>
      <c r="U51" s="14">
        <f t="shared" si="2"/>
        <v>200000</v>
      </c>
      <c r="V51" s="242"/>
      <c r="W51" s="242">
        <f t="shared" si="3"/>
        <v>200000</v>
      </c>
      <c r="X51" s="242"/>
      <c r="Y51" s="241"/>
      <c r="Z51" s="242"/>
      <c r="AA51" s="242"/>
      <c r="AB51" s="242">
        <f t="shared" si="11"/>
        <v>0</v>
      </c>
      <c r="AC51" s="242"/>
      <c r="AD51" s="242"/>
      <c r="AE51" s="242">
        <f t="shared" si="12"/>
        <v>0</v>
      </c>
      <c r="AF51" s="242">
        <v>100000</v>
      </c>
      <c r="AG51" s="242"/>
      <c r="AH51" s="242">
        <f t="shared" si="13"/>
        <v>100000</v>
      </c>
      <c r="AI51" s="242"/>
      <c r="AJ51" s="242"/>
      <c r="AK51" s="242">
        <f t="shared" si="14"/>
        <v>0</v>
      </c>
      <c r="AL51" s="242"/>
      <c r="AM51" s="242"/>
      <c r="AN51" s="242">
        <f t="shared" si="15"/>
        <v>0</v>
      </c>
      <c r="AO51" s="242"/>
      <c r="AP51" s="242"/>
      <c r="AQ51" s="242">
        <f t="shared" si="16"/>
        <v>0</v>
      </c>
      <c r="AR51" s="242"/>
      <c r="AS51" s="242"/>
      <c r="AT51" s="242">
        <f t="shared" si="17"/>
        <v>0</v>
      </c>
      <c r="AU51" s="242">
        <v>50000</v>
      </c>
      <c r="AV51" s="242"/>
      <c r="AW51" s="242">
        <f t="shared" si="18"/>
        <v>50000</v>
      </c>
      <c r="AX51" s="242"/>
      <c r="AY51" s="242"/>
      <c r="AZ51" s="242">
        <f t="shared" si="19"/>
        <v>0</v>
      </c>
      <c r="BA51" s="242">
        <v>50000</v>
      </c>
      <c r="BB51" s="242"/>
      <c r="BC51" s="242">
        <f t="shared" si="20"/>
        <v>50000</v>
      </c>
      <c r="BD51" s="242"/>
      <c r="BE51" s="242"/>
      <c r="BF51" s="242">
        <f t="shared" si="21"/>
        <v>0</v>
      </c>
      <c r="BG51" s="242">
        <f t="shared" si="22"/>
        <v>200000</v>
      </c>
      <c r="BH51" s="242"/>
      <c r="BI51" s="242">
        <f t="shared" si="23"/>
        <v>200000</v>
      </c>
      <c r="BJ51" s="242">
        <f t="shared" si="24"/>
        <v>0</v>
      </c>
      <c r="BK51" s="242"/>
      <c r="BL51" s="242">
        <f t="shared" si="25"/>
        <v>200000</v>
      </c>
      <c r="BM51" s="242"/>
      <c r="BN51" s="242"/>
      <c r="BO51" s="242">
        <f t="shared" si="26"/>
        <v>0</v>
      </c>
      <c r="BP51" s="242"/>
      <c r="BQ51" s="242"/>
      <c r="BR51" s="242">
        <f t="shared" si="27"/>
        <v>0</v>
      </c>
      <c r="BS51" s="242"/>
      <c r="BT51" s="241">
        <v>742000</v>
      </c>
    </row>
    <row r="52" spans="1:72" s="244" customFormat="1" ht="30">
      <c r="A52" s="241">
        <f t="shared" si="4"/>
        <v>47</v>
      </c>
      <c r="B52" s="241">
        <v>1849</v>
      </c>
      <c r="C52" s="13" t="s">
        <v>744</v>
      </c>
      <c r="D52" s="14">
        <v>1400000</v>
      </c>
      <c r="E52" s="242">
        <v>1400000</v>
      </c>
      <c r="F52" s="242">
        <f t="shared" si="0"/>
        <v>0</v>
      </c>
      <c r="G52" s="242">
        <v>500000</v>
      </c>
      <c r="H52" s="242">
        <v>81735.710000000006</v>
      </c>
      <c r="I52" s="242"/>
      <c r="J52" s="242"/>
      <c r="K52" s="242">
        <f t="shared" si="28"/>
        <v>0</v>
      </c>
      <c r="L52" s="242">
        <f t="shared" si="6"/>
        <v>81735.710000000006</v>
      </c>
      <c r="M52" s="242">
        <f t="shared" si="7"/>
        <v>418264.29</v>
      </c>
      <c r="N52" s="242">
        <f>900000-500000</f>
        <v>400000</v>
      </c>
      <c r="O52" s="242">
        <f t="shared" si="8"/>
        <v>500000</v>
      </c>
      <c r="P52" s="242">
        <f t="shared" si="9"/>
        <v>418264.29</v>
      </c>
      <c r="Q52" s="242"/>
      <c r="R52" s="242"/>
      <c r="S52" s="242">
        <v>0</v>
      </c>
      <c r="T52" s="242">
        <f t="shared" si="10"/>
        <v>0</v>
      </c>
      <c r="U52" s="14">
        <f t="shared" si="2"/>
        <v>400000</v>
      </c>
      <c r="V52" s="242">
        <v>400000</v>
      </c>
      <c r="W52" s="242">
        <f t="shared" si="3"/>
        <v>0</v>
      </c>
      <c r="X52" s="242"/>
      <c r="Y52" s="241"/>
      <c r="Z52" s="242"/>
      <c r="AA52" s="242"/>
      <c r="AB52" s="242">
        <f t="shared" si="11"/>
        <v>0</v>
      </c>
      <c r="AC52" s="242"/>
      <c r="AD52" s="242"/>
      <c r="AE52" s="242">
        <f t="shared" si="12"/>
        <v>0</v>
      </c>
      <c r="AF52" s="242"/>
      <c r="AG52" s="242"/>
      <c r="AH52" s="242">
        <f t="shared" si="13"/>
        <v>0</v>
      </c>
      <c r="AI52" s="242"/>
      <c r="AJ52" s="242"/>
      <c r="AK52" s="242">
        <f t="shared" si="14"/>
        <v>0</v>
      </c>
      <c r="AL52" s="242">
        <v>400000</v>
      </c>
      <c r="AM52" s="242"/>
      <c r="AN52" s="242">
        <f t="shared" si="15"/>
        <v>400000</v>
      </c>
      <c r="AO52" s="242"/>
      <c r="AP52" s="242"/>
      <c r="AQ52" s="242">
        <f t="shared" si="16"/>
        <v>0</v>
      </c>
      <c r="AR52" s="242"/>
      <c r="AS52" s="242"/>
      <c r="AT52" s="242">
        <f t="shared" si="17"/>
        <v>0</v>
      </c>
      <c r="AU52" s="242"/>
      <c r="AV52" s="242"/>
      <c r="AW52" s="242">
        <f t="shared" si="18"/>
        <v>0</v>
      </c>
      <c r="AX52" s="242"/>
      <c r="AY52" s="242"/>
      <c r="AZ52" s="242">
        <f t="shared" si="19"/>
        <v>0</v>
      </c>
      <c r="BA52" s="242"/>
      <c r="BB52" s="242"/>
      <c r="BC52" s="242">
        <f t="shared" si="20"/>
        <v>0</v>
      </c>
      <c r="BD52" s="242"/>
      <c r="BE52" s="242"/>
      <c r="BF52" s="242">
        <f t="shared" si="21"/>
        <v>0</v>
      </c>
      <c r="BG52" s="242">
        <f t="shared" si="22"/>
        <v>400000</v>
      </c>
      <c r="BH52" s="242"/>
      <c r="BI52" s="242">
        <f t="shared" si="23"/>
        <v>400000</v>
      </c>
      <c r="BJ52" s="242">
        <f t="shared" si="24"/>
        <v>0</v>
      </c>
      <c r="BK52" s="242">
        <v>400000</v>
      </c>
      <c r="BL52" s="242">
        <f t="shared" si="25"/>
        <v>0</v>
      </c>
      <c r="BM52" s="242"/>
      <c r="BN52" s="242"/>
      <c r="BO52" s="242">
        <f t="shared" si="26"/>
        <v>0</v>
      </c>
      <c r="BP52" s="242"/>
      <c r="BQ52" s="242"/>
      <c r="BR52" s="242">
        <f t="shared" si="27"/>
        <v>0</v>
      </c>
      <c r="BS52" s="242"/>
      <c r="BT52" s="241">
        <v>743000</v>
      </c>
    </row>
    <row r="53" spans="1:72" s="244" customFormat="1">
      <c r="A53" s="241">
        <f t="shared" si="4"/>
        <v>48</v>
      </c>
      <c r="B53" s="241">
        <v>1850</v>
      </c>
      <c r="C53" s="241" t="s">
        <v>281</v>
      </c>
      <c r="D53" s="242">
        <v>14600000</v>
      </c>
      <c r="E53" s="242">
        <v>14600000</v>
      </c>
      <c r="F53" s="242">
        <f t="shared" si="0"/>
        <v>0</v>
      </c>
      <c r="G53" s="242">
        <v>0</v>
      </c>
      <c r="H53" s="242">
        <v>0</v>
      </c>
      <c r="I53" s="242"/>
      <c r="J53" s="242"/>
      <c r="K53" s="242">
        <f t="shared" si="28"/>
        <v>0</v>
      </c>
      <c r="L53" s="242">
        <f t="shared" si="6"/>
        <v>0</v>
      </c>
      <c r="M53" s="242">
        <f t="shared" si="7"/>
        <v>300000</v>
      </c>
      <c r="N53" s="242">
        <f>4600000-620000-1000000</f>
        <v>2980000</v>
      </c>
      <c r="O53" s="242">
        <f t="shared" si="8"/>
        <v>11320000</v>
      </c>
      <c r="P53" s="242">
        <f t="shared" si="9"/>
        <v>0</v>
      </c>
      <c r="Q53" s="484">
        <v>300000</v>
      </c>
      <c r="R53" s="242"/>
      <c r="S53" s="242">
        <f t="shared" si="29"/>
        <v>300000</v>
      </c>
      <c r="T53" s="242">
        <f t="shared" si="10"/>
        <v>0</v>
      </c>
      <c r="U53" s="14">
        <f t="shared" si="2"/>
        <v>2980000</v>
      </c>
      <c r="V53" s="242">
        <f>4600000*0.8-1000000</f>
        <v>2680000</v>
      </c>
      <c r="W53" s="242">
        <f t="shared" si="3"/>
        <v>300000</v>
      </c>
      <c r="X53" s="242"/>
      <c r="Y53" s="241"/>
      <c r="Z53" s="242"/>
      <c r="AA53" s="242"/>
      <c r="AB53" s="242">
        <f t="shared" si="11"/>
        <v>0</v>
      </c>
      <c r="AC53" s="242"/>
      <c r="AD53" s="242"/>
      <c r="AE53" s="242">
        <f t="shared" si="12"/>
        <v>0</v>
      </c>
      <c r="AF53" s="242"/>
      <c r="AG53" s="242"/>
      <c r="AH53" s="242">
        <f t="shared" si="13"/>
        <v>0</v>
      </c>
      <c r="AI53" s="242"/>
      <c r="AJ53" s="242"/>
      <c r="AK53" s="242">
        <f t="shared" si="14"/>
        <v>0</v>
      </c>
      <c r="AL53" s="242">
        <v>350000</v>
      </c>
      <c r="AM53" s="242"/>
      <c r="AN53" s="242">
        <f t="shared" si="15"/>
        <v>350000</v>
      </c>
      <c r="AO53" s="242">
        <v>200000</v>
      </c>
      <c r="AP53" s="242"/>
      <c r="AQ53" s="242">
        <f t="shared" si="16"/>
        <v>200000</v>
      </c>
      <c r="AR53" s="242"/>
      <c r="AS53" s="242"/>
      <c r="AT53" s="242">
        <f t="shared" si="17"/>
        <v>0</v>
      </c>
      <c r="AU53" s="242"/>
      <c r="AV53" s="242"/>
      <c r="AW53" s="242">
        <f t="shared" si="18"/>
        <v>0</v>
      </c>
      <c r="AX53" s="242"/>
      <c r="AY53" s="242"/>
      <c r="AZ53" s="242">
        <f t="shared" si="19"/>
        <v>0</v>
      </c>
      <c r="BA53" s="242">
        <v>1000000</v>
      </c>
      <c r="BB53" s="242"/>
      <c r="BC53" s="242">
        <f t="shared" si="20"/>
        <v>1000000</v>
      </c>
      <c r="BD53" s="242">
        <v>500000</v>
      </c>
      <c r="BE53" s="242"/>
      <c r="BF53" s="242">
        <f t="shared" si="21"/>
        <v>500000</v>
      </c>
      <c r="BG53" s="242">
        <f t="shared" si="22"/>
        <v>2050000</v>
      </c>
      <c r="BH53" s="242">
        <v>930000</v>
      </c>
      <c r="BI53" s="242">
        <f t="shared" si="23"/>
        <v>2980000</v>
      </c>
      <c r="BJ53" s="242">
        <f t="shared" si="24"/>
        <v>0</v>
      </c>
      <c r="BK53" s="242">
        <v>2680000</v>
      </c>
      <c r="BL53" s="242">
        <f t="shared" si="25"/>
        <v>300000</v>
      </c>
      <c r="BM53" s="242"/>
      <c r="BN53" s="242">
        <v>930000</v>
      </c>
      <c r="BO53" s="242">
        <f t="shared" si="26"/>
        <v>0</v>
      </c>
      <c r="BP53" s="242"/>
      <c r="BQ53" s="242"/>
      <c r="BR53" s="242">
        <f t="shared" si="27"/>
        <v>0</v>
      </c>
      <c r="BS53" s="242"/>
      <c r="BT53" s="241">
        <v>810000</v>
      </c>
    </row>
    <row r="54" spans="1:72" s="244" customFormat="1">
      <c r="A54" s="241">
        <f t="shared" si="4"/>
        <v>49</v>
      </c>
      <c r="B54" s="487">
        <v>1851</v>
      </c>
      <c r="C54" s="487" t="s">
        <v>282</v>
      </c>
      <c r="D54" s="488">
        <v>3300000</v>
      </c>
      <c r="E54" s="488">
        <v>3300000</v>
      </c>
      <c r="F54" s="488">
        <f t="shared" si="0"/>
        <v>0</v>
      </c>
      <c r="G54" s="488">
        <v>3300000</v>
      </c>
      <c r="H54" s="488">
        <v>119368</v>
      </c>
      <c r="I54" s="488">
        <f>487364+4095</f>
        <v>491459</v>
      </c>
      <c r="J54" s="488">
        <f>1290275+155376+803929</f>
        <v>2249580</v>
      </c>
      <c r="K54" s="488">
        <f t="shared" si="28"/>
        <v>2741039</v>
      </c>
      <c r="L54" s="488">
        <f t="shared" si="6"/>
        <v>2860407</v>
      </c>
      <c r="M54" s="488">
        <f t="shared" si="7"/>
        <v>439593</v>
      </c>
      <c r="N54" s="488"/>
      <c r="O54" s="488">
        <f t="shared" si="8"/>
        <v>0</v>
      </c>
      <c r="P54" s="488">
        <f t="shared" si="9"/>
        <v>439593</v>
      </c>
      <c r="Q54" s="242"/>
      <c r="R54" s="242"/>
      <c r="S54" s="488">
        <f t="shared" si="29"/>
        <v>0</v>
      </c>
      <c r="T54" s="488">
        <f t="shared" si="10"/>
        <v>0</v>
      </c>
      <c r="U54" s="14">
        <f t="shared" si="2"/>
        <v>0</v>
      </c>
      <c r="V54" s="488"/>
      <c r="W54" s="242">
        <f t="shared" si="3"/>
        <v>0</v>
      </c>
      <c r="X54" s="488"/>
      <c r="Y54" s="487"/>
      <c r="Z54" s="242"/>
      <c r="AA54" s="242"/>
      <c r="AB54" s="242">
        <f t="shared" si="11"/>
        <v>0</v>
      </c>
      <c r="AC54" s="242"/>
      <c r="AD54" s="242"/>
      <c r="AE54" s="242">
        <f t="shared" si="12"/>
        <v>0</v>
      </c>
      <c r="AF54" s="242"/>
      <c r="AG54" s="242"/>
      <c r="AH54" s="242">
        <f t="shared" si="13"/>
        <v>0</v>
      </c>
      <c r="AI54" s="242"/>
      <c r="AJ54" s="242"/>
      <c r="AK54" s="242">
        <f t="shared" si="14"/>
        <v>0</v>
      </c>
      <c r="AL54" s="242"/>
      <c r="AM54" s="242"/>
      <c r="AN54" s="242">
        <f t="shared" si="15"/>
        <v>0</v>
      </c>
      <c r="AO54" s="242"/>
      <c r="AP54" s="242"/>
      <c r="AQ54" s="242">
        <f t="shared" si="16"/>
        <v>0</v>
      </c>
      <c r="AR54" s="242"/>
      <c r="AS54" s="242"/>
      <c r="AT54" s="242">
        <f t="shared" si="17"/>
        <v>0</v>
      </c>
      <c r="AU54" s="242"/>
      <c r="AV54" s="242"/>
      <c r="AW54" s="242">
        <f t="shared" si="18"/>
        <v>0</v>
      </c>
      <c r="AX54" s="242"/>
      <c r="AY54" s="242"/>
      <c r="AZ54" s="242">
        <f t="shared" si="19"/>
        <v>0</v>
      </c>
      <c r="BA54" s="242"/>
      <c r="BB54" s="242"/>
      <c r="BC54" s="242">
        <f t="shared" si="20"/>
        <v>0</v>
      </c>
      <c r="BD54" s="242"/>
      <c r="BE54" s="242"/>
      <c r="BF54" s="242">
        <f t="shared" si="21"/>
        <v>0</v>
      </c>
      <c r="BG54" s="242">
        <f t="shared" si="22"/>
        <v>0</v>
      </c>
      <c r="BH54" s="242"/>
      <c r="BI54" s="242">
        <f t="shared" si="23"/>
        <v>0</v>
      </c>
      <c r="BJ54" s="242">
        <f t="shared" si="24"/>
        <v>0</v>
      </c>
      <c r="BK54" s="242"/>
      <c r="BL54" s="242">
        <f t="shared" si="25"/>
        <v>0</v>
      </c>
      <c r="BM54" s="242"/>
      <c r="BN54" s="242"/>
      <c r="BO54" s="242">
        <f t="shared" si="26"/>
        <v>0</v>
      </c>
      <c r="BP54" s="242"/>
      <c r="BQ54" s="242"/>
      <c r="BR54" s="242">
        <f t="shared" si="27"/>
        <v>0</v>
      </c>
      <c r="BS54" s="242"/>
      <c r="BT54" s="487">
        <v>810000</v>
      </c>
    </row>
    <row r="55" spans="1:72" s="244" customFormat="1">
      <c r="A55" s="241">
        <f t="shared" si="4"/>
        <v>50</v>
      </c>
      <c r="B55" s="241">
        <v>1853</v>
      </c>
      <c r="C55" s="241" t="s">
        <v>283</v>
      </c>
      <c r="D55" s="242">
        <v>310000</v>
      </c>
      <c r="E55" s="242">
        <v>310000</v>
      </c>
      <c r="F55" s="242">
        <f t="shared" si="0"/>
        <v>0</v>
      </c>
      <c r="G55" s="242">
        <v>310000</v>
      </c>
      <c r="H55" s="242">
        <v>321</v>
      </c>
      <c r="I55" s="242">
        <v>46800</v>
      </c>
      <c r="J55" s="242">
        <v>185449</v>
      </c>
      <c r="K55" s="242">
        <f t="shared" si="28"/>
        <v>232249</v>
      </c>
      <c r="L55" s="242">
        <f t="shared" si="6"/>
        <v>232570</v>
      </c>
      <c r="M55" s="242">
        <f t="shared" si="7"/>
        <v>77430</v>
      </c>
      <c r="N55" s="242"/>
      <c r="O55" s="242">
        <f t="shared" si="8"/>
        <v>0</v>
      </c>
      <c r="P55" s="242">
        <f t="shared" si="9"/>
        <v>77430</v>
      </c>
      <c r="Q55" s="242"/>
      <c r="R55" s="242"/>
      <c r="S55" s="242">
        <f t="shared" si="29"/>
        <v>0</v>
      </c>
      <c r="T55" s="242">
        <f t="shared" si="10"/>
        <v>0</v>
      </c>
      <c r="U55" s="14">
        <f t="shared" si="2"/>
        <v>0</v>
      </c>
      <c r="V55" s="242"/>
      <c r="W55" s="242">
        <f t="shared" si="3"/>
        <v>0</v>
      </c>
      <c r="X55" s="242"/>
      <c r="Y55" s="241"/>
      <c r="Z55" s="242"/>
      <c r="AA55" s="242"/>
      <c r="AB55" s="242">
        <f t="shared" si="11"/>
        <v>0</v>
      </c>
      <c r="AC55" s="242"/>
      <c r="AD55" s="242"/>
      <c r="AE55" s="242">
        <f t="shared" si="12"/>
        <v>0</v>
      </c>
      <c r="AF55" s="242"/>
      <c r="AG55" s="242"/>
      <c r="AH55" s="242">
        <f t="shared" si="13"/>
        <v>0</v>
      </c>
      <c r="AI55" s="242"/>
      <c r="AJ55" s="242"/>
      <c r="AK55" s="242">
        <f t="shared" si="14"/>
        <v>0</v>
      </c>
      <c r="AL55" s="242"/>
      <c r="AM55" s="242"/>
      <c r="AN55" s="242">
        <f t="shared" si="15"/>
        <v>0</v>
      </c>
      <c r="AO55" s="242"/>
      <c r="AP55" s="242"/>
      <c r="AQ55" s="242">
        <f t="shared" si="16"/>
        <v>0</v>
      </c>
      <c r="AR55" s="242"/>
      <c r="AS55" s="242"/>
      <c r="AT55" s="242">
        <f t="shared" si="17"/>
        <v>0</v>
      </c>
      <c r="AU55" s="242"/>
      <c r="AV55" s="242"/>
      <c r="AW55" s="242">
        <f t="shared" si="18"/>
        <v>0</v>
      </c>
      <c r="AX55" s="242"/>
      <c r="AY55" s="242"/>
      <c r="AZ55" s="242">
        <f t="shared" si="19"/>
        <v>0</v>
      </c>
      <c r="BA55" s="242"/>
      <c r="BB55" s="242"/>
      <c r="BC55" s="242">
        <f t="shared" si="20"/>
        <v>0</v>
      </c>
      <c r="BD55" s="242"/>
      <c r="BE55" s="242"/>
      <c r="BF55" s="242">
        <f t="shared" si="21"/>
        <v>0</v>
      </c>
      <c r="BG55" s="242">
        <f t="shared" si="22"/>
        <v>0</v>
      </c>
      <c r="BH55" s="242"/>
      <c r="BI55" s="242">
        <f t="shared" si="23"/>
        <v>0</v>
      </c>
      <c r="BJ55" s="242">
        <f t="shared" si="24"/>
        <v>0</v>
      </c>
      <c r="BK55" s="242"/>
      <c r="BL55" s="242">
        <f t="shared" si="25"/>
        <v>0</v>
      </c>
      <c r="BM55" s="242"/>
      <c r="BN55" s="242"/>
      <c r="BO55" s="242">
        <f t="shared" si="26"/>
        <v>0</v>
      </c>
      <c r="BP55" s="242"/>
      <c r="BQ55" s="242"/>
      <c r="BR55" s="242">
        <f t="shared" si="27"/>
        <v>0</v>
      </c>
      <c r="BS55" s="242"/>
      <c r="BT55" s="241">
        <v>824000</v>
      </c>
    </row>
    <row r="56" spans="1:72" s="244" customFormat="1">
      <c r="A56" s="241">
        <f t="shared" si="4"/>
        <v>51</v>
      </c>
      <c r="B56" s="241">
        <v>1855</v>
      </c>
      <c r="C56" s="13" t="s">
        <v>284</v>
      </c>
      <c r="D56" s="14">
        <f>600000-200000</f>
        <v>400000</v>
      </c>
      <c r="E56" s="242">
        <v>600000</v>
      </c>
      <c r="F56" s="242">
        <f t="shared" si="0"/>
        <v>-200000</v>
      </c>
      <c r="G56" s="242">
        <v>400000</v>
      </c>
      <c r="H56" s="242">
        <v>0</v>
      </c>
      <c r="I56" s="242">
        <v>300909.13</v>
      </c>
      <c r="J56" s="242"/>
      <c r="K56" s="242">
        <f t="shared" si="28"/>
        <v>300909.13</v>
      </c>
      <c r="L56" s="242">
        <f t="shared" si="6"/>
        <v>300909.13</v>
      </c>
      <c r="M56" s="242">
        <f t="shared" si="7"/>
        <v>99090.87</v>
      </c>
      <c r="N56" s="242"/>
      <c r="O56" s="242">
        <f t="shared" si="8"/>
        <v>0</v>
      </c>
      <c r="P56" s="242">
        <f t="shared" si="9"/>
        <v>99090.87</v>
      </c>
      <c r="Q56" s="242"/>
      <c r="R56" s="242"/>
      <c r="S56" s="242">
        <f t="shared" si="29"/>
        <v>0</v>
      </c>
      <c r="T56" s="242">
        <f t="shared" si="10"/>
        <v>0</v>
      </c>
      <c r="U56" s="14">
        <f t="shared" si="2"/>
        <v>0</v>
      </c>
      <c r="V56" s="242"/>
      <c r="W56" s="242">
        <f t="shared" si="3"/>
        <v>0</v>
      </c>
      <c r="X56" s="242"/>
      <c r="Y56" s="241"/>
      <c r="Z56" s="242"/>
      <c r="AA56" s="242"/>
      <c r="AB56" s="242">
        <f t="shared" si="11"/>
        <v>0</v>
      </c>
      <c r="AC56" s="242"/>
      <c r="AD56" s="242"/>
      <c r="AE56" s="242">
        <f t="shared" si="12"/>
        <v>0</v>
      </c>
      <c r="AF56" s="242"/>
      <c r="AG56" s="242"/>
      <c r="AH56" s="242">
        <f t="shared" si="13"/>
        <v>0</v>
      </c>
      <c r="AI56" s="242"/>
      <c r="AJ56" s="242"/>
      <c r="AK56" s="242">
        <f t="shared" si="14"/>
        <v>0</v>
      </c>
      <c r="AL56" s="242"/>
      <c r="AM56" s="242"/>
      <c r="AN56" s="242">
        <f t="shared" si="15"/>
        <v>0</v>
      </c>
      <c r="AO56" s="242"/>
      <c r="AP56" s="242"/>
      <c r="AQ56" s="242">
        <f t="shared" si="16"/>
        <v>0</v>
      </c>
      <c r="AR56" s="242"/>
      <c r="AS56" s="242"/>
      <c r="AT56" s="242">
        <f t="shared" si="17"/>
        <v>0</v>
      </c>
      <c r="AU56" s="242"/>
      <c r="AV56" s="242"/>
      <c r="AW56" s="242">
        <f t="shared" si="18"/>
        <v>0</v>
      </c>
      <c r="AX56" s="242"/>
      <c r="AY56" s="242"/>
      <c r="AZ56" s="242">
        <f t="shared" si="19"/>
        <v>0</v>
      </c>
      <c r="BA56" s="242"/>
      <c r="BB56" s="242"/>
      <c r="BC56" s="242">
        <f t="shared" si="20"/>
        <v>0</v>
      </c>
      <c r="BD56" s="242"/>
      <c r="BE56" s="242"/>
      <c r="BF56" s="242">
        <f t="shared" si="21"/>
        <v>0</v>
      </c>
      <c r="BG56" s="242">
        <f t="shared" si="22"/>
        <v>0</v>
      </c>
      <c r="BH56" s="242"/>
      <c r="BI56" s="242">
        <f t="shared" si="23"/>
        <v>0</v>
      </c>
      <c r="BJ56" s="242">
        <f t="shared" si="24"/>
        <v>0</v>
      </c>
      <c r="BK56" s="242"/>
      <c r="BL56" s="242">
        <f t="shared" si="25"/>
        <v>0</v>
      </c>
      <c r="BM56" s="242"/>
      <c r="BN56" s="242"/>
      <c r="BO56" s="242">
        <f t="shared" si="26"/>
        <v>0</v>
      </c>
      <c r="BP56" s="242"/>
      <c r="BQ56" s="242"/>
      <c r="BR56" s="242">
        <f t="shared" si="27"/>
        <v>0</v>
      </c>
      <c r="BS56" s="242"/>
      <c r="BT56" s="241">
        <v>810000</v>
      </c>
    </row>
    <row r="57" spans="1:72" s="244" customFormat="1">
      <c r="A57" s="241">
        <f t="shared" si="4"/>
        <v>52</v>
      </c>
      <c r="B57" s="241">
        <v>1856</v>
      </c>
      <c r="C57" s="13" t="s">
        <v>285</v>
      </c>
      <c r="D57" s="14">
        <f>300000+30000-130000</f>
        <v>200000</v>
      </c>
      <c r="E57" s="242">
        <v>300000</v>
      </c>
      <c r="F57" s="242">
        <f t="shared" si="0"/>
        <v>-100000</v>
      </c>
      <c r="G57" s="242">
        <v>200000</v>
      </c>
      <c r="H57" s="242">
        <v>0</v>
      </c>
      <c r="I57" s="242">
        <v>199977.64</v>
      </c>
      <c r="J57" s="242"/>
      <c r="K57" s="242">
        <f t="shared" si="28"/>
        <v>199977.64</v>
      </c>
      <c r="L57" s="242">
        <f t="shared" si="6"/>
        <v>199977.64</v>
      </c>
      <c r="M57" s="242">
        <f t="shared" si="7"/>
        <v>22.35999999998603</v>
      </c>
      <c r="N57" s="242"/>
      <c r="O57" s="242">
        <f t="shared" si="8"/>
        <v>0</v>
      </c>
      <c r="P57" s="242">
        <f t="shared" si="9"/>
        <v>22.35999999998603</v>
      </c>
      <c r="Q57" s="242"/>
      <c r="R57" s="242"/>
      <c r="S57" s="242">
        <f t="shared" si="29"/>
        <v>0</v>
      </c>
      <c r="T57" s="242">
        <f t="shared" si="10"/>
        <v>0</v>
      </c>
      <c r="U57" s="14">
        <f t="shared" si="2"/>
        <v>0</v>
      </c>
      <c r="V57" s="242"/>
      <c r="W57" s="242">
        <f t="shared" si="3"/>
        <v>0</v>
      </c>
      <c r="X57" s="242"/>
      <c r="Y57" s="241"/>
      <c r="Z57" s="242"/>
      <c r="AA57" s="242"/>
      <c r="AB57" s="242">
        <f t="shared" si="11"/>
        <v>0</v>
      </c>
      <c r="AC57" s="242"/>
      <c r="AD57" s="242"/>
      <c r="AE57" s="242">
        <f t="shared" si="12"/>
        <v>0</v>
      </c>
      <c r="AF57" s="242"/>
      <c r="AG57" s="242"/>
      <c r="AH57" s="242">
        <f t="shared" si="13"/>
        <v>0</v>
      </c>
      <c r="AI57" s="242"/>
      <c r="AJ57" s="242"/>
      <c r="AK57" s="242">
        <f t="shared" si="14"/>
        <v>0</v>
      </c>
      <c r="AL57" s="242"/>
      <c r="AM57" s="242"/>
      <c r="AN57" s="242">
        <f t="shared" si="15"/>
        <v>0</v>
      </c>
      <c r="AO57" s="242"/>
      <c r="AP57" s="242"/>
      <c r="AQ57" s="242">
        <f t="shared" si="16"/>
        <v>0</v>
      </c>
      <c r="AR57" s="242"/>
      <c r="AS57" s="242"/>
      <c r="AT57" s="242">
        <f t="shared" si="17"/>
        <v>0</v>
      </c>
      <c r="AU57" s="242"/>
      <c r="AV57" s="242"/>
      <c r="AW57" s="242">
        <f t="shared" si="18"/>
        <v>0</v>
      </c>
      <c r="AX57" s="242"/>
      <c r="AY57" s="242"/>
      <c r="AZ57" s="242">
        <f t="shared" si="19"/>
        <v>0</v>
      </c>
      <c r="BA57" s="242"/>
      <c r="BB57" s="242"/>
      <c r="BC57" s="242">
        <f t="shared" si="20"/>
        <v>0</v>
      </c>
      <c r="BD57" s="242"/>
      <c r="BE57" s="242"/>
      <c r="BF57" s="242">
        <f t="shared" si="21"/>
        <v>0</v>
      </c>
      <c r="BG57" s="242">
        <f t="shared" si="22"/>
        <v>0</v>
      </c>
      <c r="BH57" s="242"/>
      <c r="BI57" s="242">
        <f t="shared" si="23"/>
        <v>0</v>
      </c>
      <c r="BJ57" s="242">
        <f t="shared" si="24"/>
        <v>0</v>
      </c>
      <c r="BK57" s="242"/>
      <c r="BL57" s="242">
        <f t="shared" si="25"/>
        <v>0</v>
      </c>
      <c r="BM57" s="242"/>
      <c r="BN57" s="242"/>
      <c r="BO57" s="242">
        <f t="shared" si="26"/>
        <v>0</v>
      </c>
      <c r="BP57" s="242"/>
      <c r="BQ57" s="242"/>
      <c r="BR57" s="242">
        <f t="shared" si="27"/>
        <v>0</v>
      </c>
      <c r="BS57" s="242"/>
      <c r="BT57" s="241">
        <v>810000</v>
      </c>
    </row>
    <row r="58" spans="1:72" s="244" customFormat="1">
      <c r="A58" s="241">
        <f t="shared" si="4"/>
        <v>53</v>
      </c>
      <c r="B58" s="487">
        <v>1883</v>
      </c>
      <c r="C58" s="487" t="s">
        <v>286</v>
      </c>
      <c r="D58" s="488">
        <v>16500000</v>
      </c>
      <c r="E58" s="488">
        <v>16500000</v>
      </c>
      <c r="F58" s="488">
        <f t="shared" si="0"/>
        <v>0</v>
      </c>
      <c r="G58" s="488">
        <v>8300000</v>
      </c>
      <c r="H58" s="488">
        <v>116821.01</v>
      </c>
      <c r="I58" s="488">
        <v>26325</v>
      </c>
      <c r="J58" s="488">
        <v>466620.25</v>
      </c>
      <c r="K58" s="488">
        <f t="shared" si="28"/>
        <v>492945.25</v>
      </c>
      <c r="L58" s="488">
        <f t="shared" si="6"/>
        <v>609766.26</v>
      </c>
      <c r="M58" s="488">
        <f t="shared" si="7"/>
        <v>8190233.7400000002</v>
      </c>
      <c r="N58" s="488">
        <f>8200000-500000</f>
        <v>7700000</v>
      </c>
      <c r="O58" s="488">
        <f t="shared" si="8"/>
        <v>0</v>
      </c>
      <c r="P58" s="488">
        <f t="shared" si="9"/>
        <v>7690233.7400000002</v>
      </c>
      <c r="Q58" s="242"/>
      <c r="R58" s="242">
        <v>500000</v>
      </c>
      <c r="S58" s="488">
        <f t="shared" si="29"/>
        <v>500000</v>
      </c>
      <c r="T58" s="488">
        <f t="shared" si="10"/>
        <v>0</v>
      </c>
      <c r="U58" s="14">
        <f t="shared" si="2"/>
        <v>7700000</v>
      </c>
      <c r="V58" s="488">
        <v>6000000</v>
      </c>
      <c r="W58" s="242">
        <f t="shared" si="3"/>
        <v>1700000</v>
      </c>
      <c r="X58" s="488"/>
      <c r="Y58" s="487"/>
      <c r="Z58" s="242"/>
      <c r="AA58" s="242"/>
      <c r="AB58" s="242">
        <f t="shared" si="11"/>
        <v>0</v>
      </c>
      <c r="AC58" s="242"/>
      <c r="AD58" s="242"/>
      <c r="AE58" s="242">
        <f t="shared" si="12"/>
        <v>0</v>
      </c>
      <c r="AF58" s="242">
        <v>7700000</v>
      </c>
      <c r="AG58" s="242"/>
      <c r="AH58" s="242">
        <f t="shared" si="13"/>
        <v>7700000</v>
      </c>
      <c r="AI58" s="242"/>
      <c r="AJ58" s="242"/>
      <c r="AK58" s="242">
        <f t="shared" si="14"/>
        <v>0</v>
      </c>
      <c r="AL58" s="242"/>
      <c r="AM58" s="242"/>
      <c r="AN58" s="242">
        <f t="shared" si="15"/>
        <v>0</v>
      </c>
      <c r="AO58" s="242"/>
      <c r="AP58" s="242"/>
      <c r="AQ58" s="242">
        <f t="shared" si="16"/>
        <v>0</v>
      </c>
      <c r="AR58" s="242"/>
      <c r="AS58" s="242"/>
      <c r="AT58" s="242">
        <f t="shared" si="17"/>
        <v>0</v>
      </c>
      <c r="AU58" s="242"/>
      <c r="AV58" s="242"/>
      <c r="AW58" s="242">
        <f t="shared" si="18"/>
        <v>0</v>
      </c>
      <c r="AX58" s="242"/>
      <c r="AY58" s="242"/>
      <c r="AZ58" s="242">
        <f t="shared" si="19"/>
        <v>0</v>
      </c>
      <c r="BA58" s="242"/>
      <c r="BB58" s="242"/>
      <c r="BC58" s="242">
        <f t="shared" si="20"/>
        <v>0</v>
      </c>
      <c r="BD58" s="242"/>
      <c r="BE58" s="242"/>
      <c r="BF58" s="242">
        <f t="shared" si="21"/>
        <v>0</v>
      </c>
      <c r="BG58" s="242">
        <f t="shared" si="22"/>
        <v>7700000</v>
      </c>
      <c r="BH58" s="242"/>
      <c r="BI58" s="242">
        <f t="shared" si="23"/>
        <v>7700000</v>
      </c>
      <c r="BJ58" s="242">
        <f t="shared" si="24"/>
        <v>0</v>
      </c>
      <c r="BK58" s="242">
        <v>6000000</v>
      </c>
      <c r="BL58" s="242">
        <f t="shared" si="25"/>
        <v>1700000</v>
      </c>
      <c r="BM58" s="242"/>
      <c r="BN58" s="242"/>
      <c r="BO58" s="242">
        <f t="shared" si="26"/>
        <v>0</v>
      </c>
      <c r="BP58" s="242"/>
      <c r="BQ58" s="242"/>
      <c r="BR58" s="242">
        <f t="shared" si="27"/>
        <v>0</v>
      </c>
      <c r="BS58" s="242"/>
      <c r="BT58" s="487">
        <v>810000</v>
      </c>
    </row>
    <row r="59" spans="1:72" s="244" customFormat="1">
      <c r="A59" s="241">
        <f t="shared" si="4"/>
        <v>54</v>
      </c>
      <c r="B59" s="487">
        <v>1884</v>
      </c>
      <c r="C59" s="487" t="s">
        <v>287</v>
      </c>
      <c r="D59" s="488">
        <v>2100000</v>
      </c>
      <c r="E59" s="488">
        <v>2100000</v>
      </c>
      <c r="F59" s="488"/>
      <c r="G59" s="488">
        <f>1500000+600000</f>
        <v>2100000</v>
      </c>
      <c r="H59" s="488">
        <v>0</v>
      </c>
      <c r="I59" s="488">
        <v>2015142</v>
      </c>
      <c r="J59" s="488">
        <v>36387</v>
      </c>
      <c r="K59" s="488">
        <f t="shared" si="28"/>
        <v>2051529</v>
      </c>
      <c r="L59" s="488">
        <f t="shared" si="6"/>
        <v>2051529</v>
      </c>
      <c r="M59" s="488">
        <f t="shared" si="7"/>
        <v>48471</v>
      </c>
      <c r="N59" s="488"/>
      <c r="O59" s="488">
        <f t="shared" si="8"/>
        <v>0</v>
      </c>
      <c r="P59" s="488">
        <f t="shared" si="9"/>
        <v>48471</v>
      </c>
      <c r="Q59" s="242"/>
      <c r="R59" s="242"/>
      <c r="S59" s="488">
        <f t="shared" si="29"/>
        <v>0</v>
      </c>
      <c r="T59" s="488">
        <f t="shared" si="10"/>
        <v>0</v>
      </c>
      <c r="U59" s="14">
        <f t="shared" si="2"/>
        <v>0</v>
      </c>
      <c r="V59" s="488"/>
      <c r="W59" s="242">
        <f t="shared" si="3"/>
        <v>0</v>
      </c>
      <c r="X59" s="488"/>
      <c r="Y59" s="487"/>
      <c r="Z59" s="242"/>
      <c r="AA59" s="242"/>
      <c r="AB59" s="242">
        <f t="shared" si="11"/>
        <v>0</v>
      </c>
      <c r="AC59" s="242"/>
      <c r="AD59" s="242"/>
      <c r="AE59" s="242">
        <f t="shared" si="12"/>
        <v>0</v>
      </c>
      <c r="AF59" s="242"/>
      <c r="AG59" s="242"/>
      <c r="AH59" s="242">
        <f t="shared" si="13"/>
        <v>0</v>
      </c>
      <c r="AI59" s="242"/>
      <c r="AJ59" s="242"/>
      <c r="AK59" s="242">
        <f t="shared" si="14"/>
        <v>0</v>
      </c>
      <c r="AL59" s="242"/>
      <c r="AM59" s="242"/>
      <c r="AN59" s="242">
        <f t="shared" si="15"/>
        <v>0</v>
      </c>
      <c r="AO59" s="242"/>
      <c r="AP59" s="242"/>
      <c r="AQ59" s="242">
        <f t="shared" si="16"/>
        <v>0</v>
      </c>
      <c r="AR59" s="242"/>
      <c r="AS59" s="242"/>
      <c r="AT59" s="242">
        <f t="shared" si="17"/>
        <v>0</v>
      </c>
      <c r="AU59" s="242"/>
      <c r="AV59" s="242"/>
      <c r="AW59" s="242">
        <f t="shared" si="18"/>
        <v>0</v>
      </c>
      <c r="AX59" s="242"/>
      <c r="AY59" s="242"/>
      <c r="AZ59" s="242">
        <f t="shared" si="19"/>
        <v>0</v>
      </c>
      <c r="BA59" s="242"/>
      <c r="BB59" s="242"/>
      <c r="BC59" s="242">
        <f t="shared" si="20"/>
        <v>0</v>
      </c>
      <c r="BD59" s="242"/>
      <c r="BE59" s="242"/>
      <c r="BF59" s="242">
        <f t="shared" si="21"/>
        <v>0</v>
      </c>
      <c r="BG59" s="242">
        <f t="shared" si="22"/>
        <v>0</v>
      </c>
      <c r="BH59" s="242"/>
      <c r="BI59" s="242">
        <f t="shared" si="23"/>
        <v>0</v>
      </c>
      <c r="BJ59" s="242">
        <f t="shared" si="24"/>
        <v>0</v>
      </c>
      <c r="BK59" s="242"/>
      <c r="BL59" s="242">
        <f t="shared" si="25"/>
        <v>0</v>
      </c>
      <c r="BM59" s="242"/>
      <c r="BN59" s="242"/>
      <c r="BO59" s="242">
        <f t="shared" si="26"/>
        <v>0</v>
      </c>
      <c r="BP59" s="242"/>
      <c r="BQ59" s="242"/>
      <c r="BR59" s="242">
        <f t="shared" si="27"/>
        <v>0</v>
      </c>
      <c r="BS59" s="242"/>
      <c r="BT59" s="487">
        <v>810000</v>
      </c>
    </row>
    <row r="60" spans="1:72" s="244" customFormat="1">
      <c r="A60" s="241">
        <f t="shared" si="4"/>
        <v>55</v>
      </c>
      <c r="B60" s="487">
        <v>1885</v>
      </c>
      <c r="C60" s="487" t="s">
        <v>348</v>
      </c>
      <c r="D60" s="488">
        <f>450000-150000</f>
        <v>300000</v>
      </c>
      <c r="E60" s="488">
        <v>300000</v>
      </c>
      <c r="F60" s="488">
        <f>D60-E60</f>
        <v>0</v>
      </c>
      <c r="G60" s="488">
        <v>300000</v>
      </c>
      <c r="H60" s="488">
        <v>0</v>
      </c>
      <c r="I60" s="488">
        <v>286019.98</v>
      </c>
      <c r="J60" s="488"/>
      <c r="K60" s="488">
        <f t="shared" si="28"/>
        <v>286019.98</v>
      </c>
      <c r="L60" s="488">
        <f t="shared" si="6"/>
        <v>286019.98</v>
      </c>
      <c r="M60" s="488">
        <f t="shared" si="7"/>
        <v>13980.020000000019</v>
      </c>
      <c r="N60" s="488"/>
      <c r="O60" s="488">
        <f t="shared" si="8"/>
        <v>0</v>
      </c>
      <c r="P60" s="488">
        <f t="shared" si="9"/>
        <v>13980.020000000019</v>
      </c>
      <c r="Q60" s="242"/>
      <c r="R60" s="242"/>
      <c r="S60" s="488">
        <f t="shared" si="29"/>
        <v>0</v>
      </c>
      <c r="T60" s="488">
        <f t="shared" si="10"/>
        <v>0</v>
      </c>
      <c r="U60" s="14">
        <f t="shared" si="2"/>
        <v>0</v>
      </c>
      <c r="V60" s="488"/>
      <c r="W60" s="242">
        <f t="shared" si="3"/>
        <v>0</v>
      </c>
      <c r="X60" s="488"/>
      <c r="Y60" s="487"/>
      <c r="Z60" s="242"/>
      <c r="AA60" s="242"/>
      <c r="AB60" s="242">
        <f t="shared" si="11"/>
        <v>0</v>
      </c>
      <c r="AC60" s="242"/>
      <c r="AD60" s="242"/>
      <c r="AE60" s="242">
        <f t="shared" si="12"/>
        <v>0</v>
      </c>
      <c r="AF60" s="242"/>
      <c r="AG60" s="242"/>
      <c r="AH60" s="242">
        <f t="shared" si="13"/>
        <v>0</v>
      </c>
      <c r="AI60" s="242"/>
      <c r="AJ60" s="242"/>
      <c r="AK60" s="242">
        <f t="shared" si="14"/>
        <v>0</v>
      </c>
      <c r="AL60" s="242"/>
      <c r="AM60" s="242"/>
      <c r="AN60" s="242">
        <f t="shared" si="15"/>
        <v>0</v>
      </c>
      <c r="AO60" s="242"/>
      <c r="AP60" s="242"/>
      <c r="AQ60" s="242">
        <f t="shared" si="16"/>
        <v>0</v>
      </c>
      <c r="AR60" s="242"/>
      <c r="AS60" s="242"/>
      <c r="AT60" s="242">
        <f t="shared" si="17"/>
        <v>0</v>
      </c>
      <c r="AU60" s="242"/>
      <c r="AV60" s="242"/>
      <c r="AW60" s="242">
        <f t="shared" si="18"/>
        <v>0</v>
      </c>
      <c r="AX60" s="242"/>
      <c r="AY60" s="242"/>
      <c r="AZ60" s="242">
        <f t="shared" si="19"/>
        <v>0</v>
      </c>
      <c r="BA60" s="242"/>
      <c r="BB60" s="242"/>
      <c r="BC60" s="242">
        <f t="shared" si="20"/>
        <v>0</v>
      </c>
      <c r="BD60" s="242"/>
      <c r="BE60" s="242"/>
      <c r="BF60" s="242">
        <f t="shared" si="21"/>
        <v>0</v>
      </c>
      <c r="BG60" s="242">
        <f t="shared" si="22"/>
        <v>0</v>
      </c>
      <c r="BH60" s="242"/>
      <c r="BI60" s="242">
        <f t="shared" si="23"/>
        <v>0</v>
      </c>
      <c r="BJ60" s="242">
        <f t="shared" si="24"/>
        <v>0</v>
      </c>
      <c r="BK60" s="242"/>
      <c r="BL60" s="242">
        <f t="shared" si="25"/>
        <v>0</v>
      </c>
      <c r="BM60" s="242"/>
      <c r="BN60" s="242"/>
      <c r="BO60" s="242">
        <f t="shared" si="26"/>
        <v>0</v>
      </c>
      <c r="BP60" s="242"/>
      <c r="BQ60" s="242"/>
      <c r="BR60" s="242">
        <f t="shared" si="27"/>
        <v>0</v>
      </c>
      <c r="BS60" s="242"/>
      <c r="BT60" s="487">
        <v>810000</v>
      </c>
    </row>
    <row r="61" spans="1:72" s="244" customFormat="1">
      <c r="A61" s="241">
        <f t="shared" si="4"/>
        <v>56</v>
      </c>
      <c r="B61" s="487">
        <v>1886</v>
      </c>
      <c r="C61" s="487" t="s">
        <v>408</v>
      </c>
      <c r="D61" s="488">
        <v>4830000</v>
      </c>
      <c r="E61" s="488">
        <v>4830000</v>
      </c>
      <c r="F61" s="488">
        <f t="shared" ref="F61:F79" si="30">D61-E61</f>
        <v>0</v>
      </c>
      <c r="G61" s="488">
        <v>2300000</v>
      </c>
      <c r="H61" s="488">
        <v>0</v>
      </c>
      <c r="I61" s="488">
        <v>429836.88</v>
      </c>
      <c r="J61" s="488"/>
      <c r="K61" s="488">
        <f t="shared" si="28"/>
        <v>429836.88</v>
      </c>
      <c r="L61" s="488">
        <f t="shared" si="6"/>
        <v>429836.88</v>
      </c>
      <c r="M61" s="488">
        <f t="shared" si="7"/>
        <v>4400163.12</v>
      </c>
      <c r="N61" s="488"/>
      <c r="O61" s="488">
        <f t="shared" si="8"/>
        <v>0</v>
      </c>
      <c r="P61" s="488">
        <f t="shared" si="9"/>
        <v>1870163.12</v>
      </c>
      <c r="Q61" s="242"/>
      <c r="R61" s="242">
        <v>2530000</v>
      </c>
      <c r="S61" s="488">
        <f t="shared" si="29"/>
        <v>2530000</v>
      </c>
      <c r="T61" s="488">
        <f t="shared" si="10"/>
        <v>0</v>
      </c>
      <c r="U61" s="14">
        <f t="shared" si="2"/>
        <v>0</v>
      </c>
      <c r="V61" s="488"/>
      <c r="W61" s="242">
        <f t="shared" si="3"/>
        <v>0</v>
      </c>
      <c r="X61" s="488"/>
      <c r="Y61" s="242"/>
      <c r="Z61" s="242"/>
      <c r="AA61" s="242"/>
      <c r="AB61" s="242">
        <f t="shared" si="11"/>
        <v>0</v>
      </c>
      <c r="AC61" s="242"/>
      <c r="AD61" s="242"/>
      <c r="AE61" s="242">
        <f t="shared" si="12"/>
        <v>0</v>
      </c>
      <c r="AF61" s="242"/>
      <c r="AG61" s="242"/>
      <c r="AH61" s="242">
        <f t="shared" si="13"/>
        <v>0</v>
      </c>
      <c r="AI61" s="242"/>
      <c r="AJ61" s="242"/>
      <c r="AK61" s="242">
        <f t="shared" si="14"/>
        <v>0</v>
      </c>
      <c r="AL61" s="242"/>
      <c r="AM61" s="242"/>
      <c r="AN61" s="242">
        <f t="shared" si="15"/>
        <v>0</v>
      </c>
      <c r="AO61" s="242"/>
      <c r="AP61" s="242"/>
      <c r="AQ61" s="242">
        <f t="shared" si="16"/>
        <v>0</v>
      </c>
      <c r="AR61" s="242"/>
      <c r="AS61" s="242"/>
      <c r="AT61" s="242">
        <f t="shared" si="17"/>
        <v>0</v>
      </c>
      <c r="AU61" s="242"/>
      <c r="AV61" s="242"/>
      <c r="AW61" s="242">
        <f t="shared" si="18"/>
        <v>0</v>
      </c>
      <c r="AX61" s="242"/>
      <c r="AY61" s="242"/>
      <c r="AZ61" s="242">
        <f t="shared" si="19"/>
        <v>0</v>
      </c>
      <c r="BA61" s="242"/>
      <c r="BB61" s="242"/>
      <c r="BC61" s="242">
        <f t="shared" si="20"/>
        <v>0</v>
      </c>
      <c r="BD61" s="242"/>
      <c r="BE61" s="242"/>
      <c r="BF61" s="242">
        <f t="shared" si="21"/>
        <v>0</v>
      </c>
      <c r="BG61" s="242">
        <f t="shared" si="22"/>
        <v>0</v>
      </c>
      <c r="BH61" s="242"/>
      <c r="BI61" s="242">
        <f t="shared" si="23"/>
        <v>0</v>
      </c>
      <c r="BJ61" s="242">
        <f t="shared" si="24"/>
        <v>0</v>
      </c>
      <c r="BK61" s="242"/>
      <c r="BL61" s="242">
        <f t="shared" si="25"/>
        <v>0</v>
      </c>
      <c r="BM61" s="242"/>
      <c r="BN61" s="242"/>
      <c r="BO61" s="242">
        <f t="shared" si="26"/>
        <v>0</v>
      </c>
      <c r="BP61" s="242"/>
      <c r="BQ61" s="242"/>
      <c r="BR61" s="242">
        <f t="shared" si="27"/>
        <v>0</v>
      </c>
      <c r="BS61" s="242"/>
      <c r="BT61" s="487">
        <v>810000</v>
      </c>
    </row>
    <row r="62" spans="1:72" s="244" customFormat="1">
      <c r="A62" s="241">
        <f t="shared" si="4"/>
        <v>57</v>
      </c>
      <c r="B62" s="487">
        <v>1887</v>
      </c>
      <c r="C62" s="487" t="s">
        <v>288</v>
      </c>
      <c r="D62" s="488">
        <v>2000000</v>
      </c>
      <c r="E62" s="488">
        <v>2000000</v>
      </c>
      <c r="F62" s="488">
        <f t="shared" si="30"/>
        <v>0</v>
      </c>
      <c r="G62" s="488">
        <v>2000000</v>
      </c>
      <c r="H62" s="488">
        <v>140094.09</v>
      </c>
      <c r="I62" s="488">
        <v>623615.43999999994</v>
      </c>
      <c r="J62" s="488">
        <v>19305</v>
      </c>
      <c r="K62" s="488">
        <f t="shared" si="28"/>
        <v>642920.43999999994</v>
      </c>
      <c r="L62" s="488">
        <f t="shared" si="6"/>
        <v>783014.52999999991</v>
      </c>
      <c r="M62" s="488">
        <f t="shared" si="7"/>
        <v>1216985.4700000002</v>
      </c>
      <c r="N62" s="488"/>
      <c r="O62" s="488">
        <f t="shared" si="8"/>
        <v>0</v>
      </c>
      <c r="P62" s="488">
        <f t="shared" si="9"/>
        <v>1216985.4700000002</v>
      </c>
      <c r="Q62" s="242"/>
      <c r="R62" s="242"/>
      <c r="S62" s="488">
        <f t="shared" si="29"/>
        <v>0</v>
      </c>
      <c r="T62" s="488">
        <f t="shared" si="10"/>
        <v>0</v>
      </c>
      <c r="U62" s="14">
        <f t="shared" si="2"/>
        <v>0</v>
      </c>
      <c r="V62" s="488"/>
      <c r="W62" s="242">
        <f t="shared" si="3"/>
        <v>0</v>
      </c>
      <c r="X62" s="488"/>
      <c r="Y62" s="487"/>
      <c r="Z62" s="242"/>
      <c r="AA62" s="242"/>
      <c r="AB62" s="242">
        <f t="shared" si="11"/>
        <v>0</v>
      </c>
      <c r="AC62" s="242"/>
      <c r="AD62" s="242"/>
      <c r="AE62" s="242">
        <f t="shared" si="12"/>
        <v>0</v>
      </c>
      <c r="AF62" s="242"/>
      <c r="AG62" s="242"/>
      <c r="AH62" s="242">
        <f t="shared" si="13"/>
        <v>0</v>
      </c>
      <c r="AI62" s="242"/>
      <c r="AJ62" s="242"/>
      <c r="AK62" s="242">
        <f t="shared" si="14"/>
        <v>0</v>
      </c>
      <c r="AL62" s="242"/>
      <c r="AM62" s="242"/>
      <c r="AN62" s="242">
        <f t="shared" si="15"/>
        <v>0</v>
      </c>
      <c r="AO62" s="242"/>
      <c r="AP62" s="242"/>
      <c r="AQ62" s="242">
        <f t="shared" si="16"/>
        <v>0</v>
      </c>
      <c r="AR62" s="242"/>
      <c r="AS62" s="242"/>
      <c r="AT62" s="242">
        <f t="shared" si="17"/>
        <v>0</v>
      </c>
      <c r="AU62" s="242"/>
      <c r="AV62" s="242"/>
      <c r="AW62" s="242">
        <f t="shared" si="18"/>
        <v>0</v>
      </c>
      <c r="AX62" s="242"/>
      <c r="AY62" s="242"/>
      <c r="AZ62" s="242">
        <f t="shared" si="19"/>
        <v>0</v>
      </c>
      <c r="BA62" s="242"/>
      <c r="BB62" s="242"/>
      <c r="BC62" s="242">
        <f t="shared" si="20"/>
        <v>0</v>
      </c>
      <c r="BD62" s="242"/>
      <c r="BE62" s="242"/>
      <c r="BF62" s="242">
        <f t="shared" si="21"/>
        <v>0</v>
      </c>
      <c r="BG62" s="242">
        <f t="shared" si="22"/>
        <v>0</v>
      </c>
      <c r="BH62" s="242"/>
      <c r="BI62" s="242">
        <f t="shared" si="23"/>
        <v>0</v>
      </c>
      <c r="BJ62" s="242">
        <f t="shared" si="24"/>
        <v>0</v>
      </c>
      <c r="BK62" s="242"/>
      <c r="BL62" s="242">
        <f t="shared" si="25"/>
        <v>0</v>
      </c>
      <c r="BM62" s="242"/>
      <c r="BN62" s="242"/>
      <c r="BO62" s="242">
        <f t="shared" si="26"/>
        <v>0</v>
      </c>
      <c r="BP62" s="242"/>
      <c r="BQ62" s="242"/>
      <c r="BR62" s="242">
        <f t="shared" si="27"/>
        <v>0</v>
      </c>
      <c r="BS62" s="242"/>
      <c r="BT62" s="487">
        <v>810000</v>
      </c>
    </row>
    <row r="63" spans="1:72" s="244" customFormat="1">
      <c r="A63" s="241">
        <f t="shared" si="4"/>
        <v>58</v>
      </c>
      <c r="B63" s="241">
        <v>1889</v>
      </c>
      <c r="C63" s="241" t="s">
        <v>300</v>
      </c>
      <c r="D63" s="242">
        <v>1450000</v>
      </c>
      <c r="E63" s="242">
        <v>1450000</v>
      </c>
      <c r="F63" s="488">
        <f t="shared" si="30"/>
        <v>0</v>
      </c>
      <c r="G63" s="242">
        <f>1200000+250000</f>
        <v>1450000</v>
      </c>
      <c r="H63" s="242">
        <v>0</v>
      </c>
      <c r="I63" s="242">
        <v>1199984.57</v>
      </c>
      <c r="J63" s="242"/>
      <c r="K63" s="242">
        <f t="shared" si="28"/>
        <v>1199984.57</v>
      </c>
      <c r="L63" s="242">
        <f t="shared" si="6"/>
        <v>1199984.57</v>
      </c>
      <c r="M63" s="242">
        <f t="shared" si="7"/>
        <v>250015.42999999993</v>
      </c>
      <c r="N63" s="242"/>
      <c r="O63" s="242">
        <f t="shared" si="8"/>
        <v>0</v>
      </c>
      <c r="P63" s="242">
        <f t="shared" si="9"/>
        <v>250015.42999999993</v>
      </c>
      <c r="Q63" s="242"/>
      <c r="R63" s="242"/>
      <c r="S63" s="242">
        <f t="shared" si="29"/>
        <v>0</v>
      </c>
      <c r="T63" s="242">
        <f t="shared" si="10"/>
        <v>0</v>
      </c>
      <c r="U63" s="14">
        <f t="shared" si="2"/>
        <v>0</v>
      </c>
      <c r="V63" s="242"/>
      <c r="W63" s="242">
        <f t="shared" si="3"/>
        <v>0</v>
      </c>
      <c r="X63" s="242"/>
      <c r="Y63" s="241"/>
      <c r="Z63" s="242"/>
      <c r="AA63" s="242"/>
      <c r="AB63" s="242">
        <f t="shared" si="11"/>
        <v>0</v>
      </c>
      <c r="AC63" s="242"/>
      <c r="AD63" s="242"/>
      <c r="AE63" s="242">
        <f t="shared" si="12"/>
        <v>0</v>
      </c>
      <c r="AF63" s="242"/>
      <c r="AG63" s="242"/>
      <c r="AH63" s="242">
        <f t="shared" si="13"/>
        <v>0</v>
      </c>
      <c r="AI63" s="242"/>
      <c r="AJ63" s="242"/>
      <c r="AK63" s="242">
        <f t="shared" si="14"/>
        <v>0</v>
      </c>
      <c r="AL63" s="242"/>
      <c r="AM63" s="242"/>
      <c r="AN63" s="242">
        <f t="shared" si="15"/>
        <v>0</v>
      </c>
      <c r="AO63" s="242"/>
      <c r="AP63" s="242"/>
      <c r="AQ63" s="242">
        <f t="shared" si="16"/>
        <v>0</v>
      </c>
      <c r="AR63" s="242"/>
      <c r="AS63" s="242"/>
      <c r="AT63" s="242">
        <f t="shared" si="17"/>
        <v>0</v>
      </c>
      <c r="AU63" s="242"/>
      <c r="AV63" s="242"/>
      <c r="AW63" s="242">
        <f t="shared" si="18"/>
        <v>0</v>
      </c>
      <c r="AX63" s="242"/>
      <c r="AY63" s="242"/>
      <c r="AZ63" s="242">
        <f t="shared" si="19"/>
        <v>0</v>
      </c>
      <c r="BA63" s="242"/>
      <c r="BB63" s="242"/>
      <c r="BC63" s="242">
        <f t="shared" si="20"/>
        <v>0</v>
      </c>
      <c r="BD63" s="242"/>
      <c r="BE63" s="242"/>
      <c r="BF63" s="242">
        <f t="shared" si="21"/>
        <v>0</v>
      </c>
      <c r="BG63" s="242">
        <f t="shared" si="22"/>
        <v>0</v>
      </c>
      <c r="BH63" s="242"/>
      <c r="BI63" s="242">
        <f t="shared" si="23"/>
        <v>0</v>
      </c>
      <c r="BJ63" s="242">
        <f t="shared" si="24"/>
        <v>0</v>
      </c>
      <c r="BK63" s="242"/>
      <c r="BL63" s="242">
        <f t="shared" si="25"/>
        <v>0</v>
      </c>
      <c r="BM63" s="242"/>
      <c r="BN63" s="242"/>
      <c r="BO63" s="242">
        <f t="shared" si="26"/>
        <v>0</v>
      </c>
      <c r="BP63" s="242"/>
      <c r="BQ63" s="242"/>
      <c r="BR63" s="242">
        <f t="shared" si="27"/>
        <v>0</v>
      </c>
      <c r="BS63" s="242"/>
      <c r="BT63" s="241">
        <v>810000</v>
      </c>
    </row>
    <row r="64" spans="1:72" s="244" customFormat="1">
      <c r="A64" s="241">
        <f t="shared" si="4"/>
        <v>59</v>
      </c>
      <c r="B64" s="396">
        <v>1891</v>
      </c>
      <c r="C64" s="396" t="s">
        <v>892</v>
      </c>
      <c r="D64" s="242">
        <v>110000</v>
      </c>
      <c r="E64" s="242">
        <v>110000</v>
      </c>
      <c r="F64" s="488">
        <f t="shared" si="30"/>
        <v>0</v>
      </c>
      <c r="G64" s="242">
        <v>110000</v>
      </c>
      <c r="H64" s="242">
        <v>0</v>
      </c>
      <c r="I64" s="242">
        <v>72948.990000000005</v>
      </c>
      <c r="J64" s="242"/>
      <c r="K64" s="242">
        <f t="shared" si="28"/>
        <v>72948.990000000005</v>
      </c>
      <c r="L64" s="242">
        <f t="shared" si="6"/>
        <v>72948.990000000005</v>
      </c>
      <c r="M64" s="242">
        <f t="shared" si="7"/>
        <v>37051.009999999995</v>
      </c>
      <c r="N64" s="242"/>
      <c r="O64" s="242">
        <f t="shared" si="8"/>
        <v>0</v>
      </c>
      <c r="P64" s="242">
        <f t="shared" si="9"/>
        <v>37051.009999999995</v>
      </c>
      <c r="Q64" s="242"/>
      <c r="R64" s="242"/>
      <c r="S64" s="242">
        <f t="shared" si="29"/>
        <v>0</v>
      </c>
      <c r="T64" s="242">
        <f t="shared" si="10"/>
        <v>0</v>
      </c>
      <c r="U64" s="14">
        <f t="shared" si="2"/>
        <v>0</v>
      </c>
      <c r="V64" s="242"/>
      <c r="W64" s="242">
        <f t="shared" si="3"/>
        <v>0</v>
      </c>
      <c r="X64" s="242"/>
      <c r="Y64" s="241"/>
      <c r="Z64" s="242"/>
      <c r="AA64" s="242"/>
      <c r="AB64" s="242">
        <f t="shared" si="11"/>
        <v>0</v>
      </c>
      <c r="AC64" s="242"/>
      <c r="AD64" s="242"/>
      <c r="AE64" s="242">
        <f t="shared" si="12"/>
        <v>0</v>
      </c>
      <c r="AF64" s="242"/>
      <c r="AG64" s="242"/>
      <c r="AH64" s="242">
        <f t="shared" si="13"/>
        <v>0</v>
      </c>
      <c r="AI64" s="242"/>
      <c r="AJ64" s="242"/>
      <c r="AK64" s="242">
        <f t="shared" si="14"/>
        <v>0</v>
      </c>
      <c r="AL64" s="242"/>
      <c r="AM64" s="242"/>
      <c r="AN64" s="242">
        <f t="shared" si="15"/>
        <v>0</v>
      </c>
      <c r="AO64" s="242"/>
      <c r="AP64" s="242"/>
      <c r="AQ64" s="242">
        <f t="shared" si="16"/>
        <v>0</v>
      </c>
      <c r="AR64" s="242"/>
      <c r="AS64" s="242"/>
      <c r="AT64" s="242">
        <f t="shared" si="17"/>
        <v>0</v>
      </c>
      <c r="AU64" s="242"/>
      <c r="AV64" s="242"/>
      <c r="AW64" s="242">
        <f t="shared" si="18"/>
        <v>0</v>
      </c>
      <c r="AX64" s="242"/>
      <c r="AY64" s="242"/>
      <c r="AZ64" s="242">
        <f t="shared" si="19"/>
        <v>0</v>
      </c>
      <c r="BA64" s="242"/>
      <c r="BB64" s="242"/>
      <c r="BC64" s="242">
        <f t="shared" si="20"/>
        <v>0</v>
      </c>
      <c r="BD64" s="242"/>
      <c r="BE64" s="242"/>
      <c r="BF64" s="242">
        <f t="shared" si="21"/>
        <v>0</v>
      </c>
      <c r="BG64" s="242">
        <f t="shared" si="22"/>
        <v>0</v>
      </c>
      <c r="BH64" s="242"/>
      <c r="BI64" s="242">
        <f t="shared" si="23"/>
        <v>0</v>
      </c>
      <c r="BJ64" s="242">
        <f t="shared" si="24"/>
        <v>0</v>
      </c>
      <c r="BK64" s="242"/>
      <c r="BL64" s="242">
        <f t="shared" si="25"/>
        <v>0</v>
      </c>
      <c r="BM64" s="242"/>
      <c r="BN64" s="242"/>
      <c r="BO64" s="242">
        <f t="shared" si="26"/>
        <v>0</v>
      </c>
      <c r="BP64" s="242"/>
      <c r="BQ64" s="242"/>
      <c r="BR64" s="242">
        <f t="shared" si="27"/>
        <v>0</v>
      </c>
      <c r="BS64" s="242"/>
      <c r="BT64" s="241">
        <v>742000</v>
      </c>
    </row>
    <row r="65" spans="1:72" s="244" customFormat="1">
      <c r="A65" s="241">
        <f t="shared" si="4"/>
        <v>60</v>
      </c>
      <c r="B65" s="241">
        <v>1897</v>
      </c>
      <c r="C65" s="241" t="s">
        <v>289</v>
      </c>
      <c r="D65" s="242">
        <v>200000</v>
      </c>
      <c r="E65" s="242">
        <v>200000</v>
      </c>
      <c r="F65" s="488">
        <f t="shared" si="30"/>
        <v>0</v>
      </c>
      <c r="G65" s="242">
        <v>200000</v>
      </c>
      <c r="H65" s="242">
        <v>0</v>
      </c>
      <c r="I65" s="242">
        <v>182200.81</v>
      </c>
      <c r="J65" s="242"/>
      <c r="K65" s="242">
        <f t="shared" ref="K65:K73" si="31">SUM(I65:J65)</f>
        <v>182200.81</v>
      </c>
      <c r="L65" s="242">
        <f t="shared" si="6"/>
        <v>182200.81</v>
      </c>
      <c r="M65" s="242">
        <f t="shared" si="7"/>
        <v>17799.190000000002</v>
      </c>
      <c r="N65" s="242"/>
      <c r="O65" s="242">
        <f t="shared" si="8"/>
        <v>0</v>
      </c>
      <c r="P65" s="242">
        <f t="shared" si="9"/>
        <v>17799.190000000002</v>
      </c>
      <c r="Q65" s="242"/>
      <c r="R65" s="242"/>
      <c r="S65" s="242">
        <f t="shared" si="29"/>
        <v>0</v>
      </c>
      <c r="T65" s="242">
        <f t="shared" si="10"/>
        <v>0</v>
      </c>
      <c r="U65" s="14">
        <f t="shared" si="2"/>
        <v>0</v>
      </c>
      <c r="V65" s="242"/>
      <c r="W65" s="242">
        <f t="shared" si="3"/>
        <v>0</v>
      </c>
      <c r="X65" s="242"/>
      <c r="Y65" s="241"/>
      <c r="Z65" s="242"/>
      <c r="AA65" s="242"/>
      <c r="AB65" s="242">
        <f t="shared" si="11"/>
        <v>0</v>
      </c>
      <c r="AC65" s="242"/>
      <c r="AD65" s="242"/>
      <c r="AE65" s="242">
        <f t="shared" si="12"/>
        <v>0</v>
      </c>
      <c r="AF65" s="242"/>
      <c r="AG65" s="242"/>
      <c r="AH65" s="242">
        <f t="shared" si="13"/>
        <v>0</v>
      </c>
      <c r="AI65" s="242"/>
      <c r="AJ65" s="242"/>
      <c r="AK65" s="242">
        <f t="shared" si="14"/>
        <v>0</v>
      </c>
      <c r="AL65" s="242"/>
      <c r="AM65" s="242"/>
      <c r="AN65" s="242">
        <f t="shared" si="15"/>
        <v>0</v>
      </c>
      <c r="AO65" s="242"/>
      <c r="AP65" s="242"/>
      <c r="AQ65" s="242">
        <f t="shared" si="16"/>
        <v>0</v>
      </c>
      <c r="AR65" s="242"/>
      <c r="AS65" s="242"/>
      <c r="AT65" s="242">
        <f t="shared" si="17"/>
        <v>0</v>
      </c>
      <c r="AU65" s="242"/>
      <c r="AV65" s="242"/>
      <c r="AW65" s="242">
        <f t="shared" si="18"/>
        <v>0</v>
      </c>
      <c r="AX65" s="242"/>
      <c r="AY65" s="242"/>
      <c r="AZ65" s="242">
        <f t="shared" si="19"/>
        <v>0</v>
      </c>
      <c r="BA65" s="242"/>
      <c r="BB65" s="242"/>
      <c r="BC65" s="242">
        <f t="shared" si="20"/>
        <v>0</v>
      </c>
      <c r="BD65" s="242"/>
      <c r="BE65" s="242"/>
      <c r="BF65" s="242">
        <f t="shared" si="21"/>
        <v>0</v>
      </c>
      <c r="BG65" s="242">
        <f t="shared" si="22"/>
        <v>0</v>
      </c>
      <c r="BH65" s="242"/>
      <c r="BI65" s="242">
        <f t="shared" si="23"/>
        <v>0</v>
      </c>
      <c r="BJ65" s="242">
        <f t="shared" si="24"/>
        <v>0</v>
      </c>
      <c r="BK65" s="242"/>
      <c r="BL65" s="242">
        <f t="shared" si="25"/>
        <v>0</v>
      </c>
      <c r="BM65" s="242"/>
      <c r="BN65" s="242"/>
      <c r="BO65" s="242">
        <f t="shared" si="26"/>
        <v>0</v>
      </c>
      <c r="BP65" s="242"/>
      <c r="BQ65" s="242"/>
      <c r="BR65" s="242">
        <f t="shared" si="27"/>
        <v>0</v>
      </c>
      <c r="BS65" s="242"/>
      <c r="BT65" s="241">
        <v>850000</v>
      </c>
    </row>
    <row r="66" spans="1:72" s="244" customFormat="1">
      <c r="A66" s="241">
        <f t="shared" si="4"/>
        <v>61</v>
      </c>
      <c r="B66" s="241">
        <v>1900</v>
      </c>
      <c r="C66" s="241" t="s">
        <v>290</v>
      </c>
      <c r="D66" s="242">
        <v>700000</v>
      </c>
      <c r="E66" s="242">
        <v>700000</v>
      </c>
      <c r="F66" s="488">
        <f t="shared" si="30"/>
        <v>0</v>
      </c>
      <c r="G66" s="242">
        <v>700000</v>
      </c>
      <c r="H66" s="242">
        <v>0</v>
      </c>
      <c r="I66" s="242">
        <v>28080</v>
      </c>
      <c r="J66" s="242"/>
      <c r="K66" s="242">
        <f t="shared" si="31"/>
        <v>28080</v>
      </c>
      <c r="L66" s="242">
        <f t="shared" si="6"/>
        <v>28080</v>
      </c>
      <c r="M66" s="242">
        <f t="shared" si="7"/>
        <v>671920</v>
      </c>
      <c r="N66" s="242"/>
      <c r="O66" s="242">
        <f t="shared" si="8"/>
        <v>0</v>
      </c>
      <c r="P66" s="242">
        <f t="shared" si="9"/>
        <v>671920</v>
      </c>
      <c r="Q66" s="242"/>
      <c r="R66" s="242"/>
      <c r="S66" s="242">
        <f t="shared" si="29"/>
        <v>0</v>
      </c>
      <c r="T66" s="242">
        <f t="shared" si="10"/>
        <v>0</v>
      </c>
      <c r="U66" s="14">
        <f t="shared" si="2"/>
        <v>0</v>
      </c>
      <c r="V66" s="242"/>
      <c r="W66" s="242">
        <f t="shared" si="3"/>
        <v>0</v>
      </c>
      <c r="X66" s="242"/>
      <c r="Y66" s="241"/>
      <c r="Z66" s="242"/>
      <c r="AA66" s="242"/>
      <c r="AB66" s="242">
        <f t="shared" si="11"/>
        <v>0</v>
      </c>
      <c r="AC66" s="242"/>
      <c r="AD66" s="242"/>
      <c r="AE66" s="242">
        <f t="shared" si="12"/>
        <v>0</v>
      </c>
      <c r="AF66" s="242"/>
      <c r="AG66" s="242"/>
      <c r="AH66" s="242">
        <f t="shared" si="13"/>
        <v>0</v>
      </c>
      <c r="AI66" s="242"/>
      <c r="AJ66" s="242"/>
      <c r="AK66" s="242">
        <f t="shared" si="14"/>
        <v>0</v>
      </c>
      <c r="AL66" s="242"/>
      <c r="AM66" s="242"/>
      <c r="AN66" s="242">
        <f t="shared" si="15"/>
        <v>0</v>
      </c>
      <c r="AO66" s="242"/>
      <c r="AP66" s="242"/>
      <c r="AQ66" s="242">
        <f t="shared" si="16"/>
        <v>0</v>
      </c>
      <c r="AR66" s="242"/>
      <c r="AS66" s="242"/>
      <c r="AT66" s="242">
        <f t="shared" si="17"/>
        <v>0</v>
      </c>
      <c r="AU66" s="242"/>
      <c r="AV66" s="242"/>
      <c r="AW66" s="242">
        <f t="shared" si="18"/>
        <v>0</v>
      </c>
      <c r="AX66" s="242"/>
      <c r="AY66" s="242"/>
      <c r="AZ66" s="242">
        <f t="shared" si="19"/>
        <v>0</v>
      </c>
      <c r="BA66" s="242"/>
      <c r="BB66" s="242"/>
      <c r="BC66" s="242">
        <f t="shared" si="20"/>
        <v>0</v>
      </c>
      <c r="BD66" s="242"/>
      <c r="BE66" s="242"/>
      <c r="BF66" s="242">
        <f t="shared" si="21"/>
        <v>0</v>
      </c>
      <c r="BG66" s="242">
        <f t="shared" si="22"/>
        <v>0</v>
      </c>
      <c r="BH66" s="242"/>
      <c r="BI66" s="242">
        <f t="shared" si="23"/>
        <v>0</v>
      </c>
      <c r="BJ66" s="242">
        <f t="shared" si="24"/>
        <v>0</v>
      </c>
      <c r="BK66" s="242"/>
      <c r="BL66" s="242">
        <f t="shared" si="25"/>
        <v>0</v>
      </c>
      <c r="BM66" s="242"/>
      <c r="BN66" s="242"/>
      <c r="BO66" s="242">
        <f t="shared" si="26"/>
        <v>0</v>
      </c>
      <c r="BP66" s="242"/>
      <c r="BQ66" s="242"/>
      <c r="BR66" s="242">
        <f t="shared" si="27"/>
        <v>0</v>
      </c>
      <c r="BS66" s="242"/>
      <c r="BT66" s="241">
        <v>810000</v>
      </c>
    </row>
    <row r="67" spans="1:72" s="244" customFormat="1">
      <c r="A67" s="241">
        <f t="shared" si="4"/>
        <v>62</v>
      </c>
      <c r="B67" s="241">
        <v>1916</v>
      </c>
      <c r="C67" s="241" t="s">
        <v>291</v>
      </c>
      <c r="D67" s="242">
        <v>300000</v>
      </c>
      <c r="E67" s="242">
        <v>300000</v>
      </c>
      <c r="F67" s="488">
        <f t="shared" si="30"/>
        <v>0</v>
      </c>
      <c r="G67" s="242">
        <v>0</v>
      </c>
      <c r="H67" s="242">
        <v>0</v>
      </c>
      <c r="I67" s="242"/>
      <c r="J67" s="242"/>
      <c r="K67" s="242">
        <f t="shared" si="31"/>
        <v>0</v>
      </c>
      <c r="L67" s="242">
        <f t="shared" si="6"/>
        <v>0</v>
      </c>
      <c r="M67" s="242">
        <f t="shared" si="7"/>
        <v>0</v>
      </c>
      <c r="N67" s="242">
        <v>300000</v>
      </c>
      <c r="O67" s="242">
        <f t="shared" si="8"/>
        <v>0</v>
      </c>
      <c r="P67" s="242">
        <f t="shared" si="9"/>
        <v>0</v>
      </c>
      <c r="Q67" s="242"/>
      <c r="R67" s="242">
        <f>300000-300000</f>
        <v>0</v>
      </c>
      <c r="S67" s="242">
        <f t="shared" si="29"/>
        <v>0</v>
      </c>
      <c r="T67" s="242">
        <f t="shared" si="10"/>
        <v>0</v>
      </c>
      <c r="U67" s="14">
        <f t="shared" si="2"/>
        <v>300000</v>
      </c>
      <c r="V67" s="242"/>
      <c r="W67" s="242">
        <f t="shared" si="3"/>
        <v>300000</v>
      </c>
      <c r="X67" s="242"/>
      <c r="Y67" s="241"/>
      <c r="Z67" s="242"/>
      <c r="AA67" s="242"/>
      <c r="AB67" s="242">
        <f t="shared" si="11"/>
        <v>0</v>
      </c>
      <c r="AC67" s="242"/>
      <c r="AD67" s="242"/>
      <c r="AE67" s="242">
        <f t="shared" si="12"/>
        <v>0</v>
      </c>
      <c r="AF67" s="242"/>
      <c r="AG67" s="242"/>
      <c r="AH67" s="242">
        <f t="shared" si="13"/>
        <v>0</v>
      </c>
      <c r="AI67" s="242"/>
      <c r="AJ67" s="242"/>
      <c r="AK67" s="242">
        <f t="shared" si="14"/>
        <v>0</v>
      </c>
      <c r="AL67" s="242">
        <v>300000</v>
      </c>
      <c r="AM67" s="242"/>
      <c r="AN67" s="242">
        <f t="shared" si="15"/>
        <v>300000</v>
      </c>
      <c r="AO67" s="242"/>
      <c r="AP67" s="242"/>
      <c r="AQ67" s="242">
        <f t="shared" si="16"/>
        <v>0</v>
      </c>
      <c r="AR67" s="242"/>
      <c r="AS67" s="242"/>
      <c r="AT67" s="242">
        <f t="shared" si="17"/>
        <v>0</v>
      </c>
      <c r="AU67" s="242"/>
      <c r="AV67" s="242"/>
      <c r="AW67" s="242">
        <f t="shared" si="18"/>
        <v>0</v>
      </c>
      <c r="AX67" s="242"/>
      <c r="AY67" s="242"/>
      <c r="AZ67" s="242">
        <f t="shared" si="19"/>
        <v>0</v>
      </c>
      <c r="BA67" s="242"/>
      <c r="BB67" s="242"/>
      <c r="BC67" s="242">
        <f t="shared" si="20"/>
        <v>0</v>
      </c>
      <c r="BD67" s="242"/>
      <c r="BE67" s="242"/>
      <c r="BF67" s="242">
        <f t="shared" si="21"/>
        <v>0</v>
      </c>
      <c r="BG67" s="242">
        <f t="shared" si="22"/>
        <v>300000</v>
      </c>
      <c r="BH67" s="242"/>
      <c r="BI67" s="242">
        <f t="shared" si="23"/>
        <v>300000</v>
      </c>
      <c r="BJ67" s="242">
        <f t="shared" si="24"/>
        <v>0</v>
      </c>
      <c r="BK67" s="242"/>
      <c r="BL67" s="242">
        <f t="shared" si="25"/>
        <v>300000</v>
      </c>
      <c r="BM67" s="242"/>
      <c r="BN67" s="242"/>
      <c r="BO67" s="242">
        <f t="shared" si="26"/>
        <v>0</v>
      </c>
      <c r="BP67" s="242"/>
      <c r="BQ67" s="242"/>
      <c r="BR67" s="242">
        <f t="shared" si="27"/>
        <v>0</v>
      </c>
      <c r="BS67" s="242"/>
      <c r="BT67" s="241">
        <v>824000</v>
      </c>
    </row>
    <row r="68" spans="1:72" s="244" customFormat="1">
      <c r="A68" s="241">
        <f t="shared" si="4"/>
        <v>63</v>
      </c>
      <c r="B68" s="241">
        <v>1917</v>
      </c>
      <c r="C68" s="241" t="s">
        <v>292</v>
      </c>
      <c r="D68" s="242">
        <v>76800000</v>
      </c>
      <c r="E68" s="242">
        <v>76800000</v>
      </c>
      <c r="F68" s="488">
        <f t="shared" si="30"/>
        <v>0</v>
      </c>
      <c r="G68" s="242">
        <v>1500000</v>
      </c>
      <c r="H68" s="242">
        <v>18242</v>
      </c>
      <c r="I68" s="242">
        <v>1402779</v>
      </c>
      <c r="J68" s="242"/>
      <c r="K68" s="242">
        <f t="shared" si="31"/>
        <v>1402779</v>
      </c>
      <c r="L68" s="242">
        <f t="shared" si="6"/>
        <v>1421021</v>
      </c>
      <c r="M68" s="242">
        <f t="shared" si="7"/>
        <v>3578979</v>
      </c>
      <c r="N68" s="242">
        <f>5000000-2500000</f>
        <v>2500000</v>
      </c>
      <c r="O68" s="242">
        <f t="shared" si="8"/>
        <v>69300000</v>
      </c>
      <c r="P68" s="242">
        <f t="shared" si="9"/>
        <v>78979</v>
      </c>
      <c r="Q68" s="242"/>
      <c r="R68" s="485">
        <v>3500000</v>
      </c>
      <c r="S68" s="242">
        <f t="shared" si="29"/>
        <v>3500000</v>
      </c>
      <c r="T68" s="242">
        <f t="shared" si="10"/>
        <v>0</v>
      </c>
      <c r="U68" s="14">
        <f t="shared" si="2"/>
        <v>2500000</v>
      </c>
      <c r="V68" s="242">
        <v>2500000</v>
      </c>
      <c r="W68" s="242">
        <f t="shared" si="3"/>
        <v>0</v>
      </c>
      <c r="X68" s="242"/>
      <c r="Y68" s="241"/>
      <c r="Z68" s="242"/>
      <c r="AA68" s="242"/>
      <c r="AB68" s="242">
        <f t="shared" si="11"/>
        <v>0</v>
      </c>
      <c r="AC68" s="242"/>
      <c r="AD68" s="242"/>
      <c r="AE68" s="242">
        <f t="shared" si="12"/>
        <v>0</v>
      </c>
      <c r="AF68" s="242"/>
      <c r="AG68" s="242"/>
      <c r="AH68" s="242">
        <f t="shared" si="13"/>
        <v>0</v>
      </c>
      <c r="AI68" s="242">
        <v>2500000</v>
      </c>
      <c r="AJ68" s="242"/>
      <c r="AK68" s="242">
        <f t="shared" si="14"/>
        <v>2500000</v>
      </c>
      <c r="AL68" s="242"/>
      <c r="AM68" s="242"/>
      <c r="AN68" s="242">
        <f t="shared" si="15"/>
        <v>0</v>
      </c>
      <c r="AO68" s="242"/>
      <c r="AP68" s="242"/>
      <c r="AQ68" s="242">
        <f t="shared" si="16"/>
        <v>0</v>
      </c>
      <c r="AR68" s="242"/>
      <c r="AS68" s="242"/>
      <c r="AT68" s="242">
        <f t="shared" si="17"/>
        <v>0</v>
      </c>
      <c r="AU68" s="242"/>
      <c r="AV68" s="242"/>
      <c r="AW68" s="242">
        <f t="shared" si="18"/>
        <v>0</v>
      </c>
      <c r="AX68" s="242"/>
      <c r="AY68" s="242"/>
      <c r="AZ68" s="242">
        <f t="shared" si="19"/>
        <v>0</v>
      </c>
      <c r="BA68" s="242"/>
      <c r="BB68" s="242"/>
      <c r="BC68" s="242">
        <f t="shared" si="20"/>
        <v>0</v>
      </c>
      <c r="BD68" s="242"/>
      <c r="BE68" s="242"/>
      <c r="BF68" s="242">
        <f t="shared" si="21"/>
        <v>0</v>
      </c>
      <c r="BG68" s="242">
        <f t="shared" si="22"/>
        <v>2500000</v>
      </c>
      <c r="BH68" s="242"/>
      <c r="BI68" s="242">
        <f t="shared" si="23"/>
        <v>2500000</v>
      </c>
      <c r="BJ68" s="242">
        <f t="shared" si="24"/>
        <v>0</v>
      </c>
      <c r="BK68" s="242">
        <v>2500000</v>
      </c>
      <c r="BL68" s="242">
        <f t="shared" si="25"/>
        <v>0</v>
      </c>
      <c r="BM68" s="242"/>
      <c r="BN68" s="242"/>
      <c r="BO68" s="242">
        <f t="shared" si="26"/>
        <v>0</v>
      </c>
      <c r="BP68" s="242"/>
      <c r="BQ68" s="242"/>
      <c r="BR68" s="242">
        <f t="shared" si="27"/>
        <v>0</v>
      </c>
      <c r="BS68" s="242"/>
      <c r="BT68" s="241">
        <v>743000</v>
      </c>
    </row>
    <row r="69" spans="1:72" s="244" customFormat="1">
      <c r="A69" s="241">
        <f t="shared" si="4"/>
        <v>64</v>
      </c>
      <c r="B69" s="487">
        <v>1918</v>
      </c>
      <c r="C69" s="487" t="s">
        <v>293</v>
      </c>
      <c r="D69" s="488">
        <v>2017000</v>
      </c>
      <c r="E69" s="488">
        <v>2017000</v>
      </c>
      <c r="F69" s="488">
        <f t="shared" si="30"/>
        <v>0</v>
      </c>
      <c r="G69" s="488">
        <v>1167000</v>
      </c>
      <c r="H69" s="488">
        <v>0</v>
      </c>
      <c r="I69" s="488">
        <v>62712</v>
      </c>
      <c r="J69" s="488"/>
      <c r="K69" s="488">
        <f t="shared" si="31"/>
        <v>62712</v>
      </c>
      <c r="L69" s="488">
        <f t="shared" si="6"/>
        <v>62712</v>
      </c>
      <c r="M69" s="488">
        <f t="shared" si="7"/>
        <v>1954288</v>
      </c>
      <c r="N69" s="488"/>
      <c r="O69" s="488">
        <f t="shared" si="8"/>
        <v>0</v>
      </c>
      <c r="P69" s="488">
        <f t="shared" si="9"/>
        <v>1104288</v>
      </c>
      <c r="Q69" s="242"/>
      <c r="R69" s="242">
        <v>850000</v>
      </c>
      <c r="S69" s="488">
        <f t="shared" si="29"/>
        <v>850000</v>
      </c>
      <c r="T69" s="488">
        <f t="shared" si="10"/>
        <v>0</v>
      </c>
      <c r="U69" s="14">
        <f t="shared" si="2"/>
        <v>0</v>
      </c>
      <c r="V69" s="488"/>
      <c r="W69" s="242">
        <f t="shared" si="3"/>
        <v>0</v>
      </c>
      <c r="X69" s="488"/>
      <c r="Y69" s="487"/>
      <c r="Z69" s="242"/>
      <c r="AA69" s="242"/>
      <c r="AB69" s="242">
        <f t="shared" si="11"/>
        <v>0</v>
      </c>
      <c r="AC69" s="242"/>
      <c r="AD69" s="242"/>
      <c r="AE69" s="242">
        <f t="shared" si="12"/>
        <v>0</v>
      </c>
      <c r="AF69" s="242"/>
      <c r="AG69" s="242"/>
      <c r="AH69" s="242">
        <f t="shared" si="13"/>
        <v>0</v>
      </c>
      <c r="AI69" s="242"/>
      <c r="AJ69" s="242"/>
      <c r="AK69" s="242">
        <f t="shared" si="14"/>
        <v>0</v>
      </c>
      <c r="AL69" s="242"/>
      <c r="AM69" s="242"/>
      <c r="AN69" s="242">
        <f t="shared" si="15"/>
        <v>0</v>
      </c>
      <c r="AO69" s="242"/>
      <c r="AP69" s="242"/>
      <c r="AQ69" s="242">
        <f t="shared" si="16"/>
        <v>0</v>
      </c>
      <c r="AR69" s="242"/>
      <c r="AS69" s="242"/>
      <c r="AT69" s="242">
        <f t="shared" si="17"/>
        <v>0</v>
      </c>
      <c r="AU69" s="242"/>
      <c r="AV69" s="242"/>
      <c r="AW69" s="242">
        <f t="shared" si="18"/>
        <v>0</v>
      </c>
      <c r="AX69" s="242"/>
      <c r="AY69" s="242"/>
      <c r="AZ69" s="242">
        <f t="shared" si="19"/>
        <v>0</v>
      </c>
      <c r="BA69" s="242"/>
      <c r="BB69" s="242"/>
      <c r="BC69" s="242">
        <f t="shared" si="20"/>
        <v>0</v>
      </c>
      <c r="BD69" s="242"/>
      <c r="BE69" s="242"/>
      <c r="BF69" s="242">
        <f t="shared" si="21"/>
        <v>0</v>
      </c>
      <c r="BG69" s="242">
        <f t="shared" si="22"/>
        <v>0</v>
      </c>
      <c r="BH69" s="242"/>
      <c r="BI69" s="242">
        <f t="shared" si="23"/>
        <v>0</v>
      </c>
      <c r="BJ69" s="242">
        <f t="shared" si="24"/>
        <v>0</v>
      </c>
      <c r="BK69" s="242"/>
      <c r="BL69" s="242">
        <f t="shared" si="25"/>
        <v>0</v>
      </c>
      <c r="BM69" s="242"/>
      <c r="BN69" s="242"/>
      <c r="BO69" s="242">
        <f t="shared" si="26"/>
        <v>0</v>
      </c>
      <c r="BP69" s="242"/>
      <c r="BQ69" s="242"/>
      <c r="BR69" s="242">
        <f t="shared" si="27"/>
        <v>0</v>
      </c>
      <c r="BS69" s="242"/>
      <c r="BT69" s="487">
        <v>870000</v>
      </c>
    </row>
    <row r="70" spans="1:72" s="244" customFormat="1">
      <c r="A70" s="241">
        <f t="shared" si="4"/>
        <v>65</v>
      </c>
      <c r="B70" s="241">
        <v>1925</v>
      </c>
      <c r="C70" s="241" t="s">
        <v>294</v>
      </c>
      <c r="D70" s="242">
        <v>1000000</v>
      </c>
      <c r="E70" s="242">
        <v>1000000</v>
      </c>
      <c r="F70" s="488">
        <f t="shared" si="30"/>
        <v>0</v>
      </c>
      <c r="G70" s="242">
        <v>0</v>
      </c>
      <c r="H70" s="242">
        <v>0</v>
      </c>
      <c r="I70" s="242"/>
      <c r="J70" s="242"/>
      <c r="K70" s="242">
        <f t="shared" si="31"/>
        <v>0</v>
      </c>
      <c r="L70" s="242">
        <f t="shared" si="6"/>
        <v>0</v>
      </c>
      <c r="M70" s="242">
        <f t="shared" si="7"/>
        <v>500000</v>
      </c>
      <c r="N70" s="242">
        <v>500000</v>
      </c>
      <c r="O70" s="242">
        <f t="shared" si="8"/>
        <v>0</v>
      </c>
      <c r="P70" s="242">
        <f t="shared" si="9"/>
        <v>0</v>
      </c>
      <c r="Q70" s="242"/>
      <c r="R70" s="483">
        <f>1000000-500000</f>
        <v>500000</v>
      </c>
      <c r="S70" s="242">
        <f t="shared" si="29"/>
        <v>500000</v>
      </c>
      <c r="T70" s="242">
        <f t="shared" si="10"/>
        <v>0</v>
      </c>
      <c r="U70" s="14">
        <f t="shared" ref="U70:U81" si="32">N70-T70</f>
        <v>500000</v>
      </c>
      <c r="V70" s="242"/>
      <c r="W70" s="242">
        <f t="shared" ref="W70:W81" si="33">U70-V70-X70-Y70</f>
        <v>500000</v>
      </c>
      <c r="X70" s="242"/>
      <c r="Y70" s="241"/>
      <c r="Z70" s="242"/>
      <c r="AA70" s="242"/>
      <c r="AB70" s="242">
        <f t="shared" si="11"/>
        <v>0</v>
      </c>
      <c r="AC70" s="242"/>
      <c r="AD70" s="242"/>
      <c r="AE70" s="242">
        <f t="shared" si="12"/>
        <v>0</v>
      </c>
      <c r="AF70" s="242"/>
      <c r="AG70" s="242"/>
      <c r="AH70" s="242">
        <f t="shared" si="13"/>
        <v>0</v>
      </c>
      <c r="AI70" s="242">
        <v>500000</v>
      </c>
      <c r="AJ70" s="242"/>
      <c r="AK70" s="242">
        <f t="shared" si="14"/>
        <v>500000</v>
      </c>
      <c r="AL70" s="242"/>
      <c r="AM70" s="242"/>
      <c r="AN70" s="242">
        <f t="shared" si="15"/>
        <v>0</v>
      </c>
      <c r="AO70" s="242"/>
      <c r="AP70" s="242"/>
      <c r="AQ70" s="242">
        <f t="shared" si="16"/>
        <v>0</v>
      </c>
      <c r="AR70" s="242"/>
      <c r="AS70" s="242"/>
      <c r="AT70" s="242">
        <f t="shared" si="17"/>
        <v>0</v>
      </c>
      <c r="AU70" s="242"/>
      <c r="AV70" s="242"/>
      <c r="AW70" s="242">
        <f t="shared" si="18"/>
        <v>0</v>
      </c>
      <c r="AX70" s="242"/>
      <c r="AY70" s="242"/>
      <c r="AZ70" s="242">
        <f t="shared" si="19"/>
        <v>0</v>
      </c>
      <c r="BA70" s="242"/>
      <c r="BB70" s="242"/>
      <c r="BC70" s="242">
        <f t="shared" si="20"/>
        <v>0</v>
      </c>
      <c r="BD70" s="242"/>
      <c r="BE70" s="242"/>
      <c r="BF70" s="242">
        <f t="shared" si="21"/>
        <v>0</v>
      </c>
      <c r="BG70" s="242">
        <f t="shared" si="22"/>
        <v>500000</v>
      </c>
      <c r="BH70" s="242"/>
      <c r="BI70" s="242">
        <f t="shared" si="23"/>
        <v>500000</v>
      </c>
      <c r="BJ70" s="242">
        <f t="shared" si="24"/>
        <v>0</v>
      </c>
      <c r="BK70" s="242"/>
      <c r="BL70" s="242">
        <f t="shared" si="25"/>
        <v>500000</v>
      </c>
      <c r="BM70" s="242"/>
      <c r="BN70" s="242"/>
      <c r="BO70" s="242">
        <f t="shared" si="26"/>
        <v>0</v>
      </c>
      <c r="BP70" s="242"/>
      <c r="BQ70" s="242"/>
      <c r="BR70" s="242">
        <f t="shared" si="27"/>
        <v>0</v>
      </c>
      <c r="BS70" s="242"/>
      <c r="BT70" s="241">
        <v>850000</v>
      </c>
    </row>
    <row r="71" spans="1:72" s="244" customFormat="1">
      <c r="A71" s="241">
        <f t="shared" ref="A71:A81" si="34">A70+1</f>
        <v>66</v>
      </c>
      <c r="B71" s="241">
        <v>1926</v>
      </c>
      <c r="C71" s="241" t="s">
        <v>295</v>
      </c>
      <c r="D71" s="242">
        <v>850000</v>
      </c>
      <c r="E71" s="242">
        <v>850000</v>
      </c>
      <c r="F71" s="488">
        <f t="shared" si="30"/>
        <v>0</v>
      </c>
      <c r="G71" s="242">
        <v>600000</v>
      </c>
      <c r="H71" s="242">
        <v>0</v>
      </c>
      <c r="I71" s="242">
        <v>263641</v>
      </c>
      <c r="J71" s="242"/>
      <c r="K71" s="242">
        <f t="shared" si="31"/>
        <v>263641</v>
      </c>
      <c r="L71" s="242">
        <f t="shared" ref="L71:L81" si="35">H71+K71</f>
        <v>263641</v>
      </c>
      <c r="M71" s="242">
        <f t="shared" ref="M71:M81" si="36">P71+S71</f>
        <v>586359</v>
      </c>
      <c r="N71" s="242"/>
      <c r="O71" s="242">
        <f t="shared" ref="O71:O79" si="37">D71-L71-M71-N71</f>
        <v>0</v>
      </c>
      <c r="P71" s="242">
        <f t="shared" ref="P71:P79" si="38">G71-L71</f>
        <v>336359</v>
      </c>
      <c r="Q71" s="242"/>
      <c r="R71" s="483">
        <v>250000</v>
      </c>
      <c r="S71" s="242">
        <f t="shared" si="29"/>
        <v>250000</v>
      </c>
      <c r="T71" s="242">
        <f t="shared" ref="T71:T79" si="39">P71-M71+S71</f>
        <v>0</v>
      </c>
      <c r="U71" s="14">
        <f t="shared" si="32"/>
        <v>0</v>
      </c>
      <c r="V71" s="242"/>
      <c r="W71" s="242">
        <f t="shared" si="33"/>
        <v>0</v>
      </c>
      <c r="X71" s="242"/>
      <c r="Y71" s="241"/>
      <c r="Z71" s="242"/>
      <c r="AA71" s="242"/>
      <c r="AB71" s="242">
        <f t="shared" ref="AB71:AB81" si="40">SUM(Z71:AA71)</f>
        <v>0</v>
      </c>
      <c r="AC71" s="242"/>
      <c r="AD71" s="242"/>
      <c r="AE71" s="242">
        <f t="shared" ref="AE71:AE81" si="41">SUM(AC71:AD71)</f>
        <v>0</v>
      </c>
      <c r="AF71" s="242"/>
      <c r="AG71" s="242"/>
      <c r="AH71" s="242">
        <f t="shared" ref="AH71:AH81" si="42">SUM(AF71:AG71)</f>
        <v>0</v>
      </c>
      <c r="AI71" s="242"/>
      <c r="AJ71" s="242"/>
      <c r="AK71" s="242">
        <f t="shared" ref="AK71:AK81" si="43">SUM(AI71:AJ71)</f>
        <v>0</v>
      </c>
      <c r="AL71" s="242"/>
      <c r="AM71" s="242"/>
      <c r="AN71" s="242">
        <f t="shared" ref="AN71:AN81" si="44">SUM(AL71:AM71)</f>
        <v>0</v>
      </c>
      <c r="AO71" s="242"/>
      <c r="AP71" s="242"/>
      <c r="AQ71" s="242">
        <f t="shared" ref="AQ71:AQ78" si="45">SUM(AO71:AP71)</f>
        <v>0</v>
      </c>
      <c r="AR71" s="242"/>
      <c r="AS71" s="242"/>
      <c r="AT71" s="242">
        <f t="shared" ref="AT71:AT78" si="46">SUM(AR71:AS71)</f>
        <v>0</v>
      </c>
      <c r="AU71" s="242"/>
      <c r="AV71" s="242"/>
      <c r="AW71" s="242">
        <f t="shared" ref="AW71:AW78" si="47">SUM(AU71:AV71)</f>
        <v>0</v>
      </c>
      <c r="AX71" s="242"/>
      <c r="AY71" s="242"/>
      <c r="AZ71" s="242">
        <f t="shared" ref="AZ71:AZ78" si="48">SUM(AX71:AY71)</f>
        <v>0</v>
      </c>
      <c r="BA71" s="242"/>
      <c r="BB71" s="242"/>
      <c r="BC71" s="242">
        <f t="shared" ref="BC71:BC78" si="49">SUM(BA71:BB71)</f>
        <v>0</v>
      </c>
      <c r="BD71" s="242"/>
      <c r="BE71" s="242"/>
      <c r="BF71" s="242">
        <f t="shared" ref="BF71:BF80" si="50">SUM(BD71:BE71)</f>
        <v>0</v>
      </c>
      <c r="BG71" s="242">
        <f t="shared" ref="BG71:BG81" si="51">BF71+AB71+AE71+AH71+AK71+AN71+AQ71+AT71+AW71+AZ71+BC71</f>
        <v>0</v>
      </c>
      <c r="BH71" s="242"/>
      <c r="BI71" s="242">
        <f t="shared" ref="BI71:BI81" si="52">BG71+BH71</f>
        <v>0</v>
      </c>
      <c r="BJ71" s="242">
        <f t="shared" ref="BJ71:BJ81" si="53">U71-BI71</f>
        <v>0</v>
      </c>
      <c r="BK71" s="242"/>
      <c r="BL71" s="242">
        <f t="shared" ref="BL71:BL81" si="54">BI71-BK71-BM71</f>
        <v>0</v>
      </c>
      <c r="BM71" s="242"/>
      <c r="BN71" s="242"/>
      <c r="BO71" s="242">
        <f t="shared" ref="BO71:BO81" si="55">BH71-BN71-BP71</f>
        <v>0</v>
      </c>
      <c r="BP71" s="242"/>
      <c r="BQ71" s="242"/>
      <c r="BR71" s="242">
        <f t="shared" ref="BR71:BR81" si="56">BJ71-BQ71-BS71</f>
        <v>0</v>
      </c>
      <c r="BS71" s="242"/>
      <c r="BT71" s="241">
        <v>810000</v>
      </c>
    </row>
    <row r="72" spans="1:72" s="244" customFormat="1">
      <c r="A72" s="241">
        <f t="shared" si="34"/>
        <v>67</v>
      </c>
      <c r="B72" s="241">
        <v>1931</v>
      </c>
      <c r="C72" s="241" t="s">
        <v>299</v>
      </c>
      <c r="D72" s="242">
        <v>831000</v>
      </c>
      <c r="E72" s="242">
        <v>831000</v>
      </c>
      <c r="F72" s="488">
        <f>D72-E72</f>
        <v>0</v>
      </c>
      <c r="G72" s="242">
        <v>0</v>
      </c>
      <c r="H72" s="242">
        <v>0</v>
      </c>
      <c r="I72" s="242"/>
      <c r="J72" s="242"/>
      <c r="K72" s="242">
        <f>SUM(I72:J72)</f>
        <v>0</v>
      </c>
      <c r="L72" s="242">
        <f>H72+K72</f>
        <v>0</v>
      </c>
      <c r="M72" s="242">
        <f>P72+S72</f>
        <v>415000</v>
      </c>
      <c r="N72" s="242">
        <v>416000</v>
      </c>
      <c r="O72" s="242">
        <f>D72-L72-M72-N72</f>
        <v>0</v>
      </c>
      <c r="P72" s="242">
        <f>G72-L72</f>
        <v>0</v>
      </c>
      <c r="Q72" s="242"/>
      <c r="R72" s="483">
        <f>831000-416000</f>
        <v>415000</v>
      </c>
      <c r="S72" s="242">
        <f t="shared" si="29"/>
        <v>415000</v>
      </c>
      <c r="T72" s="242">
        <f t="shared" si="39"/>
        <v>0</v>
      </c>
      <c r="U72" s="14">
        <f t="shared" si="32"/>
        <v>416000</v>
      </c>
      <c r="V72" s="242"/>
      <c r="W72" s="242">
        <f t="shared" si="33"/>
        <v>416000</v>
      </c>
      <c r="X72" s="242"/>
      <c r="Y72" s="241"/>
      <c r="Z72" s="242"/>
      <c r="AA72" s="242"/>
      <c r="AB72" s="242">
        <f t="shared" si="40"/>
        <v>0</v>
      </c>
      <c r="AC72" s="242"/>
      <c r="AD72" s="242"/>
      <c r="AE72" s="242">
        <f t="shared" si="41"/>
        <v>0</v>
      </c>
      <c r="AF72" s="242">
        <v>416000</v>
      </c>
      <c r="AG72" s="242"/>
      <c r="AH72" s="242">
        <f t="shared" si="42"/>
        <v>416000</v>
      </c>
      <c r="AI72" s="242"/>
      <c r="AJ72" s="242"/>
      <c r="AK72" s="242">
        <f t="shared" si="43"/>
        <v>0</v>
      </c>
      <c r="AL72" s="242"/>
      <c r="AM72" s="242"/>
      <c r="AN72" s="242">
        <f t="shared" si="44"/>
        <v>0</v>
      </c>
      <c r="AO72" s="242"/>
      <c r="AP72" s="242"/>
      <c r="AQ72" s="242">
        <f t="shared" si="45"/>
        <v>0</v>
      </c>
      <c r="AR72" s="242"/>
      <c r="AS72" s="242"/>
      <c r="AT72" s="242">
        <f t="shared" si="46"/>
        <v>0</v>
      </c>
      <c r="AU72" s="242"/>
      <c r="AV72" s="242"/>
      <c r="AW72" s="242">
        <f t="shared" si="47"/>
        <v>0</v>
      </c>
      <c r="AX72" s="242"/>
      <c r="AY72" s="242"/>
      <c r="AZ72" s="242">
        <f t="shared" si="48"/>
        <v>0</v>
      </c>
      <c r="BA72" s="242"/>
      <c r="BB72" s="242"/>
      <c r="BC72" s="242">
        <f t="shared" si="49"/>
        <v>0</v>
      </c>
      <c r="BD72" s="242"/>
      <c r="BE72" s="242"/>
      <c r="BF72" s="242">
        <f t="shared" si="50"/>
        <v>0</v>
      </c>
      <c r="BG72" s="242">
        <f t="shared" si="51"/>
        <v>416000</v>
      </c>
      <c r="BH72" s="242"/>
      <c r="BI72" s="242">
        <f t="shared" si="52"/>
        <v>416000</v>
      </c>
      <c r="BJ72" s="242">
        <f t="shared" si="53"/>
        <v>0</v>
      </c>
      <c r="BK72" s="242"/>
      <c r="BL72" s="242">
        <f t="shared" si="54"/>
        <v>416000</v>
      </c>
      <c r="BM72" s="242"/>
      <c r="BN72" s="242"/>
      <c r="BO72" s="242">
        <f t="shared" si="55"/>
        <v>0</v>
      </c>
      <c r="BP72" s="242"/>
      <c r="BQ72" s="242"/>
      <c r="BR72" s="242">
        <f t="shared" si="56"/>
        <v>0</v>
      </c>
      <c r="BS72" s="242"/>
      <c r="BT72" s="241">
        <v>810000</v>
      </c>
    </row>
    <row r="73" spans="1:72" s="244" customFormat="1">
      <c r="A73" s="241">
        <f t="shared" si="34"/>
        <v>68</v>
      </c>
      <c r="B73" s="241">
        <v>1933</v>
      </c>
      <c r="C73" s="241" t="s">
        <v>349</v>
      </c>
      <c r="D73" s="242">
        <v>200000</v>
      </c>
      <c r="E73" s="242">
        <v>200000</v>
      </c>
      <c r="F73" s="488">
        <f t="shared" si="30"/>
        <v>0</v>
      </c>
      <c r="G73" s="242">
        <v>200000</v>
      </c>
      <c r="H73" s="242">
        <v>0</v>
      </c>
      <c r="I73" s="242"/>
      <c r="J73" s="242"/>
      <c r="K73" s="242">
        <f t="shared" si="31"/>
        <v>0</v>
      </c>
      <c r="L73" s="242">
        <f t="shared" si="35"/>
        <v>0</v>
      </c>
      <c r="M73" s="242">
        <f t="shared" si="36"/>
        <v>200000</v>
      </c>
      <c r="N73" s="242"/>
      <c r="O73" s="242">
        <f t="shared" si="37"/>
        <v>0</v>
      </c>
      <c r="P73" s="242">
        <f t="shared" si="38"/>
        <v>200000</v>
      </c>
      <c r="Q73" s="242"/>
      <c r="R73" s="242"/>
      <c r="S73" s="242">
        <f t="shared" ref="S73:S80" si="57">SUM(Q73:R73)</f>
        <v>0</v>
      </c>
      <c r="T73" s="242">
        <f t="shared" si="39"/>
        <v>0</v>
      </c>
      <c r="U73" s="14">
        <f t="shared" si="32"/>
        <v>0</v>
      </c>
      <c r="V73" s="242"/>
      <c r="W73" s="242">
        <f t="shared" si="33"/>
        <v>0</v>
      </c>
      <c r="X73" s="242"/>
      <c r="Y73" s="241"/>
      <c r="Z73" s="242"/>
      <c r="AA73" s="242"/>
      <c r="AB73" s="242">
        <f t="shared" si="40"/>
        <v>0</v>
      </c>
      <c r="AC73" s="242"/>
      <c r="AD73" s="242"/>
      <c r="AE73" s="242">
        <f t="shared" si="41"/>
        <v>0</v>
      </c>
      <c r="AF73" s="242"/>
      <c r="AG73" s="242"/>
      <c r="AH73" s="242">
        <f t="shared" si="42"/>
        <v>0</v>
      </c>
      <c r="AI73" s="242"/>
      <c r="AJ73" s="242"/>
      <c r="AK73" s="242">
        <f t="shared" si="43"/>
        <v>0</v>
      </c>
      <c r="AL73" s="242"/>
      <c r="AM73" s="242"/>
      <c r="AN73" s="242">
        <f t="shared" si="44"/>
        <v>0</v>
      </c>
      <c r="AO73" s="242"/>
      <c r="AP73" s="242"/>
      <c r="AQ73" s="242">
        <f t="shared" si="45"/>
        <v>0</v>
      </c>
      <c r="AR73" s="242"/>
      <c r="AS73" s="242"/>
      <c r="AT73" s="242">
        <f t="shared" si="46"/>
        <v>0</v>
      </c>
      <c r="AU73" s="242"/>
      <c r="AV73" s="242"/>
      <c r="AW73" s="242">
        <f t="shared" si="47"/>
        <v>0</v>
      </c>
      <c r="AX73" s="242"/>
      <c r="AY73" s="242"/>
      <c r="AZ73" s="242">
        <f t="shared" si="48"/>
        <v>0</v>
      </c>
      <c r="BA73" s="242"/>
      <c r="BB73" s="242"/>
      <c r="BC73" s="242">
        <f t="shared" si="49"/>
        <v>0</v>
      </c>
      <c r="BD73" s="242"/>
      <c r="BE73" s="242"/>
      <c r="BF73" s="242">
        <f t="shared" si="50"/>
        <v>0</v>
      </c>
      <c r="BG73" s="242">
        <f t="shared" si="51"/>
        <v>0</v>
      </c>
      <c r="BH73" s="242"/>
      <c r="BI73" s="242">
        <f t="shared" si="52"/>
        <v>0</v>
      </c>
      <c r="BJ73" s="242">
        <f t="shared" si="53"/>
        <v>0</v>
      </c>
      <c r="BK73" s="242"/>
      <c r="BL73" s="242">
        <f t="shared" si="54"/>
        <v>0</v>
      </c>
      <c r="BM73" s="242"/>
      <c r="BN73" s="242"/>
      <c r="BO73" s="242">
        <f t="shared" si="55"/>
        <v>0</v>
      </c>
      <c r="BP73" s="242"/>
      <c r="BQ73" s="242"/>
      <c r="BR73" s="242">
        <f t="shared" si="56"/>
        <v>0</v>
      </c>
      <c r="BS73" s="242"/>
      <c r="BT73" s="241">
        <v>810000</v>
      </c>
    </row>
    <row r="74" spans="1:72" s="244" customFormat="1">
      <c r="A74" s="241">
        <f t="shared" si="34"/>
        <v>69</v>
      </c>
      <c r="B74" s="241">
        <v>1942</v>
      </c>
      <c r="C74" s="241" t="s">
        <v>350</v>
      </c>
      <c r="D74" s="242">
        <v>572000</v>
      </c>
      <c r="E74" s="242">
        <v>572000</v>
      </c>
      <c r="F74" s="488">
        <f t="shared" si="30"/>
        <v>0</v>
      </c>
      <c r="G74" s="242">
        <v>0</v>
      </c>
      <c r="H74" s="242">
        <v>0</v>
      </c>
      <c r="I74" s="242"/>
      <c r="J74" s="242"/>
      <c r="K74" s="242">
        <f t="shared" ref="K74:K81" si="58">SUM(I74:J74)</f>
        <v>0</v>
      </c>
      <c r="L74" s="242">
        <f t="shared" si="35"/>
        <v>0</v>
      </c>
      <c r="M74" s="242">
        <f t="shared" si="36"/>
        <v>572000</v>
      </c>
      <c r="N74" s="242"/>
      <c r="O74" s="242">
        <f t="shared" si="37"/>
        <v>0</v>
      </c>
      <c r="P74" s="242">
        <f t="shared" si="38"/>
        <v>0</v>
      </c>
      <c r="Q74" s="242"/>
      <c r="R74" s="242">
        <v>572000</v>
      </c>
      <c r="S74" s="242">
        <f t="shared" si="57"/>
        <v>572000</v>
      </c>
      <c r="T74" s="242">
        <f t="shared" si="39"/>
        <v>0</v>
      </c>
      <c r="U74" s="14">
        <f t="shared" si="32"/>
        <v>0</v>
      </c>
      <c r="V74" s="242"/>
      <c r="W74" s="242">
        <f t="shared" si="33"/>
        <v>0</v>
      </c>
      <c r="X74" s="242"/>
      <c r="Y74" s="241"/>
      <c r="Z74" s="242"/>
      <c r="AA74" s="242"/>
      <c r="AB74" s="242">
        <f t="shared" si="40"/>
        <v>0</v>
      </c>
      <c r="AC74" s="242"/>
      <c r="AD74" s="242"/>
      <c r="AE74" s="242">
        <f t="shared" si="41"/>
        <v>0</v>
      </c>
      <c r="AF74" s="242"/>
      <c r="AG74" s="242"/>
      <c r="AH74" s="242">
        <f t="shared" si="42"/>
        <v>0</v>
      </c>
      <c r="AI74" s="242"/>
      <c r="AJ74" s="242"/>
      <c r="AK74" s="242">
        <f t="shared" si="43"/>
        <v>0</v>
      </c>
      <c r="AL74" s="242"/>
      <c r="AM74" s="242"/>
      <c r="AN74" s="242">
        <f t="shared" si="44"/>
        <v>0</v>
      </c>
      <c r="AO74" s="242"/>
      <c r="AP74" s="242"/>
      <c r="AQ74" s="242">
        <f t="shared" si="45"/>
        <v>0</v>
      </c>
      <c r="AR74" s="242"/>
      <c r="AS74" s="242"/>
      <c r="AT74" s="242">
        <f t="shared" si="46"/>
        <v>0</v>
      </c>
      <c r="AU74" s="242"/>
      <c r="AV74" s="242"/>
      <c r="AW74" s="242">
        <f t="shared" si="47"/>
        <v>0</v>
      </c>
      <c r="AX74" s="242"/>
      <c r="AY74" s="242"/>
      <c r="AZ74" s="242">
        <f t="shared" si="48"/>
        <v>0</v>
      </c>
      <c r="BA74" s="242"/>
      <c r="BB74" s="242"/>
      <c r="BC74" s="242">
        <f t="shared" si="49"/>
        <v>0</v>
      </c>
      <c r="BD74" s="242"/>
      <c r="BE74" s="242"/>
      <c r="BF74" s="242">
        <f t="shared" si="50"/>
        <v>0</v>
      </c>
      <c r="BG74" s="242">
        <f t="shared" si="51"/>
        <v>0</v>
      </c>
      <c r="BH74" s="242"/>
      <c r="BI74" s="242">
        <f t="shared" si="52"/>
        <v>0</v>
      </c>
      <c r="BJ74" s="242">
        <f t="shared" si="53"/>
        <v>0</v>
      </c>
      <c r="BK74" s="242"/>
      <c r="BL74" s="242">
        <f t="shared" si="54"/>
        <v>0</v>
      </c>
      <c r="BM74" s="242"/>
      <c r="BN74" s="242"/>
      <c r="BO74" s="242">
        <f t="shared" si="55"/>
        <v>0</v>
      </c>
      <c r="BP74" s="242"/>
      <c r="BQ74" s="242"/>
      <c r="BR74" s="242">
        <f t="shared" si="56"/>
        <v>0</v>
      </c>
      <c r="BS74" s="242"/>
      <c r="BT74" s="241">
        <v>724000</v>
      </c>
    </row>
    <row r="75" spans="1:72" s="244" customFormat="1">
      <c r="A75" s="241">
        <f t="shared" si="34"/>
        <v>70</v>
      </c>
      <c r="B75" s="241">
        <v>1946</v>
      </c>
      <c r="C75" s="241" t="s">
        <v>409</v>
      </c>
      <c r="D75" s="242">
        <v>590000</v>
      </c>
      <c r="E75" s="242">
        <v>590000</v>
      </c>
      <c r="F75" s="488">
        <f>D75-E75</f>
        <v>0</v>
      </c>
      <c r="G75" s="242"/>
      <c r="H75" s="242"/>
      <c r="I75" s="242"/>
      <c r="J75" s="242"/>
      <c r="K75" s="242">
        <f t="shared" si="58"/>
        <v>0</v>
      </c>
      <c r="L75" s="242">
        <f t="shared" si="35"/>
        <v>0</v>
      </c>
      <c r="M75" s="242">
        <f t="shared" si="36"/>
        <v>590000</v>
      </c>
      <c r="N75" s="242"/>
      <c r="O75" s="242">
        <f>D75-L75-M75-N75</f>
        <v>0</v>
      </c>
      <c r="P75" s="242">
        <f>G75-L75</f>
        <v>0</v>
      </c>
      <c r="Q75" s="242"/>
      <c r="R75" s="242">
        <v>590000</v>
      </c>
      <c r="S75" s="242">
        <f>SUM(Q75:R75)</f>
        <v>590000</v>
      </c>
      <c r="T75" s="242">
        <f>P75-M75+S75</f>
        <v>0</v>
      </c>
      <c r="U75" s="14">
        <f t="shared" si="32"/>
        <v>0</v>
      </c>
      <c r="V75" s="242"/>
      <c r="W75" s="242">
        <f t="shared" si="33"/>
        <v>0</v>
      </c>
      <c r="X75" s="242"/>
      <c r="Y75" s="241"/>
      <c r="Z75" s="242"/>
      <c r="AA75" s="242"/>
      <c r="AB75" s="242">
        <f t="shared" si="40"/>
        <v>0</v>
      </c>
      <c r="AC75" s="242"/>
      <c r="AD75" s="242"/>
      <c r="AE75" s="242">
        <f t="shared" si="41"/>
        <v>0</v>
      </c>
      <c r="AF75" s="242"/>
      <c r="AG75" s="242"/>
      <c r="AH75" s="242">
        <f t="shared" si="42"/>
        <v>0</v>
      </c>
      <c r="AI75" s="242"/>
      <c r="AJ75" s="242"/>
      <c r="AK75" s="242">
        <f t="shared" si="43"/>
        <v>0</v>
      </c>
      <c r="AL75" s="242"/>
      <c r="AM75" s="242"/>
      <c r="AN75" s="242">
        <f t="shared" si="44"/>
        <v>0</v>
      </c>
      <c r="AO75" s="242"/>
      <c r="AP75" s="242"/>
      <c r="AQ75" s="242">
        <f t="shared" si="45"/>
        <v>0</v>
      </c>
      <c r="AR75" s="242"/>
      <c r="AS75" s="242"/>
      <c r="AT75" s="242">
        <f t="shared" si="46"/>
        <v>0</v>
      </c>
      <c r="AU75" s="242"/>
      <c r="AV75" s="242"/>
      <c r="AW75" s="242">
        <f t="shared" si="47"/>
        <v>0</v>
      </c>
      <c r="AX75" s="242"/>
      <c r="AY75" s="242"/>
      <c r="AZ75" s="242">
        <f t="shared" si="48"/>
        <v>0</v>
      </c>
      <c r="BA75" s="242"/>
      <c r="BB75" s="242"/>
      <c r="BC75" s="242">
        <f t="shared" si="49"/>
        <v>0</v>
      </c>
      <c r="BD75" s="242"/>
      <c r="BE75" s="242"/>
      <c r="BF75" s="242">
        <f t="shared" si="50"/>
        <v>0</v>
      </c>
      <c r="BG75" s="242">
        <f t="shared" si="51"/>
        <v>0</v>
      </c>
      <c r="BH75" s="242"/>
      <c r="BI75" s="242">
        <f t="shared" si="52"/>
        <v>0</v>
      </c>
      <c r="BJ75" s="242">
        <f t="shared" si="53"/>
        <v>0</v>
      </c>
      <c r="BK75" s="242"/>
      <c r="BL75" s="242">
        <f t="shared" si="54"/>
        <v>0</v>
      </c>
      <c r="BM75" s="242"/>
      <c r="BN75" s="242"/>
      <c r="BO75" s="242">
        <f t="shared" si="55"/>
        <v>0</v>
      </c>
      <c r="BP75" s="242"/>
      <c r="BQ75" s="242"/>
      <c r="BR75" s="242">
        <f t="shared" si="56"/>
        <v>0</v>
      </c>
      <c r="BS75" s="242"/>
      <c r="BT75" s="241">
        <v>810000</v>
      </c>
    </row>
    <row r="76" spans="1:72" s="244" customFormat="1">
      <c r="A76" s="241">
        <f t="shared" si="34"/>
        <v>71</v>
      </c>
      <c r="B76" s="241">
        <v>1966</v>
      </c>
      <c r="C76" s="241" t="s">
        <v>745</v>
      </c>
      <c r="D76" s="242">
        <v>1700000</v>
      </c>
      <c r="E76" s="242"/>
      <c r="F76" s="488">
        <f t="shared" si="30"/>
        <v>1700000</v>
      </c>
      <c r="G76" s="242"/>
      <c r="H76" s="242"/>
      <c r="I76" s="242"/>
      <c r="J76" s="242"/>
      <c r="K76" s="242">
        <f t="shared" si="58"/>
        <v>0</v>
      </c>
      <c r="L76" s="242">
        <f t="shared" si="35"/>
        <v>0</v>
      </c>
      <c r="M76" s="242">
        <f t="shared" si="36"/>
        <v>0</v>
      </c>
      <c r="N76" s="242">
        <v>1700000</v>
      </c>
      <c r="O76" s="242">
        <f t="shared" si="37"/>
        <v>0</v>
      </c>
      <c r="P76" s="242">
        <f t="shared" si="38"/>
        <v>0</v>
      </c>
      <c r="Q76" s="242"/>
      <c r="R76" s="242"/>
      <c r="S76" s="242">
        <f t="shared" si="57"/>
        <v>0</v>
      </c>
      <c r="T76" s="242">
        <f t="shared" si="39"/>
        <v>0</v>
      </c>
      <c r="U76" s="14">
        <f t="shared" si="32"/>
        <v>1700000</v>
      </c>
      <c r="V76" s="242"/>
      <c r="W76" s="242">
        <f t="shared" si="33"/>
        <v>1408000</v>
      </c>
      <c r="X76" s="242"/>
      <c r="Y76" s="242">
        <v>292000</v>
      </c>
      <c r="Z76" s="242"/>
      <c r="AA76" s="242"/>
      <c r="AB76" s="242">
        <f t="shared" si="40"/>
        <v>0</v>
      </c>
      <c r="AC76" s="242"/>
      <c r="AD76" s="242"/>
      <c r="AE76" s="242">
        <f t="shared" si="41"/>
        <v>0</v>
      </c>
      <c r="AF76" s="242"/>
      <c r="AG76" s="242"/>
      <c r="AH76" s="242">
        <f t="shared" si="42"/>
        <v>0</v>
      </c>
      <c r="AI76" s="242"/>
      <c r="AJ76" s="242"/>
      <c r="AK76" s="242">
        <f t="shared" si="43"/>
        <v>0</v>
      </c>
      <c r="AL76" s="242"/>
      <c r="AM76" s="242"/>
      <c r="AN76" s="242">
        <f t="shared" si="44"/>
        <v>0</v>
      </c>
      <c r="AO76" s="242"/>
      <c r="AP76" s="242"/>
      <c r="AQ76" s="242">
        <f t="shared" si="45"/>
        <v>0</v>
      </c>
      <c r="AR76" s="242"/>
      <c r="AS76" s="242"/>
      <c r="AT76" s="242">
        <f t="shared" si="46"/>
        <v>0</v>
      </c>
      <c r="AU76" s="242"/>
      <c r="AV76" s="242"/>
      <c r="AW76" s="242">
        <f t="shared" si="47"/>
        <v>0</v>
      </c>
      <c r="AX76" s="242"/>
      <c r="AY76" s="242"/>
      <c r="AZ76" s="242">
        <f t="shared" si="48"/>
        <v>0</v>
      </c>
      <c r="BA76" s="242"/>
      <c r="BB76" s="242"/>
      <c r="BC76" s="242">
        <f t="shared" si="49"/>
        <v>0</v>
      </c>
      <c r="BD76" s="242"/>
      <c r="BE76" s="242"/>
      <c r="BF76" s="242">
        <f t="shared" si="50"/>
        <v>0</v>
      </c>
      <c r="BG76" s="242">
        <f t="shared" si="51"/>
        <v>0</v>
      </c>
      <c r="BH76" s="242"/>
      <c r="BI76" s="242">
        <f t="shared" si="52"/>
        <v>0</v>
      </c>
      <c r="BJ76" s="242">
        <f t="shared" si="53"/>
        <v>1700000</v>
      </c>
      <c r="BK76" s="242"/>
      <c r="BL76" s="242">
        <f t="shared" si="54"/>
        <v>0</v>
      </c>
      <c r="BM76" s="242"/>
      <c r="BN76" s="242"/>
      <c r="BO76" s="242">
        <f t="shared" si="55"/>
        <v>0</v>
      </c>
      <c r="BP76" s="242"/>
      <c r="BQ76" s="242"/>
      <c r="BR76" s="242">
        <f t="shared" si="56"/>
        <v>1408000</v>
      </c>
      <c r="BS76" s="242">
        <v>292000</v>
      </c>
      <c r="BT76" s="241">
        <v>870000</v>
      </c>
    </row>
    <row r="77" spans="1:72" s="244" customFormat="1">
      <c r="A77" s="241">
        <f t="shared" si="34"/>
        <v>72</v>
      </c>
      <c r="B77" s="241">
        <v>1967</v>
      </c>
      <c r="C77" s="241" t="s">
        <v>352</v>
      </c>
      <c r="D77" s="242">
        <v>2000000</v>
      </c>
      <c r="E77" s="242"/>
      <c r="F77" s="488">
        <f t="shared" si="30"/>
        <v>2000000</v>
      </c>
      <c r="G77" s="242"/>
      <c r="H77" s="242"/>
      <c r="I77" s="242"/>
      <c r="J77" s="242"/>
      <c r="K77" s="242">
        <f t="shared" si="58"/>
        <v>0</v>
      </c>
      <c r="L77" s="242">
        <f t="shared" si="35"/>
        <v>0</v>
      </c>
      <c r="M77" s="242">
        <f t="shared" si="36"/>
        <v>0</v>
      </c>
      <c r="N77" s="242">
        <f>2000000-500000</f>
        <v>1500000</v>
      </c>
      <c r="O77" s="242">
        <f t="shared" si="37"/>
        <v>500000</v>
      </c>
      <c r="P77" s="242">
        <f t="shared" si="38"/>
        <v>0</v>
      </c>
      <c r="Q77" s="242"/>
      <c r="R77" s="242"/>
      <c r="S77" s="242">
        <f t="shared" si="57"/>
        <v>0</v>
      </c>
      <c r="T77" s="242">
        <f t="shared" si="39"/>
        <v>0</v>
      </c>
      <c r="U77" s="14">
        <f t="shared" si="32"/>
        <v>1500000</v>
      </c>
      <c r="V77" s="242">
        <v>1500000</v>
      </c>
      <c r="W77" s="242">
        <f t="shared" si="33"/>
        <v>0</v>
      </c>
      <c r="X77" s="242"/>
      <c r="Y77" s="242"/>
      <c r="Z77" s="242"/>
      <c r="AA77" s="242"/>
      <c r="AB77" s="242">
        <f t="shared" si="40"/>
        <v>0</v>
      </c>
      <c r="AC77" s="242"/>
      <c r="AD77" s="242"/>
      <c r="AE77" s="242">
        <f t="shared" si="41"/>
        <v>0</v>
      </c>
      <c r="AF77" s="242">
        <v>200000</v>
      </c>
      <c r="AG77" s="242"/>
      <c r="AH77" s="242">
        <f t="shared" si="42"/>
        <v>200000</v>
      </c>
      <c r="AI77" s="242">
        <v>100000</v>
      </c>
      <c r="AJ77" s="242"/>
      <c r="AK77" s="242">
        <f t="shared" si="43"/>
        <v>100000</v>
      </c>
      <c r="AL77" s="242">
        <v>300000</v>
      </c>
      <c r="AM77" s="242"/>
      <c r="AN77" s="242">
        <f t="shared" si="44"/>
        <v>300000</v>
      </c>
      <c r="AO77" s="489"/>
      <c r="AP77" s="242"/>
      <c r="AQ77" s="242">
        <f t="shared" si="45"/>
        <v>0</v>
      </c>
      <c r="AR77" s="489"/>
      <c r="AS77" s="242"/>
      <c r="AT77" s="242">
        <f t="shared" si="46"/>
        <v>0</v>
      </c>
      <c r="AU77" s="242">
        <v>900000</v>
      </c>
      <c r="AV77" s="242"/>
      <c r="AW77" s="242">
        <f t="shared" si="47"/>
        <v>900000</v>
      </c>
      <c r="AX77" s="242"/>
      <c r="AY77" s="242"/>
      <c r="AZ77" s="242">
        <f t="shared" si="48"/>
        <v>0</v>
      </c>
      <c r="BA77" s="242"/>
      <c r="BB77" s="242"/>
      <c r="BC77" s="242">
        <f t="shared" si="49"/>
        <v>0</v>
      </c>
      <c r="BD77" s="242"/>
      <c r="BE77" s="242"/>
      <c r="BF77" s="242">
        <f t="shared" si="50"/>
        <v>0</v>
      </c>
      <c r="BG77" s="242">
        <f t="shared" si="51"/>
        <v>1500000</v>
      </c>
      <c r="BH77" s="242"/>
      <c r="BI77" s="242">
        <f t="shared" si="52"/>
        <v>1500000</v>
      </c>
      <c r="BJ77" s="242">
        <f t="shared" si="53"/>
        <v>0</v>
      </c>
      <c r="BK77" s="242">
        <v>1500000</v>
      </c>
      <c r="BL77" s="242">
        <f t="shared" si="54"/>
        <v>0</v>
      </c>
      <c r="BM77" s="242"/>
      <c r="BN77" s="242"/>
      <c r="BO77" s="242">
        <f t="shared" si="55"/>
        <v>0</v>
      </c>
      <c r="BP77" s="242"/>
      <c r="BQ77" s="242"/>
      <c r="BR77" s="242">
        <f t="shared" si="56"/>
        <v>0</v>
      </c>
      <c r="BS77" s="242"/>
      <c r="BT77" s="241">
        <v>810000</v>
      </c>
    </row>
    <row r="78" spans="1:72" s="244" customFormat="1">
      <c r="A78" s="241">
        <f t="shared" si="34"/>
        <v>73</v>
      </c>
      <c r="B78" s="241">
        <v>1968</v>
      </c>
      <c r="C78" s="241" t="s">
        <v>353</v>
      </c>
      <c r="D78" s="242">
        <v>1000000</v>
      </c>
      <c r="E78" s="242"/>
      <c r="F78" s="488">
        <f t="shared" si="30"/>
        <v>1000000</v>
      </c>
      <c r="G78" s="242"/>
      <c r="H78" s="242"/>
      <c r="I78" s="242"/>
      <c r="J78" s="242"/>
      <c r="K78" s="242">
        <f t="shared" si="58"/>
        <v>0</v>
      </c>
      <c r="L78" s="242">
        <f t="shared" si="35"/>
        <v>0</v>
      </c>
      <c r="M78" s="242">
        <f t="shared" si="36"/>
        <v>0</v>
      </c>
      <c r="N78" s="242">
        <v>1000000</v>
      </c>
      <c r="O78" s="242">
        <f t="shared" si="37"/>
        <v>0</v>
      </c>
      <c r="P78" s="242">
        <f t="shared" si="38"/>
        <v>0</v>
      </c>
      <c r="Q78" s="242"/>
      <c r="R78" s="242"/>
      <c r="S78" s="242">
        <f t="shared" si="57"/>
        <v>0</v>
      </c>
      <c r="T78" s="242">
        <f t="shared" si="39"/>
        <v>0</v>
      </c>
      <c r="U78" s="14">
        <f t="shared" si="32"/>
        <v>1000000</v>
      </c>
      <c r="V78" s="242"/>
      <c r="W78" s="242">
        <f t="shared" si="33"/>
        <v>1000000</v>
      </c>
      <c r="X78" s="242"/>
      <c r="Y78" s="241"/>
      <c r="Z78" s="242"/>
      <c r="AA78" s="242"/>
      <c r="AB78" s="242">
        <f t="shared" si="40"/>
        <v>0</v>
      </c>
      <c r="AC78" s="242"/>
      <c r="AD78" s="242"/>
      <c r="AE78" s="242">
        <f t="shared" si="41"/>
        <v>0</v>
      </c>
      <c r="AF78" s="242">
        <v>250000</v>
      </c>
      <c r="AG78" s="242"/>
      <c r="AH78" s="242">
        <f t="shared" si="42"/>
        <v>250000</v>
      </c>
      <c r="AI78" s="242"/>
      <c r="AJ78" s="242"/>
      <c r="AK78" s="242">
        <f t="shared" si="43"/>
        <v>0</v>
      </c>
      <c r="AL78" s="242">
        <v>100000</v>
      </c>
      <c r="AM78" s="242"/>
      <c r="AN78" s="242">
        <f t="shared" si="44"/>
        <v>100000</v>
      </c>
      <c r="AO78" s="242">
        <v>250000</v>
      </c>
      <c r="AP78" s="242"/>
      <c r="AQ78" s="242">
        <f t="shared" si="45"/>
        <v>250000</v>
      </c>
      <c r="AR78" s="242"/>
      <c r="AS78" s="242"/>
      <c r="AT78" s="242">
        <f t="shared" si="46"/>
        <v>0</v>
      </c>
      <c r="AU78" s="242"/>
      <c r="AV78" s="242"/>
      <c r="AW78" s="242">
        <f t="shared" si="47"/>
        <v>0</v>
      </c>
      <c r="AX78" s="242"/>
      <c r="AY78" s="242"/>
      <c r="AZ78" s="242">
        <f t="shared" si="48"/>
        <v>0</v>
      </c>
      <c r="BA78" s="242"/>
      <c r="BB78" s="242"/>
      <c r="BC78" s="242">
        <f t="shared" si="49"/>
        <v>0</v>
      </c>
      <c r="BD78" s="242"/>
      <c r="BE78" s="242"/>
      <c r="BF78" s="242">
        <f t="shared" si="50"/>
        <v>0</v>
      </c>
      <c r="BG78" s="242">
        <f t="shared" si="51"/>
        <v>600000</v>
      </c>
      <c r="BH78" s="242"/>
      <c r="BI78" s="242">
        <f t="shared" si="52"/>
        <v>600000</v>
      </c>
      <c r="BJ78" s="242">
        <f t="shared" si="53"/>
        <v>400000</v>
      </c>
      <c r="BK78" s="242"/>
      <c r="BL78" s="242">
        <f t="shared" si="54"/>
        <v>600000</v>
      </c>
      <c r="BM78" s="242"/>
      <c r="BN78" s="242"/>
      <c r="BO78" s="242">
        <f t="shared" si="55"/>
        <v>0</v>
      </c>
      <c r="BP78" s="242"/>
      <c r="BQ78" s="242"/>
      <c r="BR78" s="242">
        <f t="shared" si="56"/>
        <v>400000</v>
      </c>
      <c r="BS78" s="242"/>
      <c r="BT78" s="241">
        <v>848000</v>
      </c>
    </row>
    <row r="79" spans="1:72" s="244" customFormat="1">
      <c r="A79" s="241">
        <f t="shared" si="34"/>
        <v>74</v>
      </c>
      <c r="B79" s="241">
        <v>1969</v>
      </c>
      <c r="C79" s="241" t="s">
        <v>354</v>
      </c>
      <c r="D79" s="242">
        <v>1485000</v>
      </c>
      <c r="E79" s="242"/>
      <c r="F79" s="488">
        <f t="shared" si="30"/>
        <v>1485000</v>
      </c>
      <c r="G79" s="242"/>
      <c r="H79" s="242"/>
      <c r="I79" s="242"/>
      <c r="J79" s="242"/>
      <c r="K79" s="242">
        <f t="shared" si="58"/>
        <v>0</v>
      </c>
      <c r="L79" s="242">
        <f t="shared" si="35"/>
        <v>0</v>
      </c>
      <c r="M79" s="242">
        <f t="shared" si="36"/>
        <v>0</v>
      </c>
      <c r="N79" s="242">
        <f>700000-200000</f>
        <v>500000</v>
      </c>
      <c r="O79" s="242">
        <f t="shared" si="37"/>
        <v>985000</v>
      </c>
      <c r="P79" s="242">
        <f t="shared" si="38"/>
        <v>0</v>
      </c>
      <c r="Q79" s="242"/>
      <c r="R79" s="242"/>
      <c r="S79" s="242">
        <f t="shared" si="57"/>
        <v>0</v>
      </c>
      <c r="T79" s="242">
        <f t="shared" si="39"/>
        <v>0</v>
      </c>
      <c r="U79" s="14">
        <f t="shared" si="32"/>
        <v>500000</v>
      </c>
      <c r="V79" s="242">
        <v>500000</v>
      </c>
      <c r="W79" s="242">
        <f t="shared" si="33"/>
        <v>0</v>
      </c>
      <c r="X79" s="242"/>
      <c r="Y79" s="241"/>
      <c r="Z79" s="242"/>
      <c r="AA79" s="242"/>
      <c r="AB79" s="242">
        <f t="shared" si="40"/>
        <v>0</v>
      </c>
      <c r="AC79" s="242"/>
      <c r="AD79" s="242"/>
      <c r="AE79" s="242">
        <f t="shared" si="41"/>
        <v>0</v>
      </c>
      <c r="AF79" s="242">
        <v>100000</v>
      </c>
      <c r="AG79" s="242"/>
      <c r="AH79" s="242">
        <f t="shared" si="42"/>
        <v>100000</v>
      </c>
      <c r="AI79" s="242"/>
      <c r="AJ79" s="242"/>
      <c r="AK79" s="242">
        <f t="shared" si="43"/>
        <v>0</v>
      </c>
      <c r="AL79" s="242">
        <v>200000</v>
      </c>
      <c r="AM79" s="242"/>
      <c r="AN79" s="242">
        <f t="shared" si="44"/>
        <v>200000</v>
      </c>
      <c r="AO79" s="393"/>
      <c r="AP79" s="242"/>
      <c r="AQ79" s="242">
        <f>SUM(AO79:AP79)</f>
        <v>0</v>
      </c>
      <c r="AR79" s="489"/>
      <c r="AS79" s="242"/>
      <c r="AT79" s="242">
        <f>SUM(AR79:AS79)</f>
        <v>0</v>
      </c>
      <c r="AU79" s="242">
        <v>200000</v>
      </c>
      <c r="AV79" s="242"/>
      <c r="AW79" s="242">
        <f>SUM(AU79:AV79)</f>
        <v>200000</v>
      </c>
      <c r="AX79" s="242"/>
      <c r="AY79" s="242"/>
      <c r="AZ79" s="242">
        <f>SUM(AX79:AY79)</f>
        <v>0</v>
      </c>
      <c r="BA79" s="242"/>
      <c r="BB79" s="242"/>
      <c r="BC79" s="242">
        <f>SUM(BA79:BB79)</f>
        <v>0</v>
      </c>
      <c r="BD79" s="242"/>
      <c r="BE79" s="242"/>
      <c r="BF79" s="242">
        <f>SUM(BD79:BE79)</f>
        <v>0</v>
      </c>
      <c r="BG79" s="242">
        <f t="shared" si="51"/>
        <v>500000</v>
      </c>
      <c r="BH79" s="242"/>
      <c r="BI79" s="242">
        <f t="shared" si="52"/>
        <v>500000</v>
      </c>
      <c r="BJ79" s="242">
        <f t="shared" si="53"/>
        <v>0</v>
      </c>
      <c r="BK79" s="242">
        <v>500000</v>
      </c>
      <c r="BL79" s="242">
        <f t="shared" si="54"/>
        <v>0</v>
      </c>
      <c r="BM79" s="242"/>
      <c r="BN79" s="242"/>
      <c r="BO79" s="242">
        <f t="shared" si="55"/>
        <v>0</v>
      </c>
      <c r="BP79" s="242"/>
      <c r="BQ79" s="242"/>
      <c r="BR79" s="242">
        <f t="shared" si="56"/>
        <v>0</v>
      </c>
      <c r="BS79" s="242"/>
      <c r="BT79" s="241">
        <v>810000</v>
      </c>
    </row>
    <row r="80" spans="1:72" s="244" customFormat="1">
      <c r="A80" s="241">
        <f t="shared" si="34"/>
        <v>75</v>
      </c>
      <c r="B80" s="241">
        <v>1947</v>
      </c>
      <c r="C80" s="241" t="s">
        <v>746</v>
      </c>
      <c r="D80" s="242">
        <f>1200000+200000</f>
        <v>1400000</v>
      </c>
      <c r="E80" s="242"/>
      <c r="F80" s="488">
        <f>D80-E80</f>
        <v>1400000</v>
      </c>
      <c r="G80" s="242"/>
      <c r="H80" s="242"/>
      <c r="I80" s="242"/>
      <c r="J80" s="242"/>
      <c r="K80" s="242">
        <f t="shared" si="58"/>
        <v>0</v>
      </c>
      <c r="L80" s="242">
        <f t="shared" si="35"/>
        <v>0</v>
      </c>
      <c r="M80" s="242">
        <f t="shared" si="36"/>
        <v>1400000</v>
      </c>
      <c r="N80" s="242"/>
      <c r="O80" s="242">
        <f>D80-L80-M80-N80</f>
        <v>0</v>
      </c>
      <c r="P80" s="242">
        <f>G80-L80</f>
        <v>0</v>
      </c>
      <c r="Q80" s="242"/>
      <c r="R80" s="242">
        <v>1400000</v>
      </c>
      <c r="S80" s="242">
        <f t="shared" si="57"/>
        <v>1400000</v>
      </c>
      <c r="T80" s="242">
        <f>P80-M80+S80</f>
        <v>0</v>
      </c>
      <c r="U80" s="14">
        <f t="shared" si="32"/>
        <v>0</v>
      </c>
      <c r="V80" s="242"/>
      <c r="W80" s="242">
        <f t="shared" si="33"/>
        <v>0</v>
      </c>
      <c r="X80" s="242"/>
      <c r="Y80" s="241"/>
      <c r="Z80" s="242"/>
      <c r="AA80" s="242"/>
      <c r="AB80" s="242">
        <f t="shared" si="40"/>
        <v>0</v>
      </c>
      <c r="AC80" s="242"/>
      <c r="AD80" s="242"/>
      <c r="AE80" s="242">
        <f t="shared" si="41"/>
        <v>0</v>
      </c>
      <c r="AF80" s="242"/>
      <c r="AG80" s="242"/>
      <c r="AH80" s="242">
        <f t="shared" si="42"/>
        <v>0</v>
      </c>
      <c r="AI80" s="242"/>
      <c r="AJ80" s="242"/>
      <c r="AK80" s="242">
        <f t="shared" si="43"/>
        <v>0</v>
      </c>
      <c r="AL80" s="242"/>
      <c r="AM80" s="242"/>
      <c r="AN80" s="242">
        <f t="shared" si="44"/>
        <v>0</v>
      </c>
      <c r="AO80" s="242"/>
      <c r="AP80" s="242"/>
      <c r="AQ80" s="242">
        <f>SUM(AO80:AP80)</f>
        <v>0</v>
      </c>
      <c r="AR80" s="489"/>
      <c r="AS80" s="242"/>
      <c r="AT80" s="242">
        <f>SUM(AR80:AS80)</f>
        <v>0</v>
      </c>
      <c r="AU80" s="489"/>
      <c r="AV80" s="242"/>
      <c r="AW80" s="242">
        <f>SUM(AU80:AV80)</f>
        <v>0</v>
      </c>
      <c r="AX80" s="489"/>
      <c r="AY80" s="242"/>
      <c r="AZ80" s="242">
        <f>SUM(AX80:AY80)</f>
        <v>0</v>
      </c>
      <c r="BA80" s="489"/>
      <c r="BB80" s="242"/>
      <c r="BC80" s="242">
        <f>SUM(BA80:BB80)</f>
        <v>0</v>
      </c>
      <c r="BD80" s="489"/>
      <c r="BE80" s="242"/>
      <c r="BF80" s="242">
        <f t="shared" si="50"/>
        <v>0</v>
      </c>
      <c r="BG80" s="242">
        <f t="shared" si="51"/>
        <v>0</v>
      </c>
      <c r="BH80" s="242"/>
      <c r="BI80" s="242">
        <f t="shared" si="52"/>
        <v>0</v>
      </c>
      <c r="BJ80" s="242">
        <f t="shared" si="53"/>
        <v>0</v>
      </c>
      <c r="BK80" s="242"/>
      <c r="BL80" s="242">
        <f t="shared" si="54"/>
        <v>0</v>
      </c>
      <c r="BM80" s="242"/>
      <c r="BN80" s="242"/>
      <c r="BO80" s="242">
        <f t="shared" si="55"/>
        <v>0</v>
      </c>
      <c r="BP80" s="242"/>
      <c r="BQ80" s="242"/>
      <c r="BR80" s="242">
        <f t="shared" si="56"/>
        <v>0</v>
      </c>
      <c r="BS80" s="242"/>
      <c r="BT80" s="241">
        <v>850000</v>
      </c>
    </row>
    <row r="81" spans="1:72" s="244" customFormat="1">
      <c r="A81" s="241">
        <f t="shared" si="34"/>
        <v>76</v>
      </c>
      <c r="B81" s="241">
        <v>1970</v>
      </c>
      <c r="C81" s="241" t="s">
        <v>392</v>
      </c>
      <c r="D81" s="242">
        <f>2200000+500000</f>
        <v>2700000</v>
      </c>
      <c r="E81" s="242"/>
      <c r="F81" s="488">
        <f>D81-E81</f>
        <v>2700000</v>
      </c>
      <c r="G81" s="242"/>
      <c r="H81" s="242"/>
      <c r="I81" s="242"/>
      <c r="J81" s="242"/>
      <c r="K81" s="242">
        <f t="shared" si="58"/>
        <v>0</v>
      </c>
      <c r="L81" s="242">
        <f t="shared" si="35"/>
        <v>0</v>
      </c>
      <c r="M81" s="242">
        <f t="shared" si="36"/>
        <v>0</v>
      </c>
      <c r="N81" s="242">
        <f>2200000+500000</f>
        <v>2700000</v>
      </c>
      <c r="O81" s="242">
        <f>D81-L81-M81-N81</f>
        <v>0</v>
      </c>
      <c r="P81" s="242">
        <f>G81-L81</f>
        <v>0</v>
      </c>
      <c r="Q81" s="242"/>
      <c r="R81" s="242"/>
      <c r="S81" s="242">
        <f>SUM(Q81:R81)</f>
        <v>0</v>
      </c>
      <c r="T81" s="242">
        <f>P81-M81+S81</f>
        <v>0</v>
      </c>
      <c r="U81" s="14">
        <f t="shared" si="32"/>
        <v>2700000</v>
      </c>
      <c r="V81" s="242"/>
      <c r="W81" s="242">
        <f t="shared" si="33"/>
        <v>2700000</v>
      </c>
      <c r="X81" s="242"/>
      <c r="Y81" s="241"/>
      <c r="Z81" s="242"/>
      <c r="AA81" s="242"/>
      <c r="AB81" s="242">
        <f t="shared" si="40"/>
        <v>0</v>
      </c>
      <c r="AC81" s="242"/>
      <c r="AD81" s="242"/>
      <c r="AE81" s="242">
        <f t="shared" si="41"/>
        <v>0</v>
      </c>
      <c r="AF81" s="242"/>
      <c r="AG81" s="242"/>
      <c r="AH81" s="242">
        <f t="shared" si="42"/>
        <v>0</v>
      </c>
      <c r="AI81" s="242"/>
      <c r="AJ81" s="242"/>
      <c r="AK81" s="242">
        <f t="shared" si="43"/>
        <v>0</v>
      </c>
      <c r="AL81" s="242"/>
      <c r="AM81" s="242"/>
      <c r="AN81" s="242">
        <f t="shared" si="44"/>
        <v>0</v>
      </c>
      <c r="AO81" s="393">
        <f>700000-200000</f>
        <v>500000</v>
      </c>
      <c r="AP81" s="242"/>
      <c r="AQ81" s="242">
        <f>SUM(AO81:AP81)</f>
        <v>500000</v>
      </c>
      <c r="AR81" s="489"/>
      <c r="AS81" s="242"/>
      <c r="AT81" s="242">
        <f>SUM(AR81:AS81)</f>
        <v>0</v>
      </c>
      <c r="AU81" s="242">
        <v>500000</v>
      </c>
      <c r="AV81" s="242"/>
      <c r="AW81" s="242">
        <f>SUM(AU81:AV81)</f>
        <v>500000</v>
      </c>
      <c r="AX81" s="242">
        <v>1000000</v>
      </c>
      <c r="AY81" s="242"/>
      <c r="AZ81" s="242">
        <f>SUM(AX81:AY81)</f>
        <v>1000000</v>
      </c>
      <c r="BA81" s="242"/>
      <c r="BB81" s="242"/>
      <c r="BC81" s="242">
        <f>SUM(BA81:BB81)</f>
        <v>0</v>
      </c>
      <c r="BD81" s="242">
        <v>700000</v>
      </c>
      <c r="BE81" s="242"/>
      <c r="BF81" s="242">
        <f>SUM(BD81:BE81)</f>
        <v>700000</v>
      </c>
      <c r="BG81" s="242">
        <f t="shared" si="51"/>
        <v>2700000</v>
      </c>
      <c r="BH81" s="242"/>
      <c r="BI81" s="242">
        <f t="shared" si="52"/>
        <v>2700000</v>
      </c>
      <c r="BJ81" s="242">
        <f t="shared" si="53"/>
        <v>0</v>
      </c>
      <c r="BK81" s="242"/>
      <c r="BL81" s="242">
        <f t="shared" si="54"/>
        <v>2700000</v>
      </c>
      <c r="BM81" s="242"/>
      <c r="BN81" s="242"/>
      <c r="BO81" s="242">
        <f t="shared" si="55"/>
        <v>0</v>
      </c>
      <c r="BP81" s="242"/>
      <c r="BQ81" s="242"/>
      <c r="BR81" s="242">
        <f t="shared" si="56"/>
        <v>0</v>
      </c>
      <c r="BS81" s="242"/>
      <c r="BT81" s="241">
        <v>810000</v>
      </c>
    </row>
    <row r="82" spans="1:72" s="244" customFormat="1" ht="15.75">
      <c r="A82" s="233">
        <f>A81</f>
        <v>76</v>
      </c>
      <c r="B82" s="248" t="s">
        <v>82</v>
      </c>
      <c r="C82" s="248" t="s">
        <v>106</v>
      </c>
      <c r="D82" s="249">
        <f t="shared" ref="D82:BS82" si="59">SUM(D6:D81)</f>
        <v>547456840</v>
      </c>
      <c r="E82" s="249">
        <f t="shared" si="59"/>
        <v>578780840</v>
      </c>
      <c r="F82" s="249">
        <f t="shared" si="59"/>
        <v>-31324000</v>
      </c>
      <c r="G82" s="249">
        <f t="shared" si="59"/>
        <v>401930840</v>
      </c>
      <c r="H82" s="249">
        <f t="shared" si="59"/>
        <v>343915745.27999991</v>
      </c>
      <c r="I82" s="249">
        <f t="shared" si="59"/>
        <v>18824039.779999997</v>
      </c>
      <c r="J82" s="249">
        <f t="shared" si="59"/>
        <v>17226281.890000001</v>
      </c>
      <c r="K82" s="249">
        <f t="shared" si="59"/>
        <v>36050321.670000002</v>
      </c>
      <c r="L82" s="249">
        <f t="shared" si="59"/>
        <v>379966066.94999987</v>
      </c>
      <c r="M82" s="249">
        <f t="shared" si="59"/>
        <v>37999773.050000004</v>
      </c>
      <c r="N82" s="249">
        <f t="shared" si="59"/>
        <v>25186000</v>
      </c>
      <c r="O82" s="249">
        <f t="shared" si="59"/>
        <v>104305000</v>
      </c>
      <c r="P82" s="249">
        <f t="shared" si="59"/>
        <v>21964773.050000004</v>
      </c>
      <c r="Q82" s="249">
        <f t="shared" si="59"/>
        <v>2550000</v>
      </c>
      <c r="R82" s="249">
        <f t="shared" si="59"/>
        <v>14652000</v>
      </c>
      <c r="S82" s="249">
        <f t="shared" si="59"/>
        <v>17202000</v>
      </c>
      <c r="T82" s="249">
        <f t="shared" si="59"/>
        <v>1167000</v>
      </c>
      <c r="U82" s="249">
        <f t="shared" si="59"/>
        <v>24019000</v>
      </c>
      <c r="V82" s="249">
        <f t="shared" si="59"/>
        <v>14320000</v>
      </c>
      <c r="W82" s="249">
        <f t="shared" si="59"/>
        <v>9407000</v>
      </c>
      <c r="X82" s="249">
        <f t="shared" si="59"/>
        <v>0</v>
      </c>
      <c r="Y82" s="249">
        <f t="shared" si="59"/>
        <v>292000</v>
      </c>
      <c r="Z82" s="249">
        <f t="shared" si="59"/>
        <v>-908000</v>
      </c>
      <c r="AA82" s="249">
        <f t="shared" si="59"/>
        <v>-183000</v>
      </c>
      <c r="AB82" s="249">
        <f t="shared" si="59"/>
        <v>-1091000</v>
      </c>
      <c r="AC82" s="249">
        <f t="shared" si="59"/>
        <v>300000</v>
      </c>
      <c r="AD82" s="249">
        <f t="shared" si="59"/>
        <v>0</v>
      </c>
      <c r="AE82" s="249">
        <f t="shared" si="59"/>
        <v>300000</v>
      </c>
      <c r="AF82" s="249">
        <f t="shared" si="59"/>
        <v>8866000</v>
      </c>
      <c r="AG82" s="249">
        <f t="shared" si="59"/>
        <v>0</v>
      </c>
      <c r="AH82" s="249">
        <f t="shared" si="59"/>
        <v>8866000</v>
      </c>
      <c r="AI82" s="249">
        <f t="shared" si="59"/>
        <v>3610000</v>
      </c>
      <c r="AJ82" s="249">
        <f t="shared" si="59"/>
        <v>-1000</v>
      </c>
      <c r="AK82" s="249">
        <f t="shared" si="59"/>
        <v>3609000</v>
      </c>
      <c r="AL82" s="249">
        <f t="shared" si="59"/>
        <v>2530000</v>
      </c>
      <c r="AM82" s="249">
        <f t="shared" si="59"/>
        <v>0</v>
      </c>
      <c r="AN82" s="249">
        <f t="shared" si="59"/>
        <v>2530000</v>
      </c>
      <c r="AO82" s="249">
        <f t="shared" si="59"/>
        <v>1150000</v>
      </c>
      <c r="AP82" s="249">
        <f t="shared" si="59"/>
        <v>0</v>
      </c>
      <c r="AQ82" s="249">
        <f t="shared" si="59"/>
        <v>1150000</v>
      </c>
      <c r="AR82" s="249">
        <f t="shared" si="59"/>
        <v>0</v>
      </c>
      <c r="AS82" s="249">
        <f t="shared" si="59"/>
        <v>0</v>
      </c>
      <c r="AT82" s="249">
        <f t="shared" si="59"/>
        <v>0</v>
      </c>
      <c r="AU82" s="249">
        <f t="shared" si="59"/>
        <v>1750000</v>
      </c>
      <c r="AV82" s="249">
        <f t="shared" si="59"/>
        <v>0</v>
      </c>
      <c r="AW82" s="249">
        <f t="shared" si="59"/>
        <v>1750000</v>
      </c>
      <c r="AX82" s="249">
        <f t="shared" si="59"/>
        <v>1500000</v>
      </c>
      <c r="AY82" s="249">
        <f t="shared" si="59"/>
        <v>0</v>
      </c>
      <c r="AZ82" s="249">
        <f t="shared" si="59"/>
        <v>1500000</v>
      </c>
      <c r="BA82" s="249">
        <f t="shared" si="59"/>
        <v>1150000</v>
      </c>
      <c r="BB82" s="249">
        <f t="shared" si="59"/>
        <v>0</v>
      </c>
      <c r="BC82" s="249">
        <f t="shared" si="59"/>
        <v>1150000</v>
      </c>
      <c r="BD82" s="249">
        <f t="shared" si="59"/>
        <v>1200000</v>
      </c>
      <c r="BE82" s="249">
        <f t="shared" si="59"/>
        <v>100000</v>
      </c>
      <c r="BF82" s="249">
        <f t="shared" si="59"/>
        <v>1300000</v>
      </c>
      <c r="BG82" s="249">
        <f t="shared" si="59"/>
        <v>21064000</v>
      </c>
      <c r="BH82" s="249">
        <f t="shared" si="59"/>
        <v>930000</v>
      </c>
      <c r="BI82" s="249">
        <f t="shared" si="59"/>
        <v>21994000</v>
      </c>
      <c r="BJ82" s="249">
        <f t="shared" si="59"/>
        <v>2025000</v>
      </c>
      <c r="BK82" s="249">
        <f t="shared" si="59"/>
        <v>14320000</v>
      </c>
      <c r="BL82" s="249">
        <f t="shared" ref="BL82:BQ82" si="60">SUM(BL6:BL81)</f>
        <v>7674000</v>
      </c>
      <c r="BM82" s="249">
        <f t="shared" si="60"/>
        <v>0</v>
      </c>
      <c r="BN82" s="249">
        <f t="shared" si="60"/>
        <v>930000</v>
      </c>
      <c r="BO82" s="249">
        <f t="shared" si="60"/>
        <v>0</v>
      </c>
      <c r="BP82" s="249">
        <f t="shared" si="60"/>
        <v>0</v>
      </c>
      <c r="BQ82" s="249">
        <f t="shared" si="60"/>
        <v>0</v>
      </c>
      <c r="BR82" s="249">
        <f t="shared" si="59"/>
        <v>1733000</v>
      </c>
      <c r="BS82" s="249">
        <f t="shared" si="59"/>
        <v>292000</v>
      </c>
      <c r="BT82" s="249"/>
    </row>
    <row r="83" spans="1:72" s="490" customFormat="1">
      <c r="B83" s="491"/>
      <c r="C83" s="491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37"/>
      <c r="V83" s="491"/>
      <c r="W83" s="491"/>
      <c r="X83" s="491"/>
      <c r="Y83" s="491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491"/>
    </row>
    <row r="84" spans="1:72" s="490" customFormat="1">
      <c r="B84" s="491"/>
      <c r="C84" s="491"/>
      <c r="D84" s="492"/>
      <c r="E84" s="492"/>
      <c r="F84" s="492"/>
      <c r="G84" s="492"/>
      <c r="H84" s="492"/>
      <c r="I84" s="492"/>
      <c r="J84" s="492"/>
      <c r="K84" s="492"/>
      <c r="L84" s="215">
        <f>K82+H82</f>
        <v>379966066.94999993</v>
      </c>
      <c r="M84" s="215">
        <f>P82+S82-T82</f>
        <v>37999773.050000004</v>
      </c>
      <c r="N84" s="493"/>
      <c r="O84" s="492"/>
      <c r="P84" s="215">
        <f>G82-L82</f>
        <v>21964773.050000131</v>
      </c>
      <c r="Q84" s="492"/>
      <c r="R84" s="492"/>
      <c r="S84" s="492"/>
      <c r="T84" s="492"/>
      <c r="U84" s="38"/>
      <c r="V84" s="494"/>
      <c r="W84" s="494"/>
      <c r="X84" s="494"/>
      <c r="Y84" s="494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491"/>
    </row>
    <row r="85" spans="1:72" s="490" customFormat="1">
      <c r="B85" s="491"/>
      <c r="C85" s="491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37"/>
      <c r="V85" s="491"/>
      <c r="W85" s="491"/>
      <c r="X85" s="491"/>
      <c r="Y85" s="491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491"/>
    </row>
    <row r="86" spans="1:72" s="490" customFormat="1" hidden="1">
      <c r="B86" s="491"/>
      <c r="C86" s="491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 t="s">
        <v>747</v>
      </c>
      <c r="P86" s="492"/>
      <c r="Q86" s="215">
        <f>'[2]תבל '!$AY$87</f>
        <v>2550000</v>
      </c>
      <c r="R86" s="492"/>
      <c r="S86" s="492"/>
      <c r="T86" s="492"/>
      <c r="U86" s="37"/>
      <c r="V86" s="491"/>
      <c r="W86" s="491"/>
      <c r="X86" s="491"/>
      <c r="Y86" s="491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491"/>
    </row>
    <row r="87" spans="1:72" hidden="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1:72" hidden="1">
      <c r="N88" s="251" t="s">
        <v>748</v>
      </c>
      <c r="R88" s="215">
        <f>'[2]ריכוז תקציבים מעבר לתוכנית 31.8'!$AD$100</f>
        <v>14652000</v>
      </c>
      <c r="S88" s="251">
        <f>R82-R88</f>
        <v>0</v>
      </c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1:72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1:72" hidden="1">
      <c r="O90" s="492" t="s">
        <v>183</v>
      </c>
      <c r="R90" s="251">
        <f>2290000+3500000+572000</f>
        <v>6362000</v>
      </c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1:72" hidden="1">
      <c r="O91" s="251" t="s">
        <v>749</v>
      </c>
      <c r="R91" s="251">
        <f>500000+150000+850000+500000+250000+800000+415000+305000</f>
        <v>3770000</v>
      </c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1:72" s="251" customFormat="1" hidden="1">
      <c r="A92" s="252"/>
      <c r="B92" s="239"/>
      <c r="C92" s="239"/>
      <c r="R92" s="251">
        <f>SUM(R90:R91)</f>
        <v>10132000</v>
      </c>
      <c r="U92" s="29"/>
      <c r="V92" s="239"/>
      <c r="W92" s="239"/>
      <c r="X92" s="239"/>
      <c r="Y92" s="239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239"/>
    </row>
    <row r="93" spans="1:72" hidden="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1:72" hidden="1">
      <c r="R94" s="485">
        <v>150000</v>
      </c>
      <c r="S94" s="251" t="s">
        <v>750</v>
      </c>
      <c r="T94" s="251" t="s">
        <v>751</v>
      </c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1:72" hidden="1">
      <c r="R95" s="485">
        <v>2000000</v>
      </c>
      <c r="S95" s="251" t="s">
        <v>752</v>
      </c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1:72" hidden="1">
      <c r="R96" s="485">
        <f>SUM(R94:R95)</f>
        <v>2150000</v>
      </c>
      <c r="S96" s="251" t="s">
        <v>751</v>
      </c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16:73" hidden="1">
      <c r="R97" s="251">
        <v>2270000</v>
      </c>
      <c r="S97" s="251" t="s">
        <v>736</v>
      </c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16:73" hidden="1">
      <c r="P98" s="251" t="s">
        <v>395</v>
      </c>
      <c r="Q98" s="485">
        <f>'[5]תבל '!$AZ$85</f>
        <v>1000000</v>
      </c>
      <c r="R98" s="251">
        <f>R82-R96-R97</f>
        <v>10232000</v>
      </c>
      <c r="S98" s="251" t="s">
        <v>735</v>
      </c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16:73" hidden="1">
      <c r="P99" s="251" t="s">
        <v>396</v>
      </c>
      <c r="Q99" s="251">
        <f>'[7]תבל '!$BC$86</f>
        <v>1550000</v>
      </c>
      <c r="R99" s="251">
        <f>R80+R75+R74+R69+R61+R58+R43+1500000</f>
        <v>10232000</v>
      </c>
      <c r="S99" s="251" t="s">
        <v>753</v>
      </c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16:73" hidden="1">
      <c r="Q100" s="485">
        <f>SUM(Q98:Q99)</f>
        <v>2550000</v>
      </c>
      <c r="S100" s="492">
        <v>1946</v>
      </c>
      <c r="T100" s="251">
        <v>590000</v>
      </c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16:73" hidden="1">
      <c r="S101" s="492">
        <v>1942</v>
      </c>
      <c r="T101" s="251">
        <v>572000</v>
      </c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16:73" hidden="1">
      <c r="S102" s="492">
        <v>1918</v>
      </c>
      <c r="T102" s="251">
        <v>850000</v>
      </c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16:73" hidden="1">
      <c r="R103" s="251">
        <f>R98-R99</f>
        <v>0</v>
      </c>
      <c r="S103" s="492">
        <v>1883</v>
      </c>
      <c r="T103" s="251">
        <v>500000</v>
      </c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  <c r="BU103" s="239" t="s">
        <v>411</v>
      </c>
    </row>
    <row r="104" spans="16:73" hidden="1">
      <c r="S104" s="492">
        <v>1770</v>
      </c>
      <c r="T104" s="251">
        <v>2290000</v>
      </c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16:73" hidden="1">
      <c r="S105" s="251">
        <v>1917</v>
      </c>
      <c r="T105" s="251">
        <v>1500000</v>
      </c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16:73" hidden="1">
      <c r="S106" s="251">
        <v>1886</v>
      </c>
      <c r="T106" s="251">
        <v>2530000</v>
      </c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16:73" hidden="1">
      <c r="S107" s="251" t="s">
        <v>754</v>
      </c>
      <c r="T107" s="251">
        <v>1400000</v>
      </c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U107" s="239" t="s">
        <v>411</v>
      </c>
    </row>
    <row r="108" spans="16:73" hidden="1">
      <c r="T108" s="239"/>
      <c r="U108" s="251">
        <f>SUM(T100:T107)</f>
        <v>10232000</v>
      </c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16:73">
      <c r="U109" s="31">
        <f>R99-U108</f>
        <v>0</v>
      </c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16:73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16:73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16:73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T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3" ySplit="4" topLeftCell="U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402" customWidth="1"/>
    <col min="2" max="2" width="6.7109375" style="400" customWidth="1"/>
    <col min="3" max="3" width="35.7109375" style="400" customWidth="1"/>
    <col min="4" max="4" width="11.28515625" style="405" hidden="1" customWidth="1"/>
    <col min="5" max="5" width="11" style="405" hidden="1" customWidth="1"/>
    <col min="6" max="6" width="9" style="405" hidden="1" customWidth="1"/>
    <col min="7" max="10" width="12.7109375" style="405" hidden="1" customWidth="1"/>
    <col min="11" max="11" width="11.28515625" style="405" hidden="1" customWidth="1"/>
    <col min="12" max="12" width="11.7109375" style="405" hidden="1" customWidth="1"/>
    <col min="13" max="13" width="11.140625" style="405" hidden="1" customWidth="1"/>
    <col min="14" max="14" width="9.85546875" style="405" hidden="1" customWidth="1"/>
    <col min="15" max="15" width="11.5703125" style="405" hidden="1" customWidth="1"/>
    <col min="16" max="17" width="11.140625" style="405" hidden="1" customWidth="1"/>
    <col min="18" max="19" width="12" style="405" hidden="1" customWidth="1"/>
    <col min="20" max="20" width="9.85546875" style="405" hidden="1" customWidth="1"/>
    <col min="21" max="21" width="9.42578125" style="400" customWidth="1"/>
    <col min="22" max="22" width="7.5703125" style="400" customWidth="1"/>
    <col min="23" max="23" width="11.28515625" style="400" customWidth="1"/>
    <col min="24" max="24" width="7.140625" style="400" hidden="1" customWidth="1"/>
    <col min="25" max="25" width="10.42578125" style="400" customWidth="1"/>
    <col min="26" max="60" width="10" style="239" hidden="1" customWidth="1"/>
    <col min="61" max="61" width="11.5703125" style="239" customWidth="1"/>
    <col min="62" max="62" width="10" style="239" customWidth="1"/>
    <col min="63" max="63" width="11.42578125" style="239" customWidth="1"/>
    <col min="64" max="64" width="11.5703125" style="239" customWidth="1"/>
    <col min="65" max="65" width="11.7109375" style="239" customWidth="1"/>
    <col min="66" max="71" width="10" style="239" hidden="1" customWidth="1"/>
    <col min="72" max="72" width="7.85546875" style="400" hidden="1" customWidth="1"/>
    <col min="73" max="73" width="9.140625" style="400" customWidth="1"/>
    <col min="74" max="16384" width="9.140625" style="400"/>
  </cols>
  <sheetData>
    <row r="1" spans="1:72" ht="18.75">
      <c r="A1" s="777" t="s">
        <v>945</v>
      </c>
    </row>
    <row r="2" spans="1:72" ht="18.75"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U3" s="832" t="s">
        <v>191</v>
      </c>
      <c r="V3" s="833"/>
      <c r="W3" s="833"/>
      <c r="X3" s="833"/>
      <c r="Y3" s="834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9"/>
      <c r="BJ3" s="617"/>
      <c r="BK3" s="621" t="s">
        <v>1092</v>
      </c>
      <c r="BL3" s="621"/>
      <c r="BM3" s="621"/>
      <c r="BN3" s="617" t="s">
        <v>883</v>
      </c>
      <c r="BO3" s="619"/>
      <c r="BP3" s="619"/>
      <c r="BQ3" s="817" t="s">
        <v>934</v>
      </c>
      <c r="BR3" s="818"/>
      <c r="BS3" s="819"/>
    </row>
    <row r="4" spans="1:72" s="498" customFormat="1" ht="90">
      <c r="A4" s="361" t="s">
        <v>659</v>
      </c>
      <c r="B4" s="361" t="s">
        <v>1</v>
      </c>
      <c r="C4" s="361" t="s">
        <v>2</v>
      </c>
      <c r="D4" s="361" t="s">
        <v>3</v>
      </c>
      <c r="E4" s="361" t="s">
        <v>4</v>
      </c>
      <c r="F4" s="361" t="s">
        <v>5</v>
      </c>
      <c r="G4" s="361" t="s">
        <v>6</v>
      </c>
      <c r="H4" s="361" t="s">
        <v>7</v>
      </c>
      <c r="I4" s="361" t="s">
        <v>8</v>
      </c>
      <c r="J4" s="361" t="s">
        <v>9</v>
      </c>
      <c r="K4" s="361" t="s">
        <v>10</v>
      </c>
      <c r="L4" s="361" t="s">
        <v>11</v>
      </c>
      <c r="M4" s="12" t="s">
        <v>637</v>
      </c>
      <c r="N4" s="361" t="s">
        <v>638</v>
      </c>
      <c r="O4" s="361" t="s">
        <v>639</v>
      </c>
      <c r="P4" s="361" t="s">
        <v>12</v>
      </c>
      <c r="Q4" s="361" t="s">
        <v>640</v>
      </c>
      <c r="R4" s="361" t="s">
        <v>641</v>
      </c>
      <c r="S4" s="361" t="s">
        <v>642</v>
      </c>
      <c r="T4" s="361" t="s">
        <v>643</v>
      </c>
      <c r="U4" s="361" t="s">
        <v>644</v>
      </c>
      <c r="V4" s="497" t="s">
        <v>13</v>
      </c>
      <c r="W4" s="361" t="s">
        <v>14</v>
      </c>
      <c r="X4" s="363" t="s">
        <v>15</v>
      </c>
      <c r="Y4" s="361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361" t="s">
        <v>16</v>
      </c>
    </row>
    <row r="5" spans="1:72" s="413" customFormat="1">
      <c r="A5" s="414"/>
      <c r="B5" s="414"/>
      <c r="C5" s="414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499"/>
      <c r="W5" s="337"/>
      <c r="X5" s="500"/>
      <c r="Y5" s="414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409"/>
    </row>
    <row r="6" spans="1:72" s="413" customFormat="1" ht="18" customHeight="1">
      <c r="A6" s="414"/>
      <c r="B6" s="414"/>
      <c r="C6" s="414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499"/>
      <c r="W6" s="337"/>
      <c r="X6" s="500"/>
      <c r="Y6" s="414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414"/>
    </row>
    <row r="7" spans="1:72" s="413" customFormat="1">
      <c r="A7" s="414">
        <v>1</v>
      </c>
      <c r="B7" s="414">
        <v>1621</v>
      </c>
      <c r="C7" s="414" t="s">
        <v>101</v>
      </c>
      <c r="D7" s="337">
        <f>1350000+50000+550000</f>
        <v>1950000</v>
      </c>
      <c r="E7" s="337">
        <v>1350000</v>
      </c>
      <c r="F7" s="337">
        <f>D7-E7</f>
        <v>600000</v>
      </c>
      <c r="G7" s="337">
        <v>300000</v>
      </c>
      <c r="H7" s="337">
        <v>297909.8</v>
      </c>
      <c r="I7" s="337"/>
      <c r="J7" s="337"/>
      <c r="K7" s="337">
        <f>SUM(I7:J7)</f>
        <v>0</v>
      </c>
      <c r="L7" s="337">
        <f>H7+K7</f>
        <v>297909.8</v>
      </c>
      <c r="M7" s="337">
        <f>P7+S7</f>
        <v>502090.2</v>
      </c>
      <c r="N7" s="337">
        <v>500000</v>
      </c>
      <c r="O7" s="337">
        <f>D7-L7-M7-N7</f>
        <v>650000</v>
      </c>
      <c r="P7" s="337">
        <f>G7-L7</f>
        <v>2090.2000000000116</v>
      </c>
      <c r="Q7" s="417">
        <f>375000</f>
        <v>375000</v>
      </c>
      <c r="R7" s="417">
        <f>675000-550000</f>
        <v>125000</v>
      </c>
      <c r="S7" s="337">
        <f>SUM(Q7:R7)</f>
        <v>500000</v>
      </c>
      <c r="T7" s="337">
        <f>P7-M7+S7</f>
        <v>0</v>
      </c>
      <c r="U7" s="416">
        <f>N7-T7</f>
        <v>500000</v>
      </c>
      <c r="V7" s="499"/>
      <c r="W7" s="337">
        <f>U7-V7-X7-Y7</f>
        <v>500000</v>
      </c>
      <c r="X7" s="500"/>
      <c r="Y7" s="414"/>
      <c r="Z7" s="241"/>
      <c r="AA7" s="241"/>
      <c r="AB7" s="241">
        <f>SUM(Z7:AA7)</f>
        <v>0</v>
      </c>
      <c r="AC7" s="241"/>
      <c r="AD7" s="241"/>
      <c r="AE7" s="241">
        <f>SUM(AC7:AD7)</f>
        <v>0</v>
      </c>
      <c r="AF7" s="241"/>
      <c r="AG7" s="241"/>
      <c r="AH7" s="241">
        <f>SUM(AF7:AG7)</f>
        <v>0</v>
      </c>
      <c r="AI7" s="241"/>
      <c r="AJ7" s="241"/>
      <c r="AK7" s="241">
        <f>SUM(AI7:AJ7)</f>
        <v>0</v>
      </c>
      <c r="AL7" s="241"/>
      <c r="AM7" s="241"/>
      <c r="AN7" s="241">
        <f>SUM(AL7:AM7)</f>
        <v>0</v>
      </c>
      <c r="AO7" s="241"/>
      <c r="AP7" s="241"/>
      <c r="AQ7" s="241">
        <f>SUM(AO7:AP7)</f>
        <v>0</v>
      </c>
      <c r="AR7" s="241"/>
      <c r="AS7" s="241"/>
      <c r="AT7" s="241">
        <f>SUM(AR7:AS7)</f>
        <v>0</v>
      </c>
      <c r="AU7" s="241"/>
      <c r="AV7" s="241"/>
      <c r="AW7" s="241">
        <f>SUM(AU7:AV7)</f>
        <v>0</v>
      </c>
      <c r="AX7" s="337">
        <v>500000</v>
      </c>
      <c r="AY7" s="337"/>
      <c r="AZ7" s="337">
        <f>SUM(AX7:AY7)</f>
        <v>500000</v>
      </c>
      <c r="BA7" s="337"/>
      <c r="BB7" s="337"/>
      <c r="BC7" s="337">
        <f>SUM(BA7:BB7)</f>
        <v>0</v>
      </c>
      <c r="BD7" s="337"/>
      <c r="BE7" s="337"/>
      <c r="BF7" s="337">
        <f>SUM(BD7:BE7)</f>
        <v>0</v>
      </c>
      <c r="BG7" s="337">
        <f>BF7+AB7+AE7+AH7+AK7+AN7+AQ7+AT7+AW7+AZ7+BC7</f>
        <v>500000</v>
      </c>
      <c r="BH7" s="242"/>
      <c r="BI7" s="242">
        <f>BH7+BG7</f>
        <v>500000</v>
      </c>
      <c r="BJ7" s="337">
        <f>U7-BI7</f>
        <v>0</v>
      </c>
      <c r="BK7" s="337"/>
      <c r="BL7" s="337">
        <f>BI7-BK7-BM7</f>
        <v>500000</v>
      </c>
      <c r="BM7" s="337"/>
      <c r="BN7" s="337"/>
      <c r="BO7" s="337">
        <f>BH7-BN7-BP7</f>
        <v>0</v>
      </c>
      <c r="BP7" s="241"/>
      <c r="BQ7" s="337"/>
      <c r="BR7" s="337">
        <f>BJ7-BQ7-BS7</f>
        <v>0</v>
      </c>
      <c r="BS7" s="241"/>
      <c r="BT7" s="414">
        <v>723000</v>
      </c>
    </row>
    <row r="8" spans="1:72" s="413" customFormat="1">
      <c r="A8" s="501">
        <f>A7+1</f>
        <v>2</v>
      </c>
      <c r="B8" s="394">
        <v>1857</v>
      </c>
      <c r="C8" s="394" t="s">
        <v>755</v>
      </c>
      <c r="D8" s="502">
        <v>373500</v>
      </c>
      <c r="E8" s="502">
        <v>373500</v>
      </c>
      <c r="F8" s="337">
        <f>D8-E8</f>
        <v>0</v>
      </c>
      <c r="G8" s="502">
        <v>200000</v>
      </c>
      <c r="H8" s="502">
        <v>11700</v>
      </c>
      <c r="I8" s="502"/>
      <c r="J8" s="502"/>
      <c r="K8" s="502">
        <f>SUM(I8:J8)</f>
        <v>0</v>
      </c>
      <c r="L8" s="502">
        <f>H8+K8</f>
        <v>11700</v>
      </c>
      <c r="M8" s="337">
        <f>P8+S8</f>
        <v>361800</v>
      </c>
      <c r="N8" s="502"/>
      <c r="O8" s="502">
        <f>D8-L8-M8-N8</f>
        <v>0</v>
      </c>
      <c r="P8" s="502">
        <f>G8-L8</f>
        <v>188300</v>
      </c>
      <c r="Q8" s="421">
        <v>100000</v>
      </c>
      <c r="R8" s="417">
        <v>73500</v>
      </c>
      <c r="S8" s="502">
        <f>SUM(Q8:R8)</f>
        <v>173500</v>
      </c>
      <c r="T8" s="502">
        <f>P8-M8+S8</f>
        <v>0</v>
      </c>
      <c r="U8" s="502">
        <f>N8-T8</f>
        <v>0</v>
      </c>
      <c r="V8" s="503"/>
      <c r="W8" s="502">
        <f>U8-V8-X8-Y8</f>
        <v>0</v>
      </c>
      <c r="X8" s="504"/>
      <c r="Y8" s="50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>
        <f>SUM(AO8:AP8)</f>
        <v>0</v>
      </c>
      <c r="AR8" s="241"/>
      <c r="AS8" s="241"/>
      <c r="AT8" s="241">
        <f>SUM(AR8:AS8)</f>
        <v>0</v>
      </c>
      <c r="AU8" s="241"/>
      <c r="AV8" s="241"/>
      <c r="AW8" s="241">
        <f>SUM(AU8:AV8)</f>
        <v>0</v>
      </c>
      <c r="AX8" s="241"/>
      <c r="AY8" s="241"/>
      <c r="AZ8" s="241">
        <f>SUM(AX8:AY8)</f>
        <v>0</v>
      </c>
      <c r="BA8" s="241"/>
      <c r="BB8" s="241"/>
      <c r="BC8" s="241">
        <f>SUM(BA8:BB8)</f>
        <v>0</v>
      </c>
      <c r="BD8" s="241"/>
      <c r="BE8" s="241"/>
      <c r="BF8" s="241">
        <f>SUM(BD8:BE8)</f>
        <v>0</v>
      </c>
      <c r="BG8" s="337">
        <f>BF8+AB8+AE8+AH8+AK8+AN8+AQ8+AT8+AW8+AZ8+BC8</f>
        <v>0</v>
      </c>
      <c r="BH8" s="242"/>
      <c r="BI8" s="241"/>
      <c r="BJ8" s="337">
        <f>U8-BI8</f>
        <v>0</v>
      </c>
      <c r="BK8" s="337"/>
      <c r="BL8" s="337">
        <f>BI8-BK8-BM8</f>
        <v>0</v>
      </c>
      <c r="BM8" s="337"/>
      <c r="BN8" s="337"/>
      <c r="BO8" s="337">
        <f>BH8-BN8-BP8</f>
        <v>0</v>
      </c>
      <c r="BP8" s="241"/>
      <c r="BQ8" s="337"/>
      <c r="BR8" s="337">
        <f>BJ8-BQ8-BS8</f>
        <v>0</v>
      </c>
      <c r="BS8" s="241"/>
      <c r="BT8" s="501">
        <v>810000</v>
      </c>
    </row>
    <row r="9" spans="1:72" s="413" customFormat="1">
      <c r="A9" s="414">
        <f>A8+1</f>
        <v>3</v>
      </c>
      <c r="B9" s="414">
        <v>1858</v>
      </c>
      <c r="C9" s="414" t="s">
        <v>307</v>
      </c>
      <c r="D9" s="337">
        <v>75000</v>
      </c>
      <c r="E9" s="337">
        <v>75000</v>
      </c>
      <c r="F9" s="337">
        <f>D9-E9</f>
        <v>0</v>
      </c>
      <c r="G9" s="337">
        <v>0</v>
      </c>
      <c r="H9" s="337">
        <v>0</v>
      </c>
      <c r="I9" s="337"/>
      <c r="J9" s="337"/>
      <c r="K9" s="337">
        <f>SUM(I9:J9)</f>
        <v>0</v>
      </c>
      <c r="L9" s="337">
        <f>H9+K9</f>
        <v>0</v>
      </c>
      <c r="M9" s="337">
        <f>P9+S9</f>
        <v>75000</v>
      </c>
      <c r="N9" s="337"/>
      <c r="O9" s="337">
        <f>D9-L9-M9-N9</f>
        <v>0</v>
      </c>
      <c r="P9" s="337">
        <f>G9-L9</f>
        <v>0</v>
      </c>
      <c r="Q9" s="417">
        <v>75000</v>
      </c>
      <c r="R9" s="337"/>
      <c r="S9" s="337">
        <f>SUM(Q9:R9)</f>
        <v>75000</v>
      </c>
      <c r="T9" s="337">
        <f>P9-M9+S9</f>
        <v>0</v>
      </c>
      <c r="U9" s="337">
        <f>N9-T9</f>
        <v>0</v>
      </c>
      <c r="V9" s="499"/>
      <c r="W9" s="337">
        <f>U9-V9-X9-Y9</f>
        <v>0</v>
      </c>
      <c r="X9" s="500"/>
      <c r="Y9" s="414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>
        <f>SUM(AO9:AP9)</f>
        <v>0</v>
      </c>
      <c r="AR9" s="241"/>
      <c r="AS9" s="241"/>
      <c r="AT9" s="241">
        <f>SUM(AR9:AS9)</f>
        <v>0</v>
      </c>
      <c r="AU9" s="241"/>
      <c r="AV9" s="241"/>
      <c r="AW9" s="241">
        <f>SUM(AU9:AV9)</f>
        <v>0</v>
      </c>
      <c r="AX9" s="241"/>
      <c r="AY9" s="241"/>
      <c r="AZ9" s="241">
        <f>SUM(AX9:AY9)</f>
        <v>0</v>
      </c>
      <c r="BA9" s="241"/>
      <c r="BB9" s="241"/>
      <c r="BC9" s="241">
        <f>SUM(BA9:BB9)</f>
        <v>0</v>
      </c>
      <c r="BD9" s="241"/>
      <c r="BE9" s="241"/>
      <c r="BF9" s="241">
        <f>SUM(BD9:BE9)</f>
        <v>0</v>
      </c>
      <c r="BG9" s="337">
        <f>BF9+AB9+AE9+AH9+AK9+AN9+AQ9+AT9+AW9+AZ9+BC9</f>
        <v>0</v>
      </c>
      <c r="BH9" s="242"/>
      <c r="BI9" s="241"/>
      <c r="BJ9" s="337">
        <f>U9-BI9</f>
        <v>0</v>
      </c>
      <c r="BK9" s="337"/>
      <c r="BL9" s="337">
        <f>BI9-BK9-BM9</f>
        <v>0</v>
      </c>
      <c r="BM9" s="337"/>
      <c r="BN9" s="337"/>
      <c r="BO9" s="337">
        <f>BH9-BN9-BP9</f>
        <v>0</v>
      </c>
      <c r="BP9" s="241"/>
      <c r="BQ9" s="337"/>
      <c r="BR9" s="337">
        <f>BJ9-BQ9-BS9</f>
        <v>0</v>
      </c>
      <c r="BS9" s="241"/>
      <c r="BT9" s="414">
        <v>720000</v>
      </c>
    </row>
    <row r="10" spans="1:72" s="413" customFormat="1" ht="15.75">
      <c r="A10" s="414">
        <v>4</v>
      </c>
      <c r="B10" s="414">
        <v>1948</v>
      </c>
      <c r="C10" s="505" t="s">
        <v>436</v>
      </c>
      <c r="D10" s="337">
        <v>150000</v>
      </c>
      <c r="E10" s="337"/>
      <c r="F10" s="337">
        <f>D10-E10</f>
        <v>150000</v>
      </c>
      <c r="G10" s="337"/>
      <c r="H10" s="337"/>
      <c r="I10" s="337"/>
      <c r="J10" s="337"/>
      <c r="K10" s="337"/>
      <c r="L10" s="337"/>
      <c r="M10" s="337">
        <f>P10+S10</f>
        <v>150000</v>
      </c>
      <c r="N10" s="337"/>
      <c r="O10" s="337"/>
      <c r="P10" s="337"/>
      <c r="Q10" s="337"/>
      <c r="R10" s="337">
        <v>150000</v>
      </c>
      <c r="S10" s="337">
        <f>SUM(Q10:R10)</f>
        <v>150000</v>
      </c>
      <c r="T10" s="337"/>
      <c r="U10" s="337"/>
      <c r="V10" s="499"/>
      <c r="W10" s="337"/>
      <c r="X10" s="500"/>
      <c r="Y10" s="414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>
        <f>SUM(AO10:AP10)</f>
        <v>0</v>
      </c>
      <c r="AR10" s="241"/>
      <c r="AS10" s="241"/>
      <c r="AT10" s="241">
        <f>SUM(AR10:AS10)</f>
        <v>0</v>
      </c>
      <c r="AU10" s="241"/>
      <c r="AV10" s="241"/>
      <c r="AW10" s="241">
        <f>SUM(AU10:AV10)</f>
        <v>0</v>
      </c>
      <c r="AX10" s="241"/>
      <c r="AY10" s="241"/>
      <c r="AZ10" s="241">
        <f>SUM(AX10:AY10)</f>
        <v>0</v>
      </c>
      <c r="BA10" s="241"/>
      <c r="BB10" s="241"/>
      <c r="BC10" s="241">
        <f>SUM(BA10:BB10)</f>
        <v>0</v>
      </c>
      <c r="BD10" s="241"/>
      <c r="BE10" s="241"/>
      <c r="BF10" s="241">
        <f>SUM(BD10:BE10)</f>
        <v>0</v>
      </c>
      <c r="BG10" s="337">
        <f>BF10+AB10+AE10+AH10+AK10+AN10+AQ10+AT10+AW10+AZ10+BC10</f>
        <v>0</v>
      </c>
      <c r="BH10" s="242"/>
      <c r="BI10" s="241"/>
      <c r="BJ10" s="337">
        <f>U10-BI10</f>
        <v>0</v>
      </c>
      <c r="BK10" s="337"/>
      <c r="BL10" s="337">
        <f>BI10-BK10-BM10</f>
        <v>0</v>
      </c>
      <c r="BM10" s="337"/>
      <c r="BN10" s="337"/>
      <c r="BO10" s="337">
        <f>BH10-BN10-BP10</f>
        <v>0</v>
      </c>
      <c r="BP10" s="241"/>
      <c r="BQ10" s="337"/>
      <c r="BR10" s="337">
        <f>BJ10-BQ10-BS10</f>
        <v>0</v>
      </c>
      <c r="BS10" s="241"/>
      <c r="BT10" s="414">
        <v>720000</v>
      </c>
    </row>
    <row r="11" spans="1:72" s="413" customFormat="1" ht="15.75">
      <c r="A11" s="419">
        <f>A10</f>
        <v>4</v>
      </c>
      <c r="B11" s="427" t="s">
        <v>82</v>
      </c>
      <c r="C11" s="427" t="s">
        <v>309</v>
      </c>
      <c r="D11" s="460">
        <f t="shared" ref="D11:Y11" si="0">SUM(D7:D10)</f>
        <v>2548500</v>
      </c>
      <c r="E11" s="460">
        <f t="shared" si="0"/>
        <v>1798500</v>
      </c>
      <c r="F11" s="460">
        <f t="shared" si="0"/>
        <v>750000</v>
      </c>
      <c r="G11" s="460">
        <f t="shared" si="0"/>
        <v>500000</v>
      </c>
      <c r="H11" s="460">
        <f t="shared" si="0"/>
        <v>309609.8</v>
      </c>
      <c r="I11" s="460">
        <f t="shared" si="0"/>
        <v>0</v>
      </c>
      <c r="J11" s="460">
        <f t="shared" si="0"/>
        <v>0</v>
      </c>
      <c r="K11" s="460">
        <f t="shared" si="0"/>
        <v>0</v>
      </c>
      <c r="L11" s="460">
        <f t="shared" si="0"/>
        <v>309609.8</v>
      </c>
      <c r="M11" s="460">
        <f t="shared" si="0"/>
        <v>1088890.2</v>
      </c>
      <c r="N11" s="460">
        <f t="shared" si="0"/>
        <v>500000</v>
      </c>
      <c r="O11" s="460">
        <f t="shared" si="0"/>
        <v>650000</v>
      </c>
      <c r="P11" s="460">
        <f t="shared" si="0"/>
        <v>190390.2</v>
      </c>
      <c r="Q11" s="460">
        <f t="shared" si="0"/>
        <v>550000</v>
      </c>
      <c r="R11" s="460">
        <f t="shared" si="0"/>
        <v>348500</v>
      </c>
      <c r="S11" s="460">
        <f t="shared" si="0"/>
        <v>898500</v>
      </c>
      <c r="T11" s="460">
        <f t="shared" si="0"/>
        <v>0</v>
      </c>
      <c r="U11" s="460">
        <f t="shared" si="0"/>
        <v>500000</v>
      </c>
      <c r="V11" s="460">
        <f t="shared" si="0"/>
        <v>0</v>
      </c>
      <c r="W11" s="460">
        <f t="shared" si="0"/>
        <v>500000</v>
      </c>
      <c r="X11" s="460">
        <f t="shared" si="0"/>
        <v>0</v>
      </c>
      <c r="Y11" s="460">
        <f t="shared" si="0"/>
        <v>0</v>
      </c>
      <c r="Z11" s="460">
        <f t="shared" ref="Z11:BS11" si="1">SUM(Z7:Z10)</f>
        <v>0</v>
      </c>
      <c r="AA11" s="460">
        <f t="shared" si="1"/>
        <v>0</v>
      </c>
      <c r="AB11" s="460">
        <f t="shared" si="1"/>
        <v>0</v>
      </c>
      <c r="AC11" s="460">
        <f t="shared" si="1"/>
        <v>0</v>
      </c>
      <c r="AD11" s="460">
        <f t="shared" si="1"/>
        <v>0</v>
      </c>
      <c r="AE11" s="460">
        <f t="shared" si="1"/>
        <v>0</v>
      </c>
      <c r="AF11" s="460">
        <f t="shared" si="1"/>
        <v>0</v>
      </c>
      <c r="AG11" s="460">
        <f t="shared" si="1"/>
        <v>0</v>
      </c>
      <c r="AH11" s="460">
        <f t="shared" si="1"/>
        <v>0</v>
      </c>
      <c r="AI11" s="460">
        <f t="shared" si="1"/>
        <v>0</v>
      </c>
      <c r="AJ11" s="460">
        <f t="shared" si="1"/>
        <v>0</v>
      </c>
      <c r="AK11" s="460">
        <f t="shared" si="1"/>
        <v>0</v>
      </c>
      <c r="AL11" s="460">
        <f t="shared" si="1"/>
        <v>0</v>
      </c>
      <c r="AM11" s="460">
        <f t="shared" si="1"/>
        <v>0</v>
      </c>
      <c r="AN11" s="460">
        <f t="shared" si="1"/>
        <v>0</v>
      </c>
      <c r="AO11" s="460">
        <f t="shared" si="1"/>
        <v>0</v>
      </c>
      <c r="AP11" s="460">
        <f t="shared" si="1"/>
        <v>0</v>
      </c>
      <c r="AQ11" s="460">
        <f t="shared" si="1"/>
        <v>0</v>
      </c>
      <c r="AR11" s="460">
        <f t="shared" si="1"/>
        <v>0</v>
      </c>
      <c r="AS11" s="460">
        <f t="shared" si="1"/>
        <v>0</v>
      </c>
      <c r="AT11" s="460">
        <f t="shared" si="1"/>
        <v>0</v>
      </c>
      <c r="AU11" s="460">
        <f t="shared" si="1"/>
        <v>0</v>
      </c>
      <c r="AV11" s="460">
        <f t="shared" si="1"/>
        <v>0</v>
      </c>
      <c r="AW11" s="460">
        <f t="shared" si="1"/>
        <v>0</v>
      </c>
      <c r="AX11" s="460">
        <f t="shared" si="1"/>
        <v>500000</v>
      </c>
      <c r="AY11" s="460">
        <f t="shared" si="1"/>
        <v>0</v>
      </c>
      <c r="AZ11" s="460">
        <f t="shared" si="1"/>
        <v>500000</v>
      </c>
      <c r="BA11" s="460">
        <f t="shared" si="1"/>
        <v>0</v>
      </c>
      <c r="BB11" s="460">
        <f t="shared" si="1"/>
        <v>0</v>
      </c>
      <c r="BC11" s="460">
        <f t="shared" si="1"/>
        <v>0</v>
      </c>
      <c r="BD11" s="460">
        <f t="shared" si="1"/>
        <v>0</v>
      </c>
      <c r="BE11" s="460">
        <f t="shared" si="1"/>
        <v>0</v>
      </c>
      <c r="BF11" s="460">
        <f t="shared" si="1"/>
        <v>0</v>
      </c>
      <c r="BG11" s="460">
        <f t="shared" si="1"/>
        <v>500000</v>
      </c>
      <c r="BH11" s="460">
        <f t="shared" si="1"/>
        <v>0</v>
      </c>
      <c r="BI11" s="460">
        <f t="shared" si="1"/>
        <v>500000</v>
      </c>
      <c r="BJ11" s="460">
        <f t="shared" si="1"/>
        <v>0</v>
      </c>
      <c r="BK11" s="460">
        <f t="shared" si="1"/>
        <v>0</v>
      </c>
      <c r="BL11" s="460">
        <f t="shared" si="1"/>
        <v>500000</v>
      </c>
      <c r="BM11" s="460">
        <f t="shared" si="1"/>
        <v>0</v>
      </c>
      <c r="BN11" s="460">
        <f t="shared" si="1"/>
        <v>0</v>
      </c>
      <c r="BO11" s="460">
        <f t="shared" si="1"/>
        <v>0</v>
      </c>
      <c r="BP11" s="460">
        <f t="shared" si="1"/>
        <v>0</v>
      </c>
      <c r="BQ11" s="460">
        <f t="shared" si="1"/>
        <v>0</v>
      </c>
      <c r="BR11" s="460">
        <f t="shared" si="1"/>
        <v>0</v>
      </c>
      <c r="BS11" s="460">
        <f t="shared" si="1"/>
        <v>0</v>
      </c>
      <c r="BT11" s="427"/>
    </row>
    <row r="12" spans="1:72" s="437" customFormat="1">
      <c r="A12" s="414"/>
      <c r="B12" s="432"/>
      <c r="C12" s="432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32"/>
      <c r="V12" s="506"/>
      <c r="W12" s="432"/>
      <c r="X12" s="507"/>
      <c r="Y12" s="432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432"/>
    </row>
    <row r="13" spans="1:72" s="437" customFormat="1">
      <c r="B13" s="508"/>
      <c r="C13" s="508"/>
      <c r="D13" s="509"/>
      <c r="E13" s="509"/>
      <c r="F13" s="509"/>
      <c r="G13" s="509"/>
      <c r="H13" s="509"/>
      <c r="I13" s="509"/>
      <c r="J13" s="509"/>
      <c r="K13" s="509"/>
      <c r="L13" s="509"/>
      <c r="M13" s="509"/>
      <c r="N13" s="510"/>
      <c r="O13" s="509"/>
      <c r="P13" s="511">
        <f>G11-L11</f>
        <v>190390.2</v>
      </c>
      <c r="Q13" s="509"/>
      <c r="R13" s="509"/>
      <c r="S13" s="509"/>
      <c r="T13" s="509"/>
      <c r="U13" s="512"/>
      <c r="V13" s="494"/>
      <c r="W13" s="494"/>
      <c r="X13" s="494"/>
      <c r="Y13" s="494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08"/>
    </row>
    <row r="14" spans="1:72" s="437" customFormat="1">
      <c r="B14" s="508"/>
      <c r="C14" s="508"/>
      <c r="D14" s="509"/>
      <c r="E14" s="509"/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509"/>
      <c r="Q14" s="509"/>
      <c r="R14" s="509"/>
      <c r="S14" s="509"/>
      <c r="T14" s="509"/>
      <c r="U14" s="508"/>
      <c r="V14" s="508"/>
      <c r="W14" s="508"/>
      <c r="X14" s="508"/>
      <c r="Y14" s="508"/>
      <c r="Z14" s="490"/>
      <c r="AA14" s="490"/>
      <c r="AB14" s="490"/>
      <c r="AC14" s="490"/>
      <c r="AD14" s="490"/>
      <c r="AE14" s="490"/>
      <c r="AF14" s="490"/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0"/>
      <c r="AU14" s="490"/>
      <c r="AV14" s="490"/>
      <c r="AW14" s="490"/>
      <c r="AX14" s="490"/>
      <c r="AY14" s="490"/>
      <c r="AZ14" s="490"/>
      <c r="BA14" s="490"/>
      <c r="BB14" s="490"/>
      <c r="BC14" s="490"/>
      <c r="BD14" s="490"/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  <c r="BT14" s="508"/>
    </row>
    <row r="15" spans="1:72" s="437" customFormat="1" hidden="1">
      <c r="B15" s="508"/>
      <c r="C15" s="508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 t="s">
        <v>756</v>
      </c>
      <c r="P15" s="509"/>
      <c r="Q15" s="474">
        <f>[2]בטחון!$AY$12</f>
        <v>550000</v>
      </c>
      <c r="R15" s="509"/>
      <c r="S15" s="509"/>
      <c r="T15" s="509"/>
      <c r="U15" s="508"/>
      <c r="V15" s="508"/>
      <c r="W15" s="508"/>
      <c r="X15" s="508"/>
      <c r="Y15" s="50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08"/>
    </row>
    <row r="16" spans="1:72" s="437" customFormat="1" hidden="1">
      <c r="B16" s="508"/>
      <c r="C16" s="508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P16" s="509"/>
      <c r="Q16" s="509"/>
      <c r="R16" s="509"/>
      <c r="S16" s="509"/>
      <c r="T16" s="509"/>
      <c r="U16" s="508"/>
      <c r="V16" s="508"/>
      <c r="W16" s="508"/>
      <c r="X16" s="508"/>
      <c r="Y16" s="508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08"/>
    </row>
    <row r="17" spans="1:72" s="437" customFormat="1" hidden="1">
      <c r="B17" s="508"/>
      <c r="C17" s="508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509"/>
      <c r="O17" s="251" t="s">
        <v>748</v>
      </c>
      <c r="P17" s="509"/>
      <c r="Q17" s="509"/>
      <c r="R17" s="474">
        <f>'[2]ריכוז תקציבים מעבר לתוכנית 31.8'!$AD$106</f>
        <v>348500</v>
      </c>
      <c r="S17" s="509"/>
      <c r="T17" s="509"/>
      <c r="U17" s="508"/>
      <c r="V17" s="508"/>
      <c r="W17" s="508"/>
      <c r="X17" s="508"/>
      <c r="Y17" s="508"/>
      <c r="Z17" s="490"/>
      <c r="AA17" s="490"/>
      <c r="AB17" s="490"/>
      <c r="AC17" s="490"/>
      <c r="AD17" s="490"/>
      <c r="AE17" s="490"/>
      <c r="AF17" s="490"/>
      <c r="AG17" s="490"/>
      <c r="AH17" s="490"/>
      <c r="AI17" s="490"/>
      <c r="AJ17" s="490"/>
      <c r="AK17" s="490"/>
      <c r="AL17" s="490"/>
      <c r="AM17" s="490"/>
      <c r="AN17" s="490"/>
      <c r="AO17" s="490"/>
      <c r="AP17" s="490"/>
      <c r="AQ17" s="490"/>
      <c r="AR17" s="490"/>
      <c r="AS17" s="490"/>
      <c r="AT17" s="490"/>
      <c r="AU17" s="490"/>
      <c r="AV17" s="490"/>
      <c r="AW17" s="490"/>
      <c r="AX17" s="490"/>
      <c r="AY17" s="490"/>
      <c r="AZ17" s="490"/>
      <c r="BA17" s="490"/>
      <c r="BB17" s="490"/>
      <c r="BC17" s="490"/>
      <c r="BD17" s="490"/>
      <c r="BE17" s="490"/>
      <c r="BF17" s="490"/>
      <c r="BG17" s="490"/>
      <c r="BH17" s="490"/>
      <c r="BI17" s="490"/>
      <c r="BJ17" s="490"/>
      <c r="BK17" s="490"/>
      <c r="BL17" s="490"/>
      <c r="BM17" s="490"/>
      <c r="BN17" s="490"/>
      <c r="BO17" s="490"/>
      <c r="BP17" s="490"/>
      <c r="BQ17" s="490"/>
      <c r="BR17" s="490"/>
      <c r="BS17" s="490"/>
      <c r="BT17" s="508"/>
    </row>
    <row r="18" spans="1:72" s="437" customFormat="1" hidden="1">
      <c r="B18" s="508"/>
      <c r="C18" s="508"/>
      <c r="D18" s="509"/>
      <c r="E18" s="509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8"/>
      <c r="V18" s="508"/>
      <c r="W18" s="508"/>
      <c r="X18" s="508"/>
      <c r="Y18" s="508"/>
      <c r="Z18" s="490"/>
      <c r="AA18" s="490"/>
      <c r="AB18" s="490"/>
      <c r="AC18" s="490"/>
      <c r="AD18" s="490"/>
      <c r="AE18" s="490"/>
      <c r="AF18" s="490"/>
      <c r="AG18" s="490"/>
      <c r="AH18" s="490"/>
      <c r="AI18" s="490"/>
      <c r="AJ18" s="490"/>
      <c r="AK18" s="490"/>
      <c r="AL18" s="490"/>
      <c r="AM18" s="490"/>
      <c r="AN18" s="490"/>
      <c r="AO18" s="490"/>
      <c r="AP18" s="490"/>
      <c r="AQ18" s="490"/>
      <c r="AR18" s="490"/>
      <c r="AS18" s="490"/>
      <c r="AT18" s="490"/>
      <c r="AU18" s="490"/>
      <c r="AV18" s="490"/>
      <c r="AW18" s="490"/>
      <c r="AX18" s="490"/>
      <c r="AY18" s="490"/>
      <c r="AZ18" s="490"/>
      <c r="BA18" s="490"/>
      <c r="BB18" s="490"/>
      <c r="BC18" s="490"/>
      <c r="BD18" s="490"/>
      <c r="BE18" s="490"/>
      <c r="BF18" s="490"/>
      <c r="BG18" s="490"/>
      <c r="BH18" s="490"/>
      <c r="BI18" s="490"/>
      <c r="BJ18" s="490"/>
      <c r="BK18" s="490"/>
      <c r="BL18" s="490"/>
      <c r="BM18" s="490"/>
      <c r="BN18" s="490"/>
      <c r="BO18" s="490"/>
      <c r="BP18" s="490"/>
      <c r="BQ18" s="490"/>
      <c r="BR18" s="490"/>
      <c r="BS18" s="490"/>
      <c r="BT18" s="508"/>
    </row>
    <row r="19" spans="1:72" s="437" customFormat="1" hidden="1">
      <c r="B19" s="508"/>
      <c r="C19" s="508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509"/>
      <c r="O19" s="509" t="s">
        <v>736</v>
      </c>
      <c r="P19" s="509"/>
      <c r="Q19" s="509"/>
      <c r="R19" s="417">
        <v>198500</v>
      </c>
      <c r="S19" s="509"/>
      <c r="T19" s="509"/>
      <c r="U19" s="508"/>
      <c r="V19" s="508"/>
      <c r="W19" s="508"/>
      <c r="X19" s="508"/>
      <c r="Y19" s="508"/>
      <c r="Z19" s="490"/>
      <c r="AA19" s="490"/>
      <c r="AB19" s="490"/>
      <c r="AC19" s="490"/>
      <c r="AD19" s="490"/>
      <c r="AE19" s="490"/>
      <c r="AF19" s="490"/>
      <c r="AG19" s="490"/>
      <c r="AH19" s="490"/>
      <c r="AI19" s="490"/>
      <c r="AJ19" s="490"/>
      <c r="AK19" s="490"/>
      <c r="AL19" s="490"/>
      <c r="AM19" s="490"/>
      <c r="AN19" s="490"/>
      <c r="AO19" s="490"/>
      <c r="AP19" s="490"/>
      <c r="AQ19" s="490"/>
      <c r="AR19" s="490"/>
      <c r="AS19" s="490"/>
      <c r="AT19" s="490"/>
      <c r="AU19" s="490"/>
      <c r="AV19" s="490"/>
      <c r="AW19" s="490"/>
      <c r="AX19" s="490"/>
      <c r="AY19" s="490"/>
      <c r="AZ19" s="490"/>
      <c r="BA19" s="490"/>
      <c r="BB19" s="490"/>
      <c r="BC19" s="490"/>
      <c r="BD19" s="490"/>
      <c r="BE19" s="490"/>
      <c r="BF19" s="490"/>
      <c r="BG19" s="490"/>
      <c r="BH19" s="490"/>
      <c r="BI19" s="490"/>
      <c r="BJ19" s="490"/>
      <c r="BK19" s="490"/>
      <c r="BL19" s="490"/>
      <c r="BM19" s="490"/>
      <c r="BN19" s="490"/>
      <c r="BO19" s="490"/>
      <c r="BP19" s="490"/>
      <c r="BQ19" s="490"/>
      <c r="BR19" s="490"/>
      <c r="BS19" s="490"/>
      <c r="BT19" s="508"/>
    </row>
    <row r="20" spans="1:72" s="437" customFormat="1" hidden="1">
      <c r="B20" s="508"/>
      <c r="C20" s="508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09" t="s">
        <v>757</v>
      </c>
      <c r="R20" s="509">
        <f>R11-R19</f>
        <v>150000</v>
      </c>
      <c r="S20" s="509" t="s">
        <v>758</v>
      </c>
      <c r="T20" s="509"/>
      <c r="U20" s="508"/>
      <c r="V20" s="508"/>
      <c r="W20" s="508"/>
      <c r="X20" s="508"/>
      <c r="Y20" s="508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0"/>
      <c r="AV20" s="490"/>
      <c r="AW20" s="490"/>
      <c r="AX20" s="490"/>
      <c r="AY20" s="490"/>
      <c r="AZ20" s="490"/>
      <c r="BA20" s="490"/>
      <c r="BB20" s="490"/>
      <c r="BC20" s="490"/>
      <c r="BD20" s="490"/>
      <c r="BE20" s="490"/>
      <c r="BF20" s="490"/>
      <c r="BG20" s="490"/>
      <c r="BH20" s="490"/>
      <c r="BI20" s="490"/>
      <c r="BJ20" s="490"/>
      <c r="BK20" s="490"/>
      <c r="BL20" s="490"/>
      <c r="BM20" s="490"/>
      <c r="BN20" s="490"/>
      <c r="BO20" s="490"/>
      <c r="BP20" s="490"/>
      <c r="BQ20" s="490"/>
      <c r="BR20" s="490"/>
      <c r="BS20" s="490"/>
      <c r="BT20" s="508"/>
    </row>
    <row r="21" spans="1:72" s="437" customFormat="1" hidden="1">
      <c r="B21" s="508"/>
      <c r="C21" s="508"/>
      <c r="D21" s="509"/>
      <c r="E21" s="509"/>
      <c r="F21" s="509"/>
      <c r="G21" s="509"/>
      <c r="H21" s="509"/>
      <c r="I21" s="509"/>
      <c r="J21" s="509"/>
      <c r="K21" s="509"/>
      <c r="L21" s="509"/>
      <c r="M21" s="509"/>
      <c r="N21" s="509"/>
      <c r="O21" s="509"/>
      <c r="P21" s="509"/>
      <c r="Q21" s="509"/>
      <c r="R21" s="509"/>
      <c r="S21" s="509"/>
      <c r="T21" s="509"/>
      <c r="U21" s="508"/>
      <c r="V21" s="508"/>
      <c r="W21" s="508"/>
      <c r="X21" s="508"/>
      <c r="Y21" s="508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  <c r="BT21" s="508"/>
    </row>
    <row r="22" spans="1:72" s="437" customFormat="1" hidden="1">
      <c r="B22" s="508"/>
      <c r="C22" s="508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 t="s">
        <v>395</v>
      </c>
      <c r="P22" s="509"/>
      <c r="Q22" s="509">
        <f>[5]בטחון!$AZ$12</f>
        <v>100000</v>
      </c>
      <c r="R22" s="509"/>
      <c r="S22" s="509"/>
      <c r="T22" s="509"/>
      <c r="U22" s="508"/>
      <c r="V22" s="508"/>
      <c r="W22" s="508"/>
      <c r="X22" s="508"/>
      <c r="Y22" s="508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0"/>
      <c r="BE22" s="490"/>
      <c r="BF22" s="490"/>
      <c r="BG22" s="490"/>
      <c r="BH22" s="490"/>
      <c r="BI22" s="490"/>
      <c r="BJ22" s="490"/>
      <c r="BK22" s="490"/>
      <c r="BL22" s="490"/>
      <c r="BM22" s="490"/>
      <c r="BN22" s="490"/>
      <c r="BO22" s="490"/>
      <c r="BP22" s="490"/>
      <c r="BQ22" s="490"/>
      <c r="BR22" s="490"/>
      <c r="BS22" s="490"/>
      <c r="BT22" s="508"/>
    </row>
    <row r="23" spans="1:72" s="462" customFormat="1" ht="15.75" hidden="1">
      <c r="B23" s="508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 t="s">
        <v>396</v>
      </c>
      <c r="P23" s="509"/>
      <c r="Q23" s="509">
        <f>[7]בטחון!$BC$12</f>
        <v>450000</v>
      </c>
      <c r="R23" s="509"/>
      <c r="S23" s="509"/>
      <c r="T23" s="509"/>
      <c r="U23" s="508"/>
      <c r="V23" s="508"/>
      <c r="W23" s="508"/>
      <c r="X23" s="508"/>
      <c r="Y23" s="508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  <c r="BM23" s="490"/>
      <c r="BN23" s="490"/>
      <c r="BO23" s="490"/>
      <c r="BP23" s="490"/>
      <c r="BQ23" s="490"/>
      <c r="BR23" s="490"/>
      <c r="BS23" s="490"/>
      <c r="BT23" s="508"/>
    </row>
    <row r="24" spans="1:72" s="462" customFormat="1" ht="15.75">
      <c r="B24" s="508"/>
      <c r="C24" s="508"/>
      <c r="D24" s="509"/>
      <c r="E24" s="509"/>
      <c r="F24" s="509"/>
      <c r="G24" s="509"/>
      <c r="H24" s="509"/>
      <c r="I24" s="509"/>
      <c r="J24" s="509"/>
      <c r="K24" s="509"/>
      <c r="L24" s="509"/>
      <c r="M24" s="509"/>
      <c r="N24" s="509"/>
      <c r="O24" s="509"/>
      <c r="P24" s="509"/>
      <c r="Q24" s="509">
        <f>SUM(Q22:Q23)</f>
        <v>550000</v>
      </c>
      <c r="R24" s="509"/>
      <c r="S24" s="509"/>
      <c r="T24" s="509"/>
      <c r="U24" s="508"/>
      <c r="V24" s="508"/>
      <c r="W24" s="508"/>
      <c r="X24" s="508"/>
      <c r="Y24" s="508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508"/>
    </row>
    <row r="25" spans="1:72" s="508" customFormat="1">
      <c r="A25" s="513"/>
      <c r="D25" s="509"/>
      <c r="E25" s="509"/>
      <c r="F25" s="509"/>
      <c r="G25" s="509"/>
      <c r="H25" s="509"/>
      <c r="I25" s="509"/>
      <c r="J25" s="509"/>
      <c r="K25" s="509"/>
      <c r="L25" s="509"/>
      <c r="M25" s="509"/>
      <c r="N25" s="509"/>
      <c r="O25" s="509"/>
      <c r="P25" s="509"/>
      <c r="Q25" s="509"/>
      <c r="R25" s="509"/>
      <c r="S25" s="509"/>
      <c r="T25" s="509"/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:72"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:72"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:72"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:72"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:72"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</row>
    <row r="31" spans="1:72"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</row>
    <row r="32" spans="1:72"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</row>
    <row r="33" spans="26:71"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</row>
    <row r="34" spans="26:71"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</row>
    <row r="35" spans="26:71"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</row>
    <row r="36" spans="26:71"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</row>
    <row r="37" spans="26:71"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</row>
    <row r="38" spans="26:71"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</row>
    <row r="39" spans="26:71"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</row>
    <row r="40" spans="26:71"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</row>
    <row r="41" spans="26:71"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</row>
    <row r="42" spans="26:71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26:71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26:71"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</row>
    <row r="45" spans="26:71"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</row>
    <row r="46" spans="26:71"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</row>
    <row r="47" spans="26:71"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</row>
    <row r="48" spans="26:71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U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2" ySplit="6" topLeftCell="C34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8.28515625" style="239" customWidth="1"/>
    <col min="4" max="5" width="12.7109375" style="251" hidden="1" customWidth="1"/>
    <col min="6" max="6" width="11.140625" style="251" hidden="1" customWidth="1"/>
    <col min="7" max="10" width="12.7109375" style="251" hidden="1" customWidth="1"/>
    <col min="11" max="11" width="11.28515625" style="251" hidden="1" customWidth="1"/>
    <col min="12" max="12" width="12.7109375" style="251" hidden="1" customWidth="1"/>
    <col min="13" max="13" width="9.85546875" style="251" hidden="1" customWidth="1"/>
    <col min="14" max="14" width="11.140625" style="251" hidden="1" customWidth="1"/>
    <col min="15" max="15" width="10.85546875" style="251" hidden="1" customWidth="1"/>
    <col min="16" max="17" width="11.140625" style="251" hidden="1" customWidth="1"/>
    <col min="18" max="19" width="12" style="251" hidden="1" customWidth="1"/>
    <col min="20" max="20" width="10" style="251" hidden="1" customWidth="1"/>
    <col min="21" max="21" width="11.85546875" style="239" bestFit="1" customWidth="1"/>
    <col min="22" max="22" width="8.42578125" style="239" hidden="1" customWidth="1"/>
    <col min="23" max="23" width="11.85546875" style="239" customWidth="1"/>
    <col min="24" max="24" width="7.42578125" style="239" hidden="1" customWidth="1"/>
    <col min="25" max="25" width="8.42578125" style="239" bestFit="1" customWidth="1"/>
    <col min="26" max="60" width="10" style="239" hidden="1" customWidth="1"/>
    <col min="61" max="61" width="12" style="239" customWidth="1"/>
    <col min="62" max="62" width="10" style="239" customWidth="1"/>
    <col min="63" max="63" width="10.7109375" style="239" customWidth="1"/>
    <col min="64" max="64" width="12.42578125" style="239" customWidth="1"/>
    <col min="65" max="65" width="11.85546875" style="239" customWidth="1"/>
    <col min="66" max="71" width="10" style="239" hidden="1" customWidth="1"/>
    <col min="72" max="72" width="7.85546875" style="239" hidden="1" customWidth="1"/>
    <col min="73" max="74" width="9.140625" style="239" customWidth="1"/>
    <col min="75" max="16384" width="9.140625" style="239"/>
  </cols>
  <sheetData>
    <row r="1" spans="1:72" ht="18.75">
      <c r="A1" s="777" t="s">
        <v>946</v>
      </c>
    </row>
    <row r="2" spans="1:72" ht="18.7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U3" s="835" t="s">
        <v>191</v>
      </c>
      <c r="V3" s="836"/>
      <c r="W3" s="836"/>
      <c r="X3" s="836"/>
      <c r="Y3" s="837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9"/>
      <c r="BJ3" s="618"/>
      <c r="BK3" s="621" t="s">
        <v>1092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2" s="240" customFormat="1" ht="86.25" customHeight="1">
      <c r="A4" s="18" t="s">
        <v>659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 t="s">
        <v>6</v>
      </c>
      <c r="H4" s="18" t="s">
        <v>7</v>
      </c>
      <c r="I4" s="18" t="s">
        <v>8</v>
      </c>
      <c r="J4" s="18" t="s">
        <v>9</v>
      </c>
      <c r="K4" s="18" t="s">
        <v>10</v>
      </c>
      <c r="L4" s="18" t="s">
        <v>11</v>
      </c>
      <c r="M4" s="12" t="s">
        <v>637</v>
      </c>
      <c r="N4" s="18" t="s">
        <v>638</v>
      </c>
      <c r="O4" s="18" t="s">
        <v>639</v>
      </c>
      <c r="P4" s="18" t="s">
        <v>12</v>
      </c>
      <c r="Q4" s="18" t="s">
        <v>640</v>
      </c>
      <c r="R4" s="18" t="s">
        <v>641</v>
      </c>
      <c r="S4" s="18" t="s">
        <v>642</v>
      </c>
      <c r="T4" s="18" t="s">
        <v>643</v>
      </c>
      <c r="U4" s="18" t="s">
        <v>644</v>
      </c>
      <c r="V4" s="514" t="s">
        <v>13</v>
      </c>
      <c r="W4" s="18" t="s">
        <v>14</v>
      </c>
      <c r="X4" s="153" t="s">
        <v>15</v>
      </c>
      <c r="Y4" s="18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18" t="s">
        <v>16</v>
      </c>
    </row>
    <row r="5" spans="1:72" s="244" customFormat="1">
      <c r="A5" s="243"/>
      <c r="B5" s="243"/>
      <c r="C5" s="243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515"/>
      <c r="W5" s="242"/>
      <c r="X5" s="516"/>
      <c r="Y5" s="243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3"/>
    </row>
    <row r="6" spans="1:72" s="250" customFormat="1" ht="15.75">
      <c r="A6" s="248"/>
      <c r="B6" s="248"/>
      <c r="C6" s="248" t="s">
        <v>302</v>
      </c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517"/>
      <c r="W6" s="249"/>
      <c r="X6" s="518"/>
      <c r="Y6" s="249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8"/>
    </row>
    <row r="7" spans="1:72" s="244" customFormat="1">
      <c r="A7" s="241">
        <f>A6+1</f>
        <v>1</v>
      </c>
      <c r="B7" s="394">
        <v>1626</v>
      </c>
      <c r="C7" s="394" t="s">
        <v>759</v>
      </c>
      <c r="D7" s="242">
        <v>874000</v>
      </c>
      <c r="E7" s="242">
        <v>874000</v>
      </c>
      <c r="F7" s="242">
        <f t="shared" ref="F7:F13" si="0">D7-E7</f>
        <v>0</v>
      </c>
      <c r="G7" s="242">
        <v>874000</v>
      </c>
      <c r="H7" s="242">
        <v>808407.12</v>
      </c>
      <c r="I7" s="242"/>
      <c r="J7" s="242"/>
      <c r="K7" s="242">
        <f>I7+J7</f>
        <v>0</v>
      </c>
      <c r="L7" s="242">
        <f>H7+K7</f>
        <v>808407.12</v>
      </c>
      <c r="M7" s="242">
        <f>P7+S7</f>
        <v>65592.88</v>
      </c>
      <c r="N7" s="242"/>
      <c r="O7" s="242">
        <f>D7-L7-M7-N7</f>
        <v>0</v>
      </c>
      <c r="P7" s="242">
        <f>G7-L7</f>
        <v>65592.88</v>
      </c>
      <c r="Q7" s="242">
        <f>E7-G7</f>
        <v>0</v>
      </c>
      <c r="R7" s="242"/>
      <c r="S7" s="242">
        <f>SUM(Q7:R7)</f>
        <v>0</v>
      </c>
      <c r="T7" s="242">
        <f>P7-M7+S7</f>
        <v>0</v>
      </c>
      <c r="U7" s="242">
        <f>N7-T7</f>
        <v>0</v>
      </c>
      <c r="V7" s="519"/>
      <c r="W7" s="242">
        <f>U7-V7-X7-Y7</f>
        <v>0</v>
      </c>
      <c r="X7" s="520"/>
      <c r="Y7" s="241"/>
      <c r="Z7" s="241"/>
      <c r="AA7" s="241"/>
      <c r="AB7" s="241">
        <f>SUM(Z7:AA7)</f>
        <v>0</v>
      </c>
      <c r="AC7" s="241"/>
      <c r="AD7" s="241"/>
      <c r="AE7" s="241">
        <f>SUM(AC7:AD7)</f>
        <v>0</v>
      </c>
      <c r="AF7" s="241"/>
      <c r="AG7" s="241"/>
      <c r="AH7" s="241">
        <f>SUM(AF7:AG7)</f>
        <v>0</v>
      </c>
      <c r="AI7" s="241"/>
      <c r="AJ7" s="241"/>
      <c r="AK7" s="241">
        <f>SUM(AI7:AJ7)</f>
        <v>0</v>
      </c>
      <c r="AL7" s="241"/>
      <c r="AM7" s="241"/>
      <c r="AN7" s="241">
        <f>SUM(AL7:AM7)</f>
        <v>0</v>
      </c>
      <c r="AO7" s="241"/>
      <c r="AP7" s="241"/>
      <c r="AQ7" s="241">
        <f>SUM(AO7:AP7)</f>
        <v>0</v>
      </c>
      <c r="AR7" s="241"/>
      <c r="AS7" s="241"/>
      <c r="AT7" s="241">
        <f>SUM(AR7:AS7)</f>
        <v>0</v>
      </c>
      <c r="AU7" s="241"/>
      <c r="AV7" s="241"/>
      <c r="AW7" s="241">
        <f>SUM(AU7:AV7)</f>
        <v>0</v>
      </c>
      <c r="AX7" s="241"/>
      <c r="AY7" s="241"/>
      <c r="AZ7" s="241">
        <f>SUM(AX7:AY7)</f>
        <v>0</v>
      </c>
      <c r="BA7" s="241"/>
      <c r="BB7" s="241"/>
      <c r="BC7" s="241">
        <f>SUM(BA7:BB7)</f>
        <v>0</v>
      </c>
      <c r="BD7" s="241"/>
      <c r="BE7" s="241"/>
      <c r="BF7" s="241">
        <f>SUM(BD7:BE7)</f>
        <v>0</v>
      </c>
      <c r="BG7" s="241">
        <f>BF7+AB7+AE7+AH7+AK7+AN7+AQ7+AT7+AW7+AZ7+BC7</f>
        <v>0</v>
      </c>
      <c r="BH7" s="242"/>
      <c r="BI7" s="242">
        <f>BG7+BH7</f>
        <v>0</v>
      </c>
      <c r="BJ7" s="242">
        <f>U7-BI7</f>
        <v>0</v>
      </c>
      <c r="BK7" s="241"/>
      <c r="BL7" s="242">
        <f>BI7-BK7-BM7</f>
        <v>0</v>
      </c>
      <c r="BM7" s="242"/>
      <c r="BN7" s="241"/>
      <c r="BO7" s="242">
        <f>BH7-BN7-BP7</f>
        <v>0</v>
      </c>
      <c r="BP7" s="241"/>
      <c r="BQ7" s="241"/>
      <c r="BR7" s="242">
        <f>BJ7-BQ7-BS7</f>
        <v>0</v>
      </c>
      <c r="BS7" s="241"/>
      <c r="BT7" s="241">
        <v>810000</v>
      </c>
    </row>
    <row r="8" spans="1:72" s="244" customFormat="1">
      <c r="A8" s="241">
        <f t="shared" ref="A8:A24" si="1">A7+1</f>
        <v>2</v>
      </c>
      <c r="B8" s="241">
        <v>1679</v>
      </c>
      <c r="C8" s="241" t="s">
        <v>108</v>
      </c>
      <c r="D8" s="242">
        <v>130000</v>
      </c>
      <c r="E8" s="242">
        <v>130000</v>
      </c>
      <c r="F8" s="242">
        <f t="shared" si="0"/>
        <v>0</v>
      </c>
      <c r="G8" s="242">
        <v>130000</v>
      </c>
      <c r="H8" s="242">
        <v>98078.58</v>
      </c>
      <c r="I8" s="242"/>
      <c r="J8" s="242"/>
      <c r="K8" s="242">
        <f t="shared" ref="K8:K24" si="2">I8+J8</f>
        <v>0</v>
      </c>
      <c r="L8" s="242">
        <f t="shared" ref="L8:L24" si="3">H8+K8</f>
        <v>98078.58</v>
      </c>
      <c r="M8" s="242">
        <f t="shared" ref="M8:M24" si="4">P8+S8</f>
        <v>31921.42</v>
      </c>
      <c r="N8" s="242"/>
      <c r="O8" s="242">
        <f t="shared" ref="O8:O24" si="5">D8-L8-M8-N8</f>
        <v>0</v>
      </c>
      <c r="P8" s="242">
        <f t="shared" ref="P8:P24" si="6">G8-L8</f>
        <v>31921.42</v>
      </c>
      <c r="Q8" s="242">
        <f t="shared" ref="Q8:Q24" si="7">E8-G8</f>
        <v>0</v>
      </c>
      <c r="R8" s="242"/>
      <c r="S8" s="242">
        <f t="shared" ref="S8:S24" si="8">SUM(Q8:R8)</f>
        <v>0</v>
      </c>
      <c r="T8" s="242">
        <f t="shared" ref="T8:T24" si="9">P8-M8+S8</f>
        <v>0</v>
      </c>
      <c r="U8" s="242">
        <f t="shared" ref="U8:U24" si="10">N8-T8</f>
        <v>0</v>
      </c>
      <c r="V8" s="519"/>
      <c r="W8" s="242">
        <f t="shared" ref="W8:W24" si="11">U8-V8-X8-Y8</f>
        <v>0</v>
      </c>
      <c r="X8" s="520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>
        <f t="shared" ref="AK8:AK24" si="12">SUM(AI8:AJ8)</f>
        <v>0</v>
      </c>
      <c r="AL8" s="241"/>
      <c r="AM8" s="241"/>
      <c r="AN8" s="241">
        <f t="shared" ref="AN8:AN24" si="13">SUM(AL8:AM8)</f>
        <v>0</v>
      </c>
      <c r="AO8" s="241"/>
      <c r="AP8" s="241"/>
      <c r="AQ8" s="241">
        <f t="shared" ref="AQ8:AQ24" si="14">SUM(AO8:AP8)</f>
        <v>0</v>
      </c>
      <c r="AR8" s="241"/>
      <c r="AS8" s="241"/>
      <c r="AT8" s="241">
        <f t="shared" ref="AT8:AT24" si="15">SUM(AR8:AS8)</f>
        <v>0</v>
      </c>
      <c r="AU8" s="241"/>
      <c r="AV8" s="241"/>
      <c r="AW8" s="241">
        <f t="shared" ref="AW8:AW24" si="16">SUM(AU8:AV8)</f>
        <v>0</v>
      </c>
      <c r="AX8" s="241"/>
      <c r="AY8" s="241"/>
      <c r="AZ8" s="241">
        <f t="shared" ref="AZ8:AZ24" si="17">SUM(AX8:AY8)</f>
        <v>0</v>
      </c>
      <c r="BA8" s="241"/>
      <c r="BB8" s="241"/>
      <c r="BC8" s="241">
        <f t="shared" ref="BC8:BC24" si="18">SUM(BA8:BB8)</f>
        <v>0</v>
      </c>
      <c r="BD8" s="241"/>
      <c r="BE8" s="241"/>
      <c r="BF8" s="241">
        <f t="shared" ref="BF8:BF24" si="19">SUM(BD8:BE8)</f>
        <v>0</v>
      </c>
      <c r="BG8" s="241">
        <f t="shared" ref="BG8:BG24" si="20">BF8+AB8+AE8+AH8+AK8+AN8+AQ8+AT8+AW8+AZ8+BC8</f>
        <v>0</v>
      </c>
      <c r="BH8" s="242"/>
      <c r="BI8" s="242">
        <f t="shared" ref="BI8:BI24" si="21">BG8+BH8</f>
        <v>0</v>
      </c>
      <c r="BJ8" s="242">
        <f t="shared" ref="BJ8:BJ24" si="22">U8-BI8</f>
        <v>0</v>
      </c>
      <c r="BK8" s="241"/>
      <c r="BL8" s="242">
        <f t="shared" ref="BL8:BL24" si="23">BI8-BK8-BM8</f>
        <v>0</v>
      </c>
      <c r="BM8" s="242"/>
      <c r="BN8" s="241"/>
      <c r="BO8" s="242">
        <f t="shared" ref="BO8:BO24" si="24">BH8-BN8-BP8</f>
        <v>0</v>
      </c>
      <c r="BP8" s="241"/>
      <c r="BQ8" s="241"/>
      <c r="BR8" s="242">
        <f t="shared" ref="BR8:BR24" si="25">BJ8-BQ8-BS8</f>
        <v>0</v>
      </c>
      <c r="BS8" s="242"/>
      <c r="BT8" s="241">
        <v>810000</v>
      </c>
    </row>
    <row r="9" spans="1:72" s="244" customFormat="1">
      <c r="A9" s="241">
        <f t="shared" si="1"/>
        <v>3</v>
      </c>
      <c r="B9" s="241">
        <v>1710</v>
      </c>
      <c r="C9" s="241" t="s">
        <v>110</v>
      </c>
      <c r="D9" s="242">
        <v>1700000</v>
      </c>
      <c r="E9" s="242">
        <v>1700000</v>
      </c>
      <c r="F9" s="242">
        <f t="shared" si="0"/>
        <v>0</v>
      </c>
      <c r="G9" s="242">
        <f>1210000+141621</f>
        <v>1351621</v>
      </c>
      <c r="H9" s="242">
        <v>567792.73</v>
      </c>
      <c r="I9" s="242">
        <v>6899.49</v>
      </c>
      <c r="J9" s="242"/>
      <c r="K9" s="242">
        <f t="shared" si="2"/>
        <v>6899.49</v>
      </c>
      <c r="L9" s="242">
        <f t="shared" si="3"/>
        <v>574692.22</v>
      </c>
      <c r="M9" s="242">
        <f t="shared" si="4"/>
        <v>776928.78</v>
      </c>
      <c r="N9" s="242">
        <f>110000+380000-141621</f>
        <v>348379</v>
      </c>
      <c r="O9" s="242">
        <f t="shared" si="5"/>
        <v>0</v>
      </c>
      <c r="P9" s="242">
        <f t="shared" si="6"/>
        <v>776928.78</v>
      </c>
      <c r="Q9" s="242"/>
      <c r="R9" s="242"/>
      <c r="S9" s="242">
        <f t="shared" si="8"/>
        <v>0</v>
      </c>
      <c r="T9" s="242">
        <f t="shared" si="9"/>
        <v>0</v>
      </c>
      <c r="U9" s="242">
        <f t="shared" si="10"/>
        <v>348379</v>
      </c>
      <c r="V9" s="519"/>
      <c r="W9" s="242">
        <f t="shared" si="11"/>
        <v>0</v>
      </c>
      <c r="X9" s="520"/>
      <c r="Y9" s="521">
        <f>490000-141621</f>
        <v>348379</v>
      </c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>
        <f t="shared" si="12"/>
        <v>0</v>
      </c>
      <c r="AL9" s="241"/>
      <c r="AM9" s="241"/>
      <c r="AN9" s="241">
        <f t="shared" si="13"/>
        <v>0</v>
      </c>
      <c r="AO9" s="241"/>
      <c r="AP9" s="241"/>
      <c r="AQ9" s="241">
        <f t="shared" si="14"/>
        <v>0</v>
      </c>
      <c r="AR9" s="242">
        <v>141621</v>
      </c>
      <c r="AS9" s="242"/>
      <c r="AT9" s="242">
        <f t="shared" si="15"/>
        <v>141621</v>
      </c>
      <c r="AU9" s="242"/>
      <c r="AV9" s="242"/>
      <c r="AW9" s="242">
        <f t="shared" si="16"/>
        <v>0</v>
      </c>
      <c r="AX9" s="242"/>
      <c r="AY9" s="242"/>
      <c r="AZ9" s="242">
        <f t="shared" si="17"/>
        <v>0</v>
      </c>
      <c r="BA9" s="242"/>
      <c r="BB9" s="242"/>
      <c r="BC9" s="242">
        <f t="shared" si="18"/>
        <v>0</v>
      </c>
      <c r="BD9" s="242"/>
      <c r="BE9" s="242"/>
      <c r="BF9" s="242">
        <f t="shared" si="19"/>
        <v>0</v>
      </c>
      <c r="BG9" s="242">
        <f t="shared" si="20"/>
        <v>141621</v>
      </c>
      <c r="BH9" s="242"/>
      <c r="BI9" s="242">
        <f t="shared" si="21"/>
        <v>141621</v>
      </c>
      <c r="BJ9" s="242">
        <f t="shared" si="22"/>
        <v>206758</v>
      </c>
      <c r="BK9" s="241"/>
      <c r="BL9" s="242">
        <f t="shared" si="23"/>
        <v>0</v>
      </c>
      <c r="BM9" s="242">
        <v>141621</v>
      </c>
      <c r="BN9" s="241"/>
      <c r="BO9" s="242">
        <f t="shared" si="24"/>
        <v>0</v>
      </c>
      <c r="BP9" s="241"/>
      <c r="BQ9" s="241"/>
      <c r="BR9" s="242">
        <f t="shared" si="25"/>
        <v>0</v>
      </c>
      <c r="BS9" s="242">
        <v>206758</v>
      </c>
      <c r="BT9" s="242">
        <v>810000</v>
      </c>
    </row>
    <row r="10" spans="1:72" s="244" customFormat="1">
      <c r="A10" s="241">
        <f t="shared" si="1"/>
        <v>4</v>
      </c>
      <c r="B10" s="394">
        <v>1737</v>
      </c>
      <c r="C10" s="394" t="s">
        <v>893</v>
      </c>
      <c r="D10" s="242">
        <v>91000</v>
      </c>
      <c r="E10" s="242">
        <v>91000</v>
      </c>
      <c r="F10" s="242">
        <f t="shared" si="0"/>
        <v>0</v>
      </c>
      <c r="G10" s="242">
        <v>91000</v>
      </c>
      <c r="H10" s="242">
        <v>66484</v>
      </c>
      <c r="I10" s="242">
        <v>17342</v>
      </c>
      <c r="J10" s="242"/>
      <c r="K10" s="242">
        <f t="shared" si="2"/>
        <v>17342</v>
      </c>
      <c r="L10" s="242">
        <f t="shared" si="3"/>
        <v>83826</v>
      </c>
      <c r="M10" s="242">
        <f t="shared" si="4"/>
        <v>7174</v>
      </c>
      <c r="N10" s="242"/>
      <c r="O10" s="242">
        <f t="shared" si="5"/>
        <v>0</v>
      </c>
      <c r="P10" s="242">
        <f t="shared" si="6"/>
        <v>7174</v>
      </c>
      <c r="Q10" s="242">
        <f t="shared" si="7"/>
        <v>0</v>
      </c>
      <c r="R10" s="242"/>
      <c r="S10" s="242">
        <f t="shared" si="8"/>
        <v>0</v>
      </c>
      <c r="T10" s="242">
        <f t="shared" si="9"/>
        <v>0</v>
      </c>
      <c r="U10" s="242">
        <f t="shared" si="10"/>
        <v>0</v>
      </c>
      <c r="V10" s="519"/>
      <c r="W10" s="242">
        <f t="shared" si="11"/>
        <v>0</v>
      </c>
      <c r="X10" s="520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>
        <f t="shared" si="12"/>
        <v>0</v>
      </c>
      <c r="AL10" s="241"/>
      <c r="AM10" s="241"/>
      <c r="AN10" s="241">
        <f t="shared" si="13"/>
        <v>0</v>
      </c>
      <c r="AO10" s="241"/>
      <c r="AP10" s="241"/>
      <c r="AQ10" s="241">
        <f t="shared" si="14"/>
        <v>0</v>
      </c>
      <c r="AR10" s="241"/>
      <c r="AS10" s="241"/>
      <c r="AT10" s="241">
        <f t="shared" si="15"/>
        <v>0</v>
      </c>
      <c r="AU10" s="241"/>
      <c r="AV10" s="241"/>
      <c r="AW10" s="241">
        <f t="shared" si="16"/>
        <v>0</v>
      </c>
      <c r="AX10" s="241"/>
      <c r="AY10" s="241"/>
      <c r="AZ10" s="241">
        <f t="shared" si="17"/>
        <v>0</v>
      </c>
      <c r="BA10" s="241"/>
      <c r="BB10" s="241"/>
      <c r="BC10" s="241">
        <f t="shared" si="18"/>
        <v>0</v>
      </c>
      <c r="BD10" s="241"/>
      <c r="BE10" s="241"/>
      <c r="BF10" s="241">
        <f t="shared" si="19"/>
        <v>0</v>
      </c>
      <c r="BG10" s="241">
        <f t="shared" si="20"/>
        <v>0</v>
      </c>
      <c r="BH10" s="242"/>
      <c r="BI10" s="242">
        <f t="shared" si="21"/>
        <v>0</v>
      </c>
      <c r="BJ10" s="242">
        <f t="shared" si="22"/>
        <v>0</v>
      </c>
      <c r="BK10" s="241"/>
      <c r="BL10" s="242">
        <f t="shared" si="23"/>
        <v>0</v>
      </c>
      <c r="BM10" s="242"/>
      <c r="BN10" s="241"/>
      <c r="BO10" s="242">
        <f t="shared" si="24"/>
        <v>0</v>
      </c>
      <c r="BP10" s="241"/>
      <c r="BQ10" s="241"/>
      <c r="BR10" s="242">
        <f t="shared" si="25"/>
        <v>0</v>
      </c>
      <c r="BS10" s="242"/>
      <c r="BT10" s="241">
        <v>810000</v>
      </c>
    </row>
    <row r="11" spans="1:72" s="244" customFormat="1">
      <c r="A11" s="241">
        <f t="shared" si="1"/>
        <v>5</v>
      </c>
      <c r="B11" s="241">
        <v>1740</v>
      </c>
      <c r="C11" s="241" t="s">
        <v>111</v>
      </c>
      <c r="D11" s="242">
        <v>280000</v>
      </c>
      <c r="E11" s="242">
        <v>280000</v>
      </c>
      <c r="F11" s="242">
        <f t="shared" si="0"/>
        <v>0</v>
      </c>
      <c r="G11" s="242">
        <v>150000</v>
      </c>
      <c r="H11" s="242">
        <v>100000</v>
      </c>
      <c r="I11" s="242"/>
      <c r="J11" s="242"/>
      <c r="K11" s="242">
        <f t="shared" si="2"/>
        <v>0</v>
      </c>
      <c r="L11" s="242">
        <f t="shared" si="3"/>
        <v>100000</v>
      </c>
      <c r="M11" s="242">
        <f t="shared" si="4"/>
        <v>180000</v>
      </c>
      <c r="N11" s="242"/>
      <c r="O11" s="242">
        <f t="shared" si="5"/>
        <v>0</v>
      </c>
      <c r="P11" s="242">
        <f t="shared" si="6"/>
        <v>50000</v>
      </c>
      <c r="Q11" s="242"/>
      <c r="R11" s="483">
        <v>130000</v>
      </c>
      <c r="S11" s="242">
        <f t="shared" si="8"/>
        <v>130000</v>
      </c>
      <c r="T11" s="242">
        <f t="shared" si="9"/>
        <v>0</v>
      </c>
      <c r="U11" s="242">
        <f t="shared" si="10"/>
        <v>0</v>
      </c>
      <c r="V11" s="519"/>
      <c r="W11" s="242">
        <f t="shared" si="11"/>
        <v>0</v>
      </c>
      <c r="X11" s="520"/>
      <c r="Y11" s="241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241">
        <f t="shared" si="12"/>
        <v>0</v>
      </c>
      <c r="AL11" s="13"/>
      <c r="AM11" s="13"/>
      <c r="AN11" s="241">
        <f t="shared" si="13"/>
        <v>0</v>
      </c>
      <c r="AO11" s="13"/>
      <c r="AP11" s="13"/>
      <c r="AQ11" s="241">
        <f t="shared" si="14"/>
        <v>0</v>
      </c>
      <c r="AR11" s="13"/>
      <c r="AS11" s="13"/>
      <c r="AT11" s="241">
        <f t="shared" si="15"/>
        <v>0</v>
      </c>
      <c r="AU11" s="13"/>
      <c r="AV11" s="13"/>
      <c r="AW11" s="241">
        <f t="shared" si="16"/>
        <v>0</v>
      </c>
      <c r="AX11" s="13"/>
      <c r="AY11" s="13"/>
      <c r="AZ11" s="241">
        <f t="shared" si="17"/>
        <v>0</v>
      </c>
      <c r="BA11" s="13"/>
      <c r="BB11" s="13"/>
      <c r="BC11" s="241">
        <f t="shared" si="18"/>
        <v>0</v>
      </c>
      <c r="BD11" s="13"/>
      <c r="BE11" s="13"/>
      <c r="BF11" s="241">
        <f t="shared" si="19"/>
        <v>0</v>
      </c>
      <c r="BG11" s="241">
        <f t="shared" si="20"/>
        <v>0</v>
      </c>
      <c r="BH11" s="242"/>
      <c r="BI11" s="242">
        <f t="shared" si="21"/>
        <v>0</v>
      </c>
      <c r="BJ11" s="242">
        <f t="shared" si="22"/>
        <v>0</v>
      </c>
      <c r="BK11" s="241"/>
      <c r="BL11" s="242">
        <f t="shared" si="23"/>
        <v>0</v>
      </c>
      <c r="BM11" s="242"/>
      <c r="BN11" s="241"/>
      <c r="BO11" s="242">
        <f t="shared" si="24"/>
        <v>0</v>
      </c>
      <c r="BP11" s="241"/>
      <c r="BQ11" s="241"/>
      <c r="BR11" s="242">
        <f t="shared" si="25"/>
        <v>0</v>
      </c>
      <c r="BS11" s="242"/>
      <c r="BT11" s="241">
        <v>810000</v>
      </c>
    </row>
    <row r="12" spans="1:72" s="244" customFormat="1">
      <c r="A12" s="241">
        <f t="shared" si="1"/>
        <v>6</v>
      </c>
      <c r="B12" s="241">
        <v>1741</v>
      </c>
      <c r="C12" s="241" t="s">
        <v>393</v>
      </c>
      <c r="D12" s="242">
        <v>300000</v>
      </c>
      <c r="E12" s="242">
        <v>300000</v>
      </c>
      <c r="F12" s="242">
        <f>D12-E12</f>
        <v>0</v>
      </c>
      <c r="G12" s="242">
        <v>300000</v>
      </c>
      <c r="H12" s="242">
        <v>272871.61</v>
      </c>
      <c r="I12" s="242">
        <v>5635.57</v>
      </c>
      <c r="J12" s="242">
        <v>12573.08</v>
      </c>
      <c r="K12" s="242">
        <f t="shared" si="2"/>
        <v>18208.650000000001</v>
      </c>
      <c r="L12" s="242">
        <f t="shared" si="3"/>
        <v>291080.26</v>
      </c>
      <c r="M12" s="242">
        <f t="shared" si="4"/>
        <v>8919.7399999999907</v>
      </c>
      <c r="N12" s="242"/>
      <c r="O12" s="242">
        <f t="shared" si="5"/>
        <v>0</v>
      </c>
      <c r="P12" s="242">
        <f t="shared" si="6"/>
        <v>8919.7399999999907</v>
      </c>
      <c r="Q12" s="242">
        <f t="shared" si="7"/>
        <v>0</v>
      </c>
      <c r="R12" s="242"/>
      <c r="S12" s="242">
        <f t="shared" si="8"/>
        <v>0</v>
      </c>
      <c r="T12" s="242">
        <f t="shared" si="9"/>
        <v>0</v>
      </c>
      <c r="U12" s="242">
        <f t="shared" si="10"/>
        <v>0</v>
      </c>
      <c r="V12" s="519"/>
      <c r="W12" s="242">
        <f t="shared" si="11"/>
        <v>0</v>
      </c>
      <c r="X12" s="520"/>
      <c r="Y12" s="241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241">
        <f t="shared" si="12"/>
        <v>0</v>
      </c>
      <c r="AL12" s="13"/>
      <c r="AM12" s="13"/>
      <c r="AN12" s="241">
        <f t="shared" si="13"/>
        <v>0</v>
      </c>
      <c r="AO12" s="13"/>
      <c r="AP12" s="13"/>
      <c r="AQ12" s="241">
        <f t="shared" si="14"/>
        <v>0</v>
      </c>
      <c r="AR12" s="13"/>
      <c r="AS12" s="13"/>
      <c r="AT12" s="241">
        <f t="shared" si="15"/>
        <v>0</v>
      </c>
      <c r="AU12" s="13"/>
      <c r="AV12" s="13"/>
      <c r="AW12" s="241">
        <f t="shared" si="16"/>
        <v>0</v>
      </c>
      <c r="AX12" s="13"/>
      <c r="AY12" s="13"/>
      <c r="AZ12" s="241">
        <f t="shared" si="17"/>
        <v>0</v>
      </c>
      <c r="BA12" s="13"/>
      <c r="BB12" s="13"/>
      <c r="BC12" s="241">
        <f t="shared" si="18"/>
        <v>0</v>
      </c>
      <c r="BD12" s="13"/>
      <c r="BE12" s="13"/>
      <c r="BF12" s="241">
        <f t="shared" si="19"/>
        <v>0</v>
      </c>
      <c r="BG12" s="241">
        <f t="shared" si="20"/>
        <v>0</v>
      </c>
      <c r="BH12" s="242"/>
      <c r="BI12" s="242">
        <f t="shared" si="21"/>
        <v>0</v>
      </c>
      <c r="BJ12" s="242">
        <f t="shared" si="22"/>
        <v>0</v>
      </c>
      <c r="BK12" s="241"/>
      <c r="BL12" s="242">
        <f t="shared" si="23"/>
        <v>0</v>
      </c>
      <c r="BM12" s="242"/>
      <c r="BN12" s="241"/>
      <c r="BO12" s="242">
        <f t="shared" si="24"/>
        <v>0</v>
      </c>
      <c r="BP12" s="241"/>
      <c r="BQ12" s="241"/>
      <c r="BR12" s="242">
        <f t="shared" si="25"/>
        <v>0</v>
      </c>
      <c r="BS12" s="242"/>
      <c r="BT12" s="241">
        <v>810000</v>
      </c>
    </row>
    <row r="13" spans="1:72" s="244" customFormat="1">
      <c r="A13" s="241">
        <f t="shared" si="1"/>
        <v>7</v>
      </c>
      <c r="B13" s="241">
        <v>1775</v>
      </c>
      <c r="C13" s="241" t="s">
        <v>112</v>
      </c>
      <c r="D13" s="242">
        <v>465000</v>
      </c>
      <c r="E13" s="242">
        <v>465000</v>
      </c>
      <c r="F13" s="242">
        <f t="shared" si="0"/>
        <v>0</v>
      </c>
      <c r="G13" s="242">
        <v>245000</v>
      </c>
      <c r="H13" s="242">
        <v>179754.55</v>
      </c>
      <c r="I13" s="242"/>
      <c r="J13" s="242">
        <v>61600.5</v>
      </c>
      <c r="K13" s="242">
        <f t="shared" si="2"/>
        <v>61600.5</v>
      </c>
      <c r="L13" s="242">
        <f t="shared" si="3"/>
        <v>241355.05</v>
      </c>
      <c r="M13" s="242">
        <f t="shared" si="4"/>
        <v>223644.95</v>
      </c>
      <c r="N13" s="242"/>
      <c r="O13" s="242">
        <f t="shared" si="5"/>
        <v>0</v>
      </c>
      <c r="P13" s="242">
        <f t="shared" si="6"/>
        <v>3644.9500000000116</v>
      </c>
      <c r="Q13" s="242"/>
      <c r="R13" s="483">
        <v>220000</v>
      </c>
      <c r="S13" s="242">
        <f t="shared" si="8"/>
        <v>220000</v>
      </c>
      <c r="T13" s="242">
        <f t="shared" si="9"/>
        <v>0</v>
      </c>
      <c r="U13" s="242">
        <f t="shared" si="10"/>
        <v>0</v>
      </c>
      <c r="V13" s="519"/>
      <c r="W13" s="242">
        <f t="shared" si="11"/>
        <v>0</v>
      </c>
      <c r="X13" s="520"/>
      <c r="Y13" s="241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241">
        <f t="shared" si="12"/>
        <v>0</v>
      </c>
      <c r="AL13" s="13"/>
      <c r="AM13" s="13"/>
      <c r="AN13" s="241">
        <f t="shared" si="13"/>
        <v>0</v>
      </c>
      <c r="AO13" s="13"/>
      <c r="AP13" s="13"/>
      <c r="AQ13" s="241">
        <f t="shared" si="14"/>
        <v>0</v>
      </c>
      <c r="AR13" s="13"/>
      <c r="AS13" s="13"/>
      <c r="AT13" s="241">
        <f t="shared" si="15"/>
        <v>0</v>
      </c>
      <c r="AU13" s="13"/>
      <c r="AV13" s="13"/>
      <c r="AW13" s="241">
        <f t="shared" si="16"/>
        <v>0</v>
      </c>
      <c r="AX13" s="13"/>
      <c r="AY13" s="13"/>
      <c r="AZ13" s="241">
        <f t="shared" si="17"/>
        <v>0</v>
      </c>
      <c r="BA13" s="13"/>
      <c r="BB13" s="13"/>
      <c r="BC13" s="241">
        <f t="shared" si="18"/>
        <v>0</v>
      </c>
      <c r="BD13" s="13"/>
      <c r="BE13" s="13"/>
      <c r="BF13" s="241">
        <f t="shared" si="19"/>
        <v>0</v>
      </c>
      <c r="BG13" s="241">
        <f t="shared" si="20"/>
        <v>0</v>
      </c>
      <c r="BH13" s="242"/>
      <c r="BI13" s="242">
        <f t="shared" si="21"/>
        <v>0</v>
      </c>
      <c r="BJ13" s="242">
        <f t="shared" si="22"/>
        <v>0</v>
      </c>
      <c r="BK13" s="241"/>
      <c r="BL13" s="242">
        <f t="shared" si="23"/>
        <v>0</v>
      </c>
      <c r="BM13" s="242"/>
      <c r="BN13" s="241"/>
      <c r="BO13" s="242">
        <f t="shared" si="24"/>
        <v>0</v>
      </c>
      <c r="BP13" s="241"/>
      <c r="BQ13" s="241"/>
      <c r="BR13" s="242">
        <f t="shared" si="25"/>
        <v>0</v>
      </c>
      <c r="BS13" s="242"/>
      <c r="BT13" s="241">
        <v>760000</v>
      </c>
    </row>
    <row r="14" spans="1:72" s="244" customFormat="1">
      <c r="A14" s="241">
        <f t="shared" si="1"/>
        <v>8</v>
      </c>
      <c r="B14" s="241">
        <v>1776</v>
      </c>
      <c r="C14" s="241" t="s">
        <v>760</v>
      </c>
      <c r="D14" s="14">
        <v>240000</v>
      </c>
      <c r="E14" s="14">
        <v>240000</v>
      </c>
      <c r="F14" s="14">
        <f>D14-E14</f>
        <v>0</v>
      </c>
      <c r="G14" s="14">
        <v>90000</v>
      </c>
      <c r="H14" s="14">
        <v>62711.5</v>
      </c>
      <c r="I14" s="14">
        <v>22991</v>
      </c>
      <c r="J14" s="14"/>
      <c r="K14" s="242">
        <f t="shared" si="2"/>
        <v>22991</v>
      </c>
      <c r="L14" s="242">
        <f t="shared" si="3"/>
        <v>85702.5</v>
      </c>
      <c r="M14" s="242">
        <f t="shared" si="4"/>
        <v>154297.5</v>
      </c>
      <c r="N14" s="242"/>
      <c r="O14" s="242">
        <f t="shared" si="5"/>
        <v>0</v>
      </c>
      <c r="P14" s="242">
        <f t="shared" si="6"/>
        <v>4297.5</v>
      </c>
      <c r="Q14" s="242">
        <v>150000</v>
      </c>
      <c r="R14" s="242"/>
      <c r="S14" s="242">
        <f t="shared" si="8"/>
        <v>150000</v>
      </c>
      <c r="T14" s="242">
        <f t="shared" si="9"/>
        <v>0</v>
      </c>
      <c r="U14" s="242">
        <f t="shared" si="10"/>
        <v>0</v>
      </c>
      <c r="V14" s="519"/>
      <c r="W14" s="242">
        <f t="shared" si="11"/>
        <v>0</v>
      </c>
      <c r="X14" s="520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>
        <f t="shared" si="12"/>
        <v>0</v>
      </c>
      <c r="AL14" s="241"/>
      <c r="AM14" s="241"/>
      <c r="AN14" s="241">
        <f t="shared" si="13"/>
        <v>0</v>
      </c>
      <c r="AO14" s="241"/>
      <c r="AP14" s="241"/>
      <c r="AQ14" s="241">
        <f t="shared" si="14"/>
        <v>0</v>
      </c>
      <c r="AR14" s="241"/>
      <c r="AS14" s="241"/>
      <c r="AT14" s="241">
        <f t="shared" si="15"/>
        <v>0</v>
      </c>
      <c r="AU14" s="241"/>
      <c r="AV14" s="241"/>
      <c r="AW14" s="241">
        <f t="shared" si="16"/>
        <v>0</v>
      </c>
      <c r="AX14" s="241"/>
      <c r="AY14" s="241"/>
      <c r="AZ14" s="241">
        <f t="shared" si="17"/>
        <v>0</v>
      </c>
      <c r="BA14" s="241"/>
      <c r="BB14" s="241"/>
      <c r="BC14" s="241">
        <f t="shared" si="18"/>
        <v>0</v>
      </c>
      <c r="BD14" s="241"/>
      <c r="BE14" s="241"/>
      <c r="BF14" s="241">
        <f t="shared" si="19"/>
        <v>0</v>
      </c>
      <c r="BG14" s="241">
        <f t="shared" si="20"/>
        <v>0</v>
      </c>
      <c r="BH14" s="242"/>
      <c r="BI14" s="242">
        <f t="shared" si="21"/>
        <v>0</v>
      </c>
      <c r="BJ14" s="242">
        <f t="shared" si="22"/>
        <v>0</v>
      </c>
      <c r="BK14" s="241"/>
      <c r="BL14" s="242">
        <f t="shared" si="23"/>
        <v>0</v>
      </c>
      <c r="BM14" s="242"/>
      <c r="BN14" s="241"/>
      <c r="BO14" s="242">
        <f t="shared" si="24"/>
        <v>0</v>
      </c>
      <c r="BP14" s="241"/>
      <c r="BQ14" s="241"/>
      <c r="BR14" s="242">
        <f t="shared" si="25"/>
        <v>0</v>
      </c>
      <c r="BS14" s="242"/>
      <c r="BT14" s="13">
        <v>810000</v>
      </c>
    </row>
    <row r="15" spans="1:72" s="244" customFormat="1">
      <c r="A15" s="241">
        <f t="shared" si="1"/>
        <v>9</v>
      </c>
      <c r="B15" s="522">
        <v>1810</v>
      </c>
      <c r="C15" s="241" t="s">
        <v>356</v>
      </c>
      <c r="D15" s="242">
        <v>950000</v>
      </c>
      <c r="E15" s="242">
        <v>950000</v>
      </c>
      <c r="F15" s="242">
        <f t="shared" ref="F15:F20" si="26">D15-E15</f>
        <v>0</v>
      </c>
      <c r="G15" s="242">
        <v>950000</v>
      </c>
      <c r="H15" s="242">
        <v>194233</v>
      </c>
      <c r="I15" s="242">
        <v>293752.61</v>
      </c>
      <c r="J15" s="242"/>
      <c r="K15" s="242">
        <f t="shared" si="2"/>
        <v>293752.61</v>
      </c>
      <c r="L15" s="242">
        <f t="shared" si="3"/>
        <v>487985.61</v>
      </c>
      <c r="M15" s="242">
        <f t="shared" si="4"/>
        <v>462014.39</v>
      </c>
      <c r="N15" s="242"/>
      <c r="O15" s="242">
        <f t="shared" si="5"/>
        <v>0</v>
      </c>
      <c r="P15" s="242">
        <f t="shared" si="6"/>
        <v>462014.39</v>
      </c>
      <c r="Q15" s="242">
        <f t="shared" si="7"/>
        <v>0</v>
      </c>
      <c r="R15" s="242"/>
      <c r="S15" s="242">
        <f t="shared" si="8"/>
        <v>0</v>
      </c>
      <c r="T15" s="242">
        <f t="shared" si="9"/>
        <v>0</v>
      </c>
      <c r="U15" s="242">
        <f t="shared" si="10"/>
        <v>0</v>
      </c>
      <c r="V15" s="519"/>
      <c r="W15" s="242">
        <f t="shared" si="11"/>
        <v>0</v>
      </c>
      <c r="X15" s="520"/>
      <c r="Y15" s="241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241">
        <f t="shared" si="12"/>
        <v>0</v>
      </c>
      <c r="AL15" s="13"/>
      <c r="AM15" s="13"/>
      <c r="AN15" s="241">
        <f t="shared" si="13"/>
        <v>0</v>
      </c>
      <c r="AO15" s="13"/>
      <c r="AP15" s="13"/>
      <c r="AQ15" s="241">
        <f t="shared" si="14"/>
        <v>0</v>
      </c>
      <c r="AR15" s="13"/>
      <c r="AS15" s="13"/>
      <c r="AT15" s="241">
        <f t="shared" si="15"/>
        <v>0</v>
      </c>
      <c r="AU15" s="13"/>
      <c r="AV15" s="13"/>
      <c r="AW15" s="241">
        <f t="shared" si="16"/>
        <v>0</v>
      </c>
      <c r="AX15" s="13"/>
      <c r="AY15" s="13"/>
      <c r="AZ15" s="241">
        <f t="shared" si="17"/>
        <v>0</v>
      </c>
      <c r="BA15" s="13"/>
      <c r="BB15" s="13"/>
      <c r="BC15" s="241">
        <f t="shared" si="18"/>
        <v>0</v>
      </c>
      <c r="BD15" s="13"/>
      <c r="BE15" s="13"/>
      <c r="BF15" s="241">
        <f t="shared" si="19"/>
        <v>0</v>
      </c>
      <c r="BG15" s="241">
        <f t="shared" si="20"/>
        <v>0</v>
      </c>
      <c r="BH15" s="242"/>
      <c r="BI15" s="242">
        <f t="shared" si="21"/>
        <v>0</v>
      </c>
      <c r="BJ15" s="242">
        <f t="shared" si="22"/>
        <v>0</v>
      </c>
      <c r="BK15" s="241"/>
      <c r="BL15" s="242">
        <f t="shared" si="23"/>
        <v>0</v>
      </c>
      <c r="BM15" s="242"/>
      <c r="BN15" s="241"/>
      <c r="BO15" s="242">
        <f t="shared" si="24"/>
        <v>0</v>
      </c>
      <c r="BP15" s="241"/>
      <c r="BQ15" s="241"/>
      <c r="BR15" s="242">
        <f t="shared" si="25"/>
        <v>0</v>
      </c>
      <c r="BS15" s="242"/>
      <c r="BT15" s="241">
        <v>810000</v>
      </c>
    </row>
    <row r="16" spans="1:72" s="244" customFormat="1">
      <c r="A16" s="241">
        <f t="shared" si="1"/>
        <v>10</v>
      </c>
      <c r="B16" s="522">
        <v>1817</v>
      </c>
      <c r="C16" s="241" t="s">
        <v>244</v>
      </c>
      <c r="D16" s="242">
        <v>640000</v>
      </c>
      <c r="E16" s="242">
        <v>640000</v>
      </c>
      <c r="F16" s="242">
        <f t="shared" si="26"/>
        <v>0</v>
      </c>
      <c r="G16" s="242">
        <v>640000</v>
      </c>
      <c r="H16" s="242">
        <v>421383.42</v>
      </c>
      <c r="I16" s="242">
        <v>113936</v>
      </c>
      <c r="J16" s="242"/>
      <c r="K16" s="242">
        <f t="shared" si="2"/>
        <v>113936</v>
      </c>
      <c r="L16" s="242">
        <f t="shared" si="3"/>
        <v>535319.41999999993</v>
      </c>
      <c r="M16" s="242">
        <f t="shared" si="4"/>
        <v>104680.58000000007</v>
      </c>
      <c r="N16" s="242"/>
      <c r="O16" s="242">
        <f t="shared" si="5"/>
        <v>0</v>
      </c>
      <c r="P16" s="242">
        <f t="shared" si="6"/>
        <v>104680.58000000007</v>
      </c>
      <c r="Q16" s="242">
        <f t="shared" si="7"/>
        <v>0</v>
      </c>
      <c r="R16" s="242"/>
      <c r="S16" s="242">
        <f t="shared" si="8"/>
        <v>0</v>
      </c>
      <c r="T16" s="242">
        <f t="shared" si="9"/>
        <v>0</v>
      </c>
      <c r="U16" s="242">
        <f t="shared" si="10"/>
        <v>0</v>
      </c>
      <c r="V16" s="519"/>
      <c r="W16" s="242">
        <f t="shared" si="11"/>
        <v>0</v>
      </c>
      <c r="X16" s="520"/>
      <c r="Y16" s="241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241">
        <f t="shared" si="12"/>
        <v>0</v>
      </c>
      <c r="AL16" s="13"/>
      <c r="AM16" s="13"/>
      <c r="AN16" s="241">
        <f t="shared" si="13"/>
        <v>0</v>
      </c>
      <c r="AO16" s="13"/>
      <c r="AP16" s="13"/>
      <c r="AQ16" s="241">
        <f t="shared" si="14"/>
        <v>0</v>
      </c>
      <c r="AR16" s="13"/>
      <c r="AS16" s="13"/>
      <c r="AT16" s="241">
        <f t="shared" si="15"/>
        <v>0</v>
      </c>
      <c r="AU16" s="13"/>
      <c r="AV16" s="13"/>
      <c r="AW16" s="241">
        <f t="shared" si="16"/>
        <v>0</v>
      </c>
      <c r="AX16" s="13"/>
      <c r="AY16" s="13"/>
      <c r="AZ16" s="241">
        <f t="shared" si="17"/>
        <v>0</v>
      </c>
      <c r="BA16" s="13"/>
      <c r="BB16" s="13"/>
      <c r="BC16" s="241">
        <f t="shared" si="18"/>
        <v>0</v>
      </c>
      <c r="BD16" s="13"/>
      <c r="BE16" s="13"/>
      <c r="BF16" s="241">
        <f t="shared" si="19"/>
        <v>0</v>
      </c>
      <c r="BG16" s="241">
        <f t="shared" si="20"/>
        <v>0</v>
      </c>
      <c r="BH16" s="242"/>
      <c r="BI16" s="242">
        <f t="shared" si="21"/>
        <v>0</v>
      </c>
      <c r="BJ16" s="242">
        <f t="shared" si="22"/>
        <v>0</v>
      </c>
      <c r="BK16" s="241"/>
      <c r="BL16" s="242">
        <f t="shared" si="23"/>
        <v>0</v>
      </c>
      <c r="BM16" s="242"/>
      <c r="BN16" s="241"/>
      <c r="BO16" s="242">
        <f t="shared" si="24"/>
        <v>0</v>
      </c>
      <c r="BP16" s="241"/>
      <c r="BQ16" s="241"/>
      <c r="BR16" s="242">
        <f t="shared" si="25"/>
        <v>0</v>
      </c>
      <c r="BS16" s="242"/>
      <c r="BT16" s="241">
        <v>810000</v>
      </c>
    </row>
    <row r="17" spans="1:72" s="244" customFormat="1">
      <c r="A17" s="241">
        <f t="shared" si="1"/>
        <v>11</v>
      </c>
      <c r="B17" s="522">
        <v>1828</v>
      </c>
      <c r="C17" s="241" t="s">
        <v>394</v>
      </c>
      <c r="D17" s="242">
        <v>330000</v>
      </c>
      <c r="E17" s="242">
        <v>330000</v>
      </c>
      <c r="F17" s="242">
        <f>D17-E17</f>
        <v>0</v>
      </c>
      <c r="G17" s="242">
        <f>210000+120000</f>
        <v>330000</v>
      </c>
      <c r="H17" s="242">
        <v>120000</v>
      </c>
      <c r="I17" s="242">
        <v>72059.69</v>
      </c>
      <c r="J17" s="242"/>
      <c r="K17" s="242">
        <f t="shared" si="2"/>
        <v>72059.69</v>
      </c>
      <c r="L17" s="242">
        <f t="shared" si="3"/>
        <v>192059.69</v>
      </c>
      <c r="M17" s="242">
        <f t="shared" si="4"/>
        <v>137940.31</v>
      </c>
      <c r="N17" s="242"/>
      <c r="O17" s="242">
        <f t="shared" si="5"/>
        <v>0</v>
      </c>
      <c r="P17" s="242">
        <f t="shared" si="6"/>
        <v>137940.31</v>
      </c>
      <c r="Q17" s="242">
        <f t="shared" si="7"/>
        <v>0</v>
      </c>
      <c r="R17" s="242"/>
      <c r="S17" s="242">
        <f t="shared" si="8"/>
        <v>0</v>
      </c>
      <c r="T17" s="242">
        <f t="shared" si="9"/>
        <v>0</v>
      </c>
      <c r="U17" s="242">
        <f t="shared" si="10"/>
        <v>0</v>
      </c>
      <c r="V17" s="519"/>
      <c r="W17" s="242">
        <f t="shared" si="11"/>
        <v>0</v>
      </c>
      <c r="X17" s="520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>
        <f t="shared" si="12"/>
        <v>0</v>
      </c>
      <c r="AL17" s="241"/>
      <c r="AM17" s="241"/>
      <c r="AN17" s="241">
        <f t="shared" si="13"/>
        <v>0</v>
      </c>
      <c r="AO17" s="241"/>
      <c r="AP17" s="241"/>
      <c r="AQ17" s="241">
        <f t="shared" si="14"/>
        <v>0</v>
      </c>
      <c r="AR17" s="241"/>
      <c r="AS17" s="241"/>
      <c r="AT17" s="241">
        <f t="shared" si="15"/>
        <v>0</v>
      </c>
      <c r="AU17" s="241"/>
      <c r="AV17" s="241"/>
      <c r="AW17" s="241">
        <f t="shared" si="16"/>
        <v>0</v>
      </c>
      <c r="AX17" s="241"/>
      <c r="AY17" s="241"/>
      <c r="AZ17" s="241">
        <f t="shared" si="17"/>
        <v>0</v>
      </c>
      <c r="BA17" s="241"/>
      <c r="BB17" s="241"/>
      <c r="BC17" s="241">
        <f t="shared" si="18"/>
        <v>0</v>
      </c>
      <c r="BD17" s="241"/>
      <c r="BE17" s="241"/>
      <c r="BF17" s="241">
        <f t="shared" si="19"/>
        <v>0</v>
      </c>
      <c r="BG17" s="241">
        <f t="shared" si="20"/>
        <v>0</v>
      </c>
      <c r="BH17" s="242"/>
      <c r="BI17" s="242">
        <f t="shared" si="21"/>
        <v>0</v>
      </c>
      <c r="BJ17" s="242">
        <f t="shared" si="22"/>
        <v>0</v>
      </c>
      <c r="BK17" s="241"/>
      <c r="BL17" s="242">
        <f t="shared" si="23"/>
        <v>0</v>
      </c>
      <c r="BM17" s="242"/>
      <c r="BN17" s="241"/>
      <c r="BO17" s="242">
        <f t="shared" si="24"/>
        <v>0</v>
      </c>
      <c r="BP17" s="241"/>
      <c r="BQ17" s="241"/>
      <c r="BR17" s="242">
        <f t="shared" si="25"/>
        <v>0</v>
      </c>
      <c r="BS17" s="242"/>
      <c r="BT17" s="241">
        <v>810000</v>
      </c>
    </row>
    <row r="18" spans="1:72" s="244" customFormat="1">
      <c r="A18" s="241">
        <f t="shared" si="1"/>
        <v>12</v>
      </c>
      <c r="B18" s="394">
        <v>1860</v>
      </c>
      <c r="C18" s="394" t="s">
        <v>894</v>
      </c>
      <c r="D18" s="242">
        <v>80000</v>
      </c>
      <c r="E18" s="242">
        <v>80000</v>
      </c>
      <c r="F18" s="242">
        <f>D18-E18</f>
        <v>0</v>
      </c>
      <c r="G18" s="242">
        <v>80000</v>
      </c>
      <c r="H18" s="242">
        <v>4388.67</v>
      </c>
      <c r="I18" s="242">
        <v>48947.56</v>
      </c>
      <c r="J18" s="242"/>
      <c r="K18" s="242">
        <f t="shared" si="2"/>
        <v>48947.56</v>
      </c>
      <c r="L18" s="242">
        <f t="shared" si="3"/>
        <v>53336.229999999996</v>
      </c>
      <c r="M18" s="242">
        <f t="shared" si="4"/>
        <v>26663.770000000004</v>
      </c>
      <c r="N18" s="242"/>
      <c r="O18" s="242">
        <f t="shared" si="5"/>
        <v>0</v>
      </c>
      <c r="P18" s="242">
        <f t="shared" si="6"/>
        <v>26663.770000000004</v>
      </c>
      <c r="Q18" s="242">
        <f t="shared" si="7"/>
        <v>0</v>
      </c>
      <c r="R18" s="242"/>
      <c r="S18" s="242">
        <f t="shared" si="8"/>
        <v>0</v>
      </c>
      <c r="T18" s="242">
        <f t="shared" si="9"/>
        <v>0</v>
      </c>
      <c r="U18" s="242">
        <f t="shared" si="10"/>
        <v>0</v>
      </c>
      <c r="V18" s="519"/>
      <c r="W18" s="242">
        <f t="shared" si="11"/>
        <v>0</v>
      </c>
      <c r="X18" s="520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>
        <f t="shared" si="12"/>
        <v>0</v>
      </c>
      <c r="AL18" s="241"/>
      <c r="AM18" s="241"/>
      <c r="AN18" s="241">
        <f t="shared" si="13"/>
        <v>0</v>
      </c>
      <c r="AO18" s="241"/>
      <c r="AP18" s="241"/>
      <c r="AQ18" s="241">
        <f t="shared" si="14"/>
        <v>0</v>
      </c>
      <c r="AR18" s="241"/>
      <c r="AS18" s="241"/>
      <c r="AT18" s="241">
        <f t="shared" si="15"/>
        <v>0</v>
      </c>
      <c r="AU18" s="241"/>
      <c r="AV18" s="241"/>
      <c r="AW18" s="241">
        <f t="shared" si="16"/>
        <v>0</v>
      </c>
      <c r="AX18" s="241"/>
      <c r="AY18" s="241"/>
      <c r="AZ18" s="241">
        <f t="shared" si="17"/>
        <v>0</v>
      </c>
      <c r="BA18" s="241"/>
      <c r="BB18" s="241"/>
      <c r="BC18" s="241">
        <f t="shared" si="18"/>
        <v>0</v>
      </c>
      <c r="BD18" s="241"/>
      <c r="BE18" s="241"/>
      <c r="BF18" s="241">
        <f t="shared" si="19"/>
        <v>0</v>
      </c>
      <c r="BG18" s="241">
        <f t="shared" si="20"/>
        <v>0</v>
      </c>
      <c r="BH18" s="242"/>
      <c r="BI18" s="242">
        <f t="shared" si="21"/>
        <v>0</v>
      </c>
      <c r="BJ18" s="242">
        <f t="shared" si="22"/>
        <v>0</v>
      </c>
      <c r="BK18" s="241"/>
      <c r="BL18" s="242">
        <f t="shared" si="23"/>
        <v>0</v>
      </c>
      <c r="BM18" s="242"/>
      <c r="BN18" s="241"/>
      <c r="BO18" s="242">
        <f t="shared" si="24"/>
        <v>0</v>
      </c>
      <c r="BP18" s="241"/>
      <c r="BQ18" s="241"/>
      <c r="BR18" s="242">
        <f t="shared" si="25"/>
        <v>0</v>
      </c>
      <c r="BS18" s="241"/>
      <c r="BT18" s="241">
        <v>810000</v>
      </c>
    </row>
    <row r="19" spans="1:72" s="244" customFormat="1">
      <c r="A19" s="241">
        <f t="shared" si="1"/>
        <v>13</v>
      </c>
      <c r="B19" s="394">
        <v>1895</v>
      </c>
      <c r="C19" s="394" t="s">
        <v>761</v>
      </c>
      <c r="D19" s="242">
        <v>600000</v>
      </c>
      <c r="E19" s="242">
        <v>600000</v>
      </c>
      <c r="F19" s="242">
        <f>D19-E19</f>
        <v>0</v>
      </c>
      <c r="G19" s="242">
        <v>600000</v>
      </c>
      <c r="H19" s="242">
        <v>39319</v>
      </c>
      <c r="I19" s="242">
        <v>557336</v>
      </c>
      <c r="J19" s="242"/>
      <c r="K19" s="242">
        <f t="shared" si="2"/>
        <v>557336</v>
      </c>
      <c r="L19" s="242">
        <f t="shared" si="3"/>
        <v>596655</v>
      </c>
      <c r="M19" s="242">
        <f t="shared" si="4"/>
        <v>3345</v>
      </c>
      <c r="N19" s="242"/>
      <c r="O19" s="242">
        <f t="shared" si="5"/>
        <v>0</v>
      </c>
      <c r="P19" s="242">
        <f t="shared" si="6"/>
        <v>3345</v>
      </c>
      <c r="Q19" s="242">
        <f t="shared" si="7"/>
        <v>0</v>
      </c>
      <c r="R19" s="242"/>
      <c r="S19" s="242">
        <f t="shared" si="8"/>
        <v>0</v>
      </c>
      <c r="T19" s="242">
        <f t="shared" si="9"/>
        <v>0</v>
      </c>
      <c r="U19" s="242">
        <f t="shared" si="10"/>
        <v>0</v>
      </c>
      <c r="V19" s="519"/>
      <c r="W19" s="242">
        <f t="shared" si="11"/>
        <v>0</v>
      </c>
      <c r="X19" s="520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>
        <f t="shared" si="12"/>
        <v>0</v>
      </c>
      <c r="AL19" s="241"/>
      <c r="AM19" s="241"/>
      <c r="AN19" s="241">
        <f t="shared" si="13"/>
        <v>0</v>
      </c>
      <c r="AO19" s="241"/>
      <c r="AP19" s="241"/>
      <c r="AQ19" s="241">
        <f t="shared" si="14"/>
        <v>0</v>
      </c>
      <c r="AR19" s="241"/>
      <c r="AS19" s="241"/>
      <c r="AT19" s="241">
        <f t="shared" si="15"/>
        <v>0</v>
      </c>
      <c r="AU19" s="241"/>
      <c r="AV19" s="241"/>
      <c r="AW19" s="241">
        <f t="shared" si="16"/>
        <v>0</v>
      </c>
      <c r="AX19" s="241"/>
      <c r="AY19" s="241"/>
      <c r="AZ19" s="241">
        <f t="shared" si="17"/>
        <v>0</v>
      </c>
      <c r="BA19" s="241"/>
      <c r="BB19" s="241"/>
      <c r="BC19" s="241">
        <f t="shared" si="18"/>
        <v>0</v>
      </c>
      <c r="BD19" s="241"/>
      <c r="BE19" s="241"/>
      <c r="BF19" s="241">
        <f t="shared" si="19"/>
        <v>0</v>
      </c>
      <c r="BG19" s="241">
        <f t="shared" si="20"/>
        <v>0</v>
      </c>
      <c r="BH19" s="242"/>
      <c r="BI19" s="242">
        <f t="shared" si="21"/>
        <v>0</v>
      </c>
      <c r="BJ19" s="242">
        <f t="shared" si="22"/>
        <v>0</v>
      </c>
      <c r="BK19" s="241"/>
      <c r="BL19" s="242">
        <f t="shared" si="23"/>
        <v>0</v>
      </c>
      <c r="BM19" s="242"/>
      <c r="BN19" s="241"/>
      <c r="BO19" s="242">
        <f t="shared" si="24"/>
        <v>0</v>
      </c>
      <c r="BP19" s="241"/>
      <c r="BQ19" s="241"/>
      <c r="BR19" s="242">
        <f t="shared" si="25"/>
        <v>0</v>
      </c>
      <c r="BS19" s="241"/>
      <c r="BT19" s="241">
        <v>810000</v>
      </c>
    </row>
    <row r="20" spans="1:72" s="244" customFormat="1">
      <c r="A20" s="241">
        <f t="shared" si="1"/>
        <v>14</v>
      </c>
      <c r="B20" s="522">
        <v>1930</v>
      </c>
      <c r="C20" s="241" t="s">
        <v>301</v>
      </c>
      <c r="D20" s="242">
        <v>320000</v>
      </c>
      <c r="E20" s="242">
        <v>320000</v>
      </c>
      <c r="F20" s="242">
        <f t="shared" si="26"/>
        <v>0</v>
      </c>
      <c r="G20" s="242">
        <v>0</v>
      </c>
      <c r="H20" s="242">
        <v>0</v>
      </c>
      <c r="I20" s="242"/>
      <c r="J20" s="242"/>
      <c r="K20" s="242">
        <f t="shared" si="2"/>
        <v>0</v>
      </c>
      <c r="L20" s="242">
        <f t="shared" si="3"/>
        <v>0</v>
      </c>
      <c r="M20" s="242">
        <f t="shared" si="4"/>
        <v>320000</v>
      </c>
      <c r="N20" s="242"/>
      <c r="O20" s="242">
        <f t="shared" si="5"/>
        <v>0</v>
      </c>
      <c r="P20" s="242">
        <f t="shared" si="6"/>
        <v>0</v>
      </c>
      <c r="Q20" s="242"/>
      <c r="R20" s="483">
        <v>320000</v>
      </c>
      <c r="S20" s="242">
        <f t="shared" si="8"/>
        <v>320000</v>
      </c>
      <c r="T20" s="242">
        <f t="shared" si="9"/>
        <v>0</v>
      </c>
      <c r="U20" s="242">
        <f t="shared" si="10"/>
        <v>0</v>
      </c>
      <c r="V20" s="519"/>
      <c r="W20" s="242">
        <f t="shared" si="11"/>
        <v>0</v>
      </c>
      <c r="X20" s="520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>
        <f t="shared" si="12"/>
        <v>0</v>
      </c>
      <c r="AL20" s="241"/>
      <c r="AM20" s="241"/>
      <c r="AN20" s="241">
        <f t="shared" si="13"/>
        <v>0</v>
      </c>
      <c r="AO20" s="241"/>
      <c r="AP20" s="241"/>
      <c r="AQ20" s="241">
        <f t="shared" si="14"/>
        <v>0</v>
      </c>
      <c r="AR20" s="241"/>
      <c r="AS20" s="241"/>
      <c r="AT20" s="241">
        <f t="shared" si="15"/>
        <v>0</v>
      </c>
      <c r="AU20" s="241"/>
      <c r="AV20" s="241"/>
      <c r="AW20" s="241">
        <f t="shared" si="16"/>
        <v>0</v>
      </c>
      <c r="AX20" s="241"/>
      <c r="AY20" s="241"/>
      <c r="AZ20" s="241">
        <f t="shared" si="17"/>
        <v>0</v>
      </c>
      <c r="BA20" s="241"/>
      <c r="BB20" s="241"/>
      <c r="BC20" s="241">
        <f t="shared" si="18"/>
        <v>0</v>
      </c>
      <c r="BD20" s="241"/>
      <c r="BE20" s="241"/>
      <c r="BF20" s="241">
        <f t="shared" si="19"/>
        <v>0</v>
      </c>
      <c r="BG20" s="241">
        <f t="shared" si="20"/>
        <v>0</v>
      </c>
      <c r="BH20" s="242"/>
      <c r="BI20" s="242">
        <f t="shared" si="21"/>
        <v>0</v>
      </c>
      <c r="BJ20" s="242">
        <f t="shared" si="22"/>
        <v>0</v>
      </c>
      <c r="BK20" s="241"/>
      <c r="BL20" s="242">
        <f t="shared" si="23"/>
        <v>0</v>
      </c>
      <c r="BM20" s="241"/>
      <c r="BN20" s="241"/>
      <c r="BO20" s="242">
        <f t="shared" si="24"/>
        <v>0</v>
      </c>
      <c r="BP20" s="241"/>
      <c r="BQ20" s="241"/>
      <c r="BR20" s="242">
        <f t="shared" si="25"/>
        <v>0</v>
      </c>
      <c r="BS20" s="241"/>
      <c r="BT20" s="241">
        <v>810000</v>
      </c>
    </row>
    <row r="21" spans="1:72" s="15" customFormat="1">
      <c r="A21" s="241">
        <f>A20+1</f>
        <v>15</v>
      </c>
      <c r="B21" s="13">
        <v>1975</v>
      </c>
      <c r="C21" s="13" t="s">
        <v>357</v>
      </c>
      <c r="D21" s="14">
        <v>975000</v>
      </c>
      <c r="E21" s="14"/>
      <c r="F21" s="14">
        <f>D21-E21</f>
        <v>975000</v>
      </c>
      <c r="G21" s="14"/>
      <c r="H21" s="14"/>
      <c r="I21" s="14"/>
      <c r="J21" s="14"/>
      <c r="K21" s="14">
        <f t="shared" si="2"/>
        <v>0</v>
      </c>
      <c r="L21" s="14">
        <f t="shared" si="3"/>
        <v>0</v>
      </c>
      <c r="M21" s="14">
        <f t="shared" si="4"/>
        <v>0</v>
      </c>
      <c r="N21" s="14">
        <v>485000</v>
      </c>
      <c r="O21" s="14">
        <f t="shared" si="5"/>
        <v>490000</v>
      </c>
      <c r="P21" s="14">
        <f t="shared" si="6"/>
        <v>0</v>
      </c>
      <c r="Q21" s="14">
        <f>E21-G21</f>
        <v>0</v>
      </c>
      <c r="R21" s="14"/>
      <c r="S21" s="14">
        <f t="shared" si="8"/>
        <v>0</v>
      </c>
      <c r="T21" s="14">
        <f t="shared" si="9"/>
        <v>0</v>
      </c>
      <c r="U21" s="14">
        <f t="shared" si="10"/>
        <v>485000</v>
      </c>
      <c r="V21" s="22"/>
      <c r="W21" s="242">
        <f t="shared" si="11"/>
        <v>485000</v>
      </c>
      <c r="X21" s="23"/>
      <c r="Y21" s="13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>
        <f t="shared" si="12"/>
        <v>0</v>
      </c>
      <c r="AL21" s="241"/>
      <c r="AM21" s="241"/>
      <c r="AN21" s="241">
        <f t="shared" si="13"/>
        <v>0</v>
      </c>
      <c r="AO21" s="241"/>
      <c r="AP21" s="241"/>
      <c r="AQ21" s="241">
        <f t="shared" si="14"/>
        <v>0</v>
      </c>
      <c r="AR21" s="241"/>
      <c r="AS21" s="241"/>
      <c r="AT21" s="241">
        <f t="shared" si="15"/>
        <v>0</v>
      </c>
      <c r="AU21" s="241"/>
      <c r="AV21" s="241"/>
      <c r="AW21" s="241">
        <f t="shared" si="16"/>
        <v>0</v>
      </c>
      <c r="AX21" s="241"/>
      <c r="AY21" s="241"/>
      <c r="AZ21" s="241">
        <f t="shared" si="17"/>
        <v>0</v>
      </c>
      <c r="BA21" s="241"/>
      <c r="BB21" s="241"/>
      <c r="BC21" s="241">
        <f t="shared" si="18"/>
        <v>0</v>
      </c>
      <c r="BD21" s="241"/>
      <c r="BE21" s="241"/>
      <c r="BF21" s="241">
        <f t="shared" si="19"/>
        <v>0</v>
      </c>
      <c r="BG21" s="241">
        <f t="shared" si="20"/>
        <v>0</v>
      </c>
      <c r="BH21" s="242"/>
      <c r="BI21" s="242">
        <f t="shared" si="21"/>
        <v>0</v>
      </c>
      <c r="BJ21" s="242">
        <f t="shared" si="22"/>
        <v>485000</v>
      </c>
      <c r="BK21" s="241"/>
      <c r="BL21" s="242">
        <f t="shared" si="23"/>
        <v>0</v>
      </c>
      <c r="BM21" s="241"/>
      <c r="BN21" s="241"/>
      <c r="BO21" s="242">
        <f t="shared" si="24"/>
        <v>0</v>
      </c>
      <c r="BP21" s="241"/>
      <c r="BQ21" s="241"/>
      <c r="BR21" s="242">
        <f t="shared" si="25"/>
        <v>485000</v>
      </c>
      <c r="BS21" s="241"/>
      <c r="BT21" s="241">
        <v>810000</v>
      </c>
    </row>
    <row r="22" spans="1:72" s="15" customFormat="1">
      <c r="A22" s="241">
        <f t="shared" si="1"/>
        <v>16</v>
      </c>
      <c r="B22" s="13">
        <v>1976</v>
      </c>
      <c r="C22" s="13" t="s">
        <v>358</v>
      </c>
      <c r="D22" s="14">
        <v>44100</v>
      </c>
      <c r="E22" s="14"/>
      <c r="F22" s="14">
        <f>D22-E22</f>
        <v>44100</v>
      </c>
      <c r="G22" s="14"/>
      <c r="H22" s="14"/>
      <c r="I22" s="14"/>
      <c r="J22" s="14"/>
      <c r="K22" s="14">
        <f t="shared" si="2"/>
        <v>0</v>
      </c>
      <c r="L22" s="14">
        <f t="shared" si="3"/>
        <v>0</v>
      </c>
      <c r="M22" s="14">
        <f t="shared" si="4"/>
        <v>0</v>
      </c>
      <c r="N22" s="14">
        <v>44100</v>
      </c>
      <c r="O22" s="14">
        <f t="shared" si="5"/>
        <v>0</v>
      </c>
      <c r="P22" s="14">
        <f t="shared" si="6"/>
        <v>0</v>
      </c>
      <c r="Q22" s="14">
        <f>E22-G22</f>
        <v>0</v>
      </c>
      <c r="R22" s="14"/>
      <c r="S22" s="14">
        <f t="shared" si="8"/>
        <v>0</v>
      </c>
      <c r="T22" s="14">
        <f t="shared" si="9"/>
        <v>0</v>
      </c>
      <c r="U22" s="14">
        <f t="shared" si="10"/>
        <v>44100</v>
      </c>
      <c r="V22" s="22"/>
      <c r="W22" s="242">
        <f t="shared" si="11"/>
        <v>0</v>
      </c>
      <c r="X22" s="23"/>
      <c r="Y22" s="242">
        <v>44100</v>
      </c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>
        <f t="shared" si="12"/>
        <v>0</v>
      </c>
      <c r="AL22" s="241"/>
      <c r="AM22" s="241"/>
      <c r="AN22" s="241">
        <f t="shared" si="13"/>
        <v>0</v>
      </c>
      <c r="AO22" s="241"/>
      <c r="AP22" s="241"/>
      <c r="AQ22" s="241">
        <f t="shared" si="14"/>
        <v>0</v>
      </c>
      <c r="AR22" s="241"/>
      <c r="AS22" s="241"/>
      <c r="AT22" s="241">
        <f t="shared" si="15"/>
        <v>0</v>
      </c>
      <c r="AU22" s="241"/>
      <c r="AV22" s="241"/>
      <c r="AW22" s="241">
        <f t="shared" si="16"/>
        <v>0</v>
      </c>
      <c r="AX22" s="242">
        <v>44100</v>
      </c>
      <c r="AY22" s="241"/>
      <c r="AZ22" s="242">
        <f t="shared" si="17"/>
        <v>44100</v>
      </c>
      <c r="BA22" s="242"/>
      <c r="BB22" s="241"/>
      <c r="BC22" s="242">
        <f t="shared" si="18"/>
        <v>0</v>
      </c>
      <c r="BD22" s="242"/>
      <c r="BE22" s="241"/>
      <c r="BF22" s="242">
        <f t="shared" si="19"/>
        <v>0</v>
      </c>
      <c r="BG22" s="242">
        <f t="shared" si="20"/>
        <v>44100</v>
      </c>
      <c r="BH22" s="242"/>
      <c r="BI22" s="242">
        <f t="shared" si="21"/>
        <v>44100</v>
      </c>
      <c r="BJ22" s="242">
        <f t="shared" si="22"/>
        <v>0</v>
      </c>
      <c r="BK22" s="241"/>
      <c r="BL22" s="242">
        <f t="shared" si="23"/>
        <v>0</v>
      </c>
      <c r="BM22" s="242">
        <v>44100</v>
      </c>
      <c r="BN22" s="241"/>
      <c r="BO22" s="242">
        <f t="shared" si="24"/>
        <v>0</v>
      </c>
      <c r="BP22" s="241"/>
      <c r="BQ22" s="241"/>
      <c r="BR22" s="242">
        <f t="shared" si="25"/>
        <v>0</v>
      </c>
      <c r="BS22" s="241"/>
      <c r="BT22" s="241">
        <v>810000</v>
      </c>
    </row>
    <row r="23" spans="1:72" s="15" customFormat="1">
      <c r="A23" s="241">
        <f t="shared" si="1"/>
        <v>17</v>
      </c>
      <c r="B23" s="13">
        <v>1977</v>
      </c>
      <c r="C23" s="13" t="s">
        <v>359</v>
      </c>
      <c r="D23" s="14">
        <v>44100</v>
      </c>
      <c r="E23" s="14"/>
      <c r="F23" s="14">
        <f>D23-E23</f>
        <v>44100</v>
      </c>
      <c r="G23" s="14"/>
      <c r="H23" s="14"/>
      <c r="I23" s="14"/>
      <c r="J23" s="14"/>
      <c r="K23" s="14">
        <f t="shared" si="2"/>
        <v>0</v>
      </c>
      <c r="L23" s="14">
        <f t="shared" si="3"/>
        <v>0</v>
      </c>
      <c r="M23" s="14">
        <f t="shared" si="4"/>
        <v>0</v>
      </c>
      <c r="N23" s="14">
        <v>44100</v>
      </c>
      <c r="O23" s="14">
        <f t="shared" si="5"/>
        <v>0</v>
      </c>
      <c r="P23" s="14">
        <f t="shared" si="6"/>
        <v>0</v>
      </c>
      <c r="Q23" s="14">
        <f>E23-G23</f>
        <v>0</v>
      </c>
      <c r="R23" s="14"/>
      <c r="S23" s="14">
        <f t="shared" si="8"/>
        <v>0</v>
      </c>
      <c r="T23" s="14">
        <f t="shared" si="9"/>
        <v>0</v>
      </c>
      <c r="U23" s="14">
        <f t="shared" si="10"/>
        <v>44100</v>
      </c>
      <c r="V23" s="22"/>
      <c r="W23" s="242">
        <f t="shared" si="11"/>
        <v>0</v>
      </c>
      <c r="X23" s="23"/>
      <c r="Y23" s="242">
        <v>44100</v>
      </c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>
        <f t="shared" si="12"/>
        <v>0</v>
      </c>
      <c r="AL23" s="241"/>
      <c r="AM23" s="241"/>
      <c r="AN23" s="241">
        <f t="shared" si="13"/>
        <v>0</v>
      </c>
      <c r="AO23" s="241"/>
      <c r="AP23" s="241"/>
      <c r="AQ23" s="241">
        <f t="shared" si="14"/>
        <v>0</v>
      </c>
      <c r="AR23" s="241"/>
      <c r="AS23" s="241"/>
      <c r="AT23" s="241">
        <f t="shared" si="15"/>
        <v>0</v>
      </c>
      <c r="AU23" s="241"/>
      <c r="AV23" s="241"/>
      <c r="AW23" s="241">
        <f t="shared" si="16"/>
        <v>0</v>
      </c>
      <c r="AX23" s="242">
        <v>44100</v>
      </c>
      <c r="AY23" s="242"/>
      <c r="AZ23" s="242">
        <f t="shared" si="17"/>
        <v>44100</v>
      </c>
      <c r="BA23" s="242"/>
      <c r="BB23" s="242"/>
      <c r="BC23" s="242">
        <f t="shared" si="18"/>
        <v>0</v>
      </c>
      <c r="BD23" s="242"/>
      <c r="BE23" s="242"/>
      <c r="BF23" s="242">
        <f t="shared" si="19"/>
        <v>0</v>
      </c>
      <c r="BG23" s="242">
        <f t="shared" si="20"/>
        <v>44100</v>
      </c>
      <c r="BH23" s="242"/>
      <c r="BI23" s="242">
        <f t="shared" si="21"/>
        <v>44100</v>
      </c>
      <c r="BJ23" s="242">
        <f t="shared" si="22"/>
        <v>0</v>
      </c>
      <c r="BK23" s="241"/>
      <c r="BL23" s="242">
        <f t="shared" si="23"/>
        <v>0</v>
      </c>
      <c r="BM23" s="242">
        <v>44100</v>
      </c>
      <c r="BN23" s="241"/>
      <c r="BO23" s="242">
        <f t="shared" si="24"/>
        <v>0</v>
      </c>
      <c r="BP23" s="241"/>
      <c r="BQ23" s="241"/>
      <c r="BR23" s="242">
        <f t="shared" si="25"/>
        <v>0</v>
      </c>
      <c r="BS23" s="241"/>
      <c r="BT23" s="241">
        <v>810000</v>
      </c>
    </row>
    <row r="24" spans="1:72" s="15" customFormat="1">
      <c r="A24" s="241">
        <f t="shared" si="1"/>
        <v>18</v>
      </c>
      <c r="B24" s="13">
        <v>1978</v>
      </c>
      <c r="C24" s="13" t="s">
        <v>360</v>
      </c>
      <c r="D24" s="14">
        <v>73500</v>
      </c>
      <c r="E24" s="14"/>
      <c r="F24" s="14">
        <f>D24-E24</f>
        <v>73500</v>
      </c>
      <c r="G24" s="14"/>
      <c r="H24" s="14"/>
      <c r="I24" s="14"/>
      <c r="J24" s="14"/>
      <c r="K24" s="14">
        <f t="shared" si="2"/>
        <v>0</v>
      </c>
      <c r="L24" s="14">
        <f t="shared" si="3"/>
        <v>0</v>
      </c>
      <c r="M24" s="14">
        <f t="shared" si="4"/>
        <v>0</v>
      </c>
      <c r="N24" s="14">
        <v>73500</v>
      </c>
      <c r="O24" s="14">
        <f t="shared" si="5"/>
        <v>0</v>
      </c>
      <c r="P24" s="14">
        <f t="shared" si="6"/>
        <v>0</v>
      </c>
      <c r="Q24" s="14">
        <f t="shared" si="7"/>
        <v>0</v>
      </c>
      <c r="R24" s="14"/>
      <c r="S24" s="14">
        <f t="shared" si="8"/>
        <v>0</v>
      </c>
      <c r="T24" s="14">
        <f t="shared" si="9"/>
        <v>0</v>
      </c>
      <c r="U24" s="14">
        <f t="shared" si="10"/>
        <v>73500</v>
      </c>
      <c r="V24" s="22"/>
      <c r="W24" s="242">
        <f t="shared" si="11"/>
        <v>0</v>
      </c>
      <c r="X24" s="23"/>
      <c r="Y24" s="242">
        <v>73500</v>
      </c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>
        <f t="shared" si="12"/>
        <v>0</v>
      </c>
      <c r="AL24" s="242"/>
      <c r="AM24" s="242"/>
      <c r="AN24" s="242">
        <f t="shared" si="13"/>
        <v>0</v>
      </c>
      <c r="AO24" s="242"/>
      <c r="AP24" s="242"/>
      <c r="AQ24" s="242">
        <f t="shared" si="14"/>
        <v>0</v>
      </c>
      <c r="AR24" s="242"/>
      <c r="AS24" s="242"/>
      <c r="AT24" s="242">
        <f t="shared" si="15"/>
        <v>0</v>
      </c>
      <c r="AU24" s="242"/>
      <c r="AV24" s="242"/>
      <c r="AW24" s="242">
        <f t="shared" si="16"/>
        <v>0</v>
      </c>
      <c r="AX24" s="242">
        <v>73500</v>
      </c>
      <c r="AY24" s="242"/>
      <c r="AZ24" s="242">
        <f t="shared" si="17"/>
        <v>73500</v>
      </c>
      <c r="BA24" s="242"/>
      <c r="BB24" s="242"/>
      <c r="BC24" s="242">
        <f t="shared" si="18"/>
        <v>0</v>
      </c>
      <c r="BD24" s="242"/>
      <c r="BE24" s="242"/>
      <c r="BF24" s="242">
        <f t="shared" si="19"/>
        <v>0</v>
      </c>
      <c r="BG24" s="242">
        <f t="shared" si="20"/>
        <v>73500</v>
      </c>
      <c r="BH24" s="242"/>
      <c r="BI24" s="242">
        <f t="shared" si="21"/>
        <v>73500</v>
      </c>
      <c r="BJ24" s="242">
        <f t="shared" si="22"/>
        <v>0</v>
      </c>
      <c r="BK24" s="241"/>
      <c r="BL24" s="242">
        <f t="shared" si="23"/>
        <v>0</v>
      </c>
      <c r="BM24" s="242">
        <v>73500</v>
      </c>
      <c r="BN24" s="241"/>
      <c r="BO24" s="242">
        <f t="shared" si="24"/>
        <v>0</v>
      </c>
      <c r="BP24" s="241"/>
      <c r="BQ24" s="241"/>
      <c r="BR24" s="242">
        <f t="shared" si="25"/>
        <v>0</v>
      </c>
      <c r="BS24" s="241"/>
      <c r="BT24" s="241">
        <v>810000</v>
      </c>
    </row>
    <row r="25" spans="1:72" s="244" customFormat="1" ht="15.75">
      <c r="A25" s="233">
        <f>A24</f>
        <v>18</v>
      </c>
      <c r="B25" s="248" t="s">
        <v>82</v>
      </c>
      <c r="C25" s="248" t="s">
        <v>303</v>
      </c>
      <c r="D25" s="249">
        <f t="shared" ref="D25:BS25" si="27">SUM(D7:D24)</f>
        <v>8136700</v>
      </c>
      <c r="E25" s="249">
        <f t="shared" si="27"/>
        <v>7000000</v>
      </c>
      <c r="F25" s="249">
        <f t="shared" si="27"/>
        <v>1136700</v>
      </c>
      <c r="G25" s="249">
        <f t="shared" si="27"/>
        <v>5831621</v>
      </c>
      <c r="H25" s="249">
        <f t="shared" si="27"/>
        <v>2935424.1799999997</v>
      </c>
      <c r="I25" s="249">
        <f t="shared" si="27"/>
        <v>1138899.92</v>
      </c>
      <c r="J25" s="249">
        <f t="shared" si="27"/>
        <v>74173.58</v>
      </c>
      <c r="K25" s="249">
        <f t="shared" si="27"/>
        <v>1213073.5</v>
      </c>
      <c r="L25" s="249">
        <f t="shared" si="27"/>
        <v>4148497.6799999997</v>
      </c>
      <c r="M25" s="249">
        <f t="shared" si="27"/>
        <v>2503123.3200000003</v>
      </c>
      <c r="N25" s="249">
        <f t="shared" si="27"/>
        <v>995079</v>
      </c>
      <c r="O25" s="249">
        <f t="shared" si="27"/>
        <v>490000</v>
      </c>
      <c r="P25" s="249">
        <f t="shared" si="27"/>
        <v>1683123.3200000003</v>
      </c>
      <c r="Q25" s="249">
        <f t="shared" si="27"/>
        <v>150000</v>
      </c>
      <c r="R25" s="249">
        <f t="shared" si="27"/>
        <v>670000</v>
      </c>
      <c r="S25" s="249">
        <f t="shared" si="27"/>
        <v>820000</v>
      </c>
      <c r="T25" s="249">
        <f t="shared" si="27"/>
        <v>0</v>
      </c>
      <c r="U25" s="249">
        <f t="shared" si="27"/>
        <v>995079</v>
      </c>
      <c r="V25" s="249">
        <f t="shared" si="27"/>
        <v>0</v>
      </c>
      <c r="W25" s="249">
        <f t="shared" si="27"/>
        <v>485000</v>
      </c>
      <c r="X25" s="249">
        <f t="shared" si="27"/>
        <v>0</v>
      </c>
      <c r="Y25" s="249">
        <f t="shared" si="27"/>
        <v>510079</v>
      </c>
      <c r="Z25" s="249">
        <f t="shared" si="27"/>
        <v>0</v>
      </c>
      <c r="AA25" s="249">
        <f t="shared" si="27"/>
        <v>0</v>
      </c>
      <c r="AB25" s="249">
        <f t="shared" si="27"/>
        <v>0</v>
      </c>
      <c r="AC25" s="249">
        <f t="shared" si="27"/>
        <v>0</v>
      </c>
      <c r="AD25" s="249">
        <f t="shared" si="27"/>
        <v>0</v>
      </c>
      <c r="AE25" s="249">
        <f t="shared" si="27"/>
        <v>0</v>
      </c>
      <c r="AF25" s="249">
        <f t="shared" si="27"/>
        <v>0</v>
      </c>
      <c r="AG25" s="249">
        <f t="shared" si="27"/>
        <v>0</v>
      </c>
      <c r="AH25" s="249">
        <f t="shared" si="27"/>
        <v>0</v>
      </c>
      <c r="AI25" s="249">
        <f t="shared" si="27"/>
        <v>0</v>
      </c>
      <c r="AJ25" s="249">
        <f t="shared" si="27"/>
        <v>0</v>
      </c>
      <c r="AK25" s="249">
        <f t="shared" si="27"/>
        <v>0</v>
      </c>
      <c r="AL25" s="249">
        <f t="shared" si="27"/>
        <v>0</v>
      </c>
      <c r="AM25" s="249">
        <f t="shared" si="27"/>
        <v>0</v>
      </c>
      <c r="AN25" s="249">
        <f t="shared" si="27"/>
        <v>0</v>
      </c>
      <c r="AO25" s="249">
        <f t="shared" si="27"/>
        <v>0</v>
      </c>
      <c r="AP25" s="249">
        <f t="shared" si="27"/>
        <v>0</v>
      </c>
      <c r="AQ25" s="249">
        <f t="shared" si="27"/>
        <v>0</v>
      </c>
      <c r="AR25" s="249">
        <f t="shared" si="27"/>
        <v>141621</v>
      </c>
      <c r="AS25" s="249">
        <f t="shared" si="27"/>
        <v>0</v>
      </c>
      <c r="AT25" s="249">
        <f t="shared" si="27"/>
        <v>141621</v>
      </c>
      <c r="AU25" s="249">
        <f t="shared" si="27"/>
        <v>0</v>
      </c>
      <c r="AV25" s="249">
        <f t="shared" si="27"/>
        <v>0</v>
      </c>
      <c r="AW25" s="249">
        <f t="shared" si="27"/>
        <v>0</v>
      </c>
      <c r="AX25" s="249">
        <f t="shared" si="27"/>
        <v>161700</v>
      </c>
      <c r="AY25" s="249">
        <f t="shared" si="27"/>
        <v>0</v>
      </c>
      <c r="AZ25" s="249">
        <f t="shared" si="27"/>
        <v>161700</v>
      </c>
      <c r="BA25" s="249">
        <f t="shared" si="27"/>
        <v>0</v>
      </c>
      <c r="BB25" s="249">
        <f t="shared" si="27"/>
        <v>0</v>
      </c>
      <c r="BC25" s="249">
        <f t="shared" si="27"/>
        <v>0</v>
      </c>
      <c r="BD25" s="249">
        <f t="shared" si="27"/>
        <v>0</v>
      </c>
      <c r="BE25" s="249">
        <f t="shared" si="27"/>
        <v>0</v>
      </c>
      <c r="BF25" s="249">
        <f t="shared" si="27"/>
        <v>0</v>
      </c>
      <c r="BG25" s="249">
        <f t="shared" si="27"/>
        <v>303321</v>
      </c>
      <c r="BH25" s="249">
        <f t="shared" si="27"/>
        <v>0</v>
      </c>
      <c r="BI25" s="249">
        <f t="shared" si="27"/>
        <v>303321</v>
      </c>
      <c r="BJ25" s="249">
        <f t="shared" si="27"/>
        <v>691758</v>
      </c>
      <c r="BK25" s="249">
        <f t="shared" si="27"/>
        <v>0</v>
      </c>
      <c r="BL25" s="249">
        <f t="shared" ref="BL25:BQ25" si="28">SUM(BL7:BL24)</f>
        <v>0</v>
      </c>
      <c r="BM25" s="249">
        <f t="shared" si="28"/>
        <v>303321</v>
      </c>
      <c r="BN25" s="249">
        <f t="shared" si="28"/>
        <v>0</v>
      </c>
      <c r="BO25" s="249">
        <f t="shared" si="28"/>
        <v>0</v>
      </c>
      <c r="BP25" s="249">
        <f t="shared" si="28"/>
        <v>0</v>
      </c>
      <c r="BQ25" s="249">
        <f t="shared" si="28"/>
        <v>0</v>
      </c>
      <c r="BR25" s="249">
        <f t="shared" si="27"/>
        <v>485000</v>
      </c>
      <c r="BS25" s="249">
        <f t="shared" si="27"/>
        <v>206758</v>
      </c>
      <c r="BT25" s="248"/>
    </row>
    <row r="26" spans="1:72" s="244" customFormat="1" ht="15.75">
      <c r="A26" s="241"/>
      <c r="B26" s="248"/>
      <c r="C26" s="248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517"/>
      <c r="W26" s="249"/>
      <c r="X26" s="518"/>
      <c r="Y26" s="249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8"/>
    </row>
    <row r="27" spans="1:72" s="244" customFormat="1" ht="15.75">
      <c r="A27" s="241"/>
      <c r="B27" s="241"/>
      <c r="C27" s="248" t="s">
        <v>304</v>
      </c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 t="s">
        <v>1117</v>
      </c>
      <c r="T27" s="242">
        <f>P27-M27+R27</f>
        <v>0</v>
      </c>
      <c r="U27" s="242">
        <f>N27-T27</f>
        <v>0</v>
      </c>
      <c r="V27" s="519"/>
      <c r="W27" s="242"/>
      <c r="X27" s="520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</row>
    <row r="28" spans="1:72" s="244" customFormat="1">
      <c r="A28" s="241">
        <f t="shared" ref="A28:A42" si="29">A27+1</f>
        <v>1</v>
      </c>
      <c r="B28" s="241">
        <v>1486</v>
      </c>
      <c r="C28" s="241" t="s">
        <v>98</v>
      </c>
      <c r="D28" s="242">
        <v>3400000</v>
      </c>
      <c r="E28" s="242">
        <v>3200000</v>
      </c>
      <c r="F28" s="242">
        <f t="shared" ref="F28:F42" si="30">D28-E28</f>
        <v>200000</v>
      </c>
      <c r="G28" s="242">
        <v>2500000</v>
      </c>
      <c r="H28" s="242">
        <v>1692424.8</v>
      </c>
      <c r="I28" s="242">
        <v>621965.21</v>
      </c>
      <c r="J28" s="242"/>
      <c r="K28" s="242">
        <f>I28+J28</f>
        <v>621965.21</v>
      </c>
      <c r="L28" s="242">
        <f t="shared" ref="L28:L42" si="31">H28+K28</f>
        <v>2314390.0099999998</v>
      </c>
      <c r="M28" s="242">
        <f>P28+S28</f>
        <v>385609.99000000022</v>
      </c>
      <c r="N28" s="242">
        <f>900000-200000</f>
        <v>700000</v>
      </c>
      <c r="O28" s="242">
        <f t="shared" ref="O28:O42" si="32">D28-L28-M28-N28</f>
        <v>0</v>
      </c>
      <c r="P28" s="242">
        <f>G28-L28</f>
        <v>185609.99000000022</v>
      </c>
      <c r="Q28" s="484">
        <v>200000</v>
      </c>
      <c r="R28" s="242"/>
      <c r="S28" s="242">
        <f t="shared" ref="S28:S42" si="33">SUM(Q28:R28)</f>
        <v>200000</v>
      </c>
      <c r="T28" s="242">
        <f t="shared" ref="T28:T38" si="34">P28-M28+S28</f>
        <v>0</v>
      </c>
      <c r="U28" s="242">
        <f>N28-T28</f>
        <v>700000</v>
      </c>
      <c r="V28" s="519"/>
      <c r="W28" s="242">
        <f>U28-V28-X28-Y28</f>
        <v>700000</v>
      </c>
      <c r="X28" s="520"/>
      <c r="Y28" s="241"/>
      <c r="Z28" s="241"/>
      <c r="AA28" s="241"/>
      <c r="AB28" s="13"/>
      <c r="AC28" s="241"/>
      <c r="AD28" s="241"/>
      <c r="AE28" s="13"/>
      <c r="AF28" s="241"/>
      <c r="AG28" s="241"/>
      <c r="AH28" s="13"/>
      <c r="AI28" s="242">
        <v>200000</v>
      </c>
      <c r="AJ28" s="242"/>
      <c r="AK28" s="242">
        <f t="shared" ref="AK28:AK42" si="35">SUM(AI28:AJ28)</f>
        <v>200000</v>
      </c>
      <c r="AL28" s="242">
        <v>200000</v>
      </c>
      <c r="AM28" s="242"/>
      <c r="AN28" s="242">
        <f t="shared" ref="AN28:AN42" si="36">SUM(AL28:AM28)</f>
        <v>200000</v>
      </c>
      <c r="AO28" s="242"/>
      <c r="AP28" s="242"/>
      <c r="AQ28" s="242">
        <f t="shared" ref="AQ28:AQ42" si="37">SUM(AO28:AP28)</f>
        <v>0</v>
      </c>
      <c r="AR28" s="242"/>
      <c r="AS28" s="242"/>
      <c r="AT28" s="242">
        <f t="shared" ref="AT28:AT42" si="38">SUM(AR28:AS28)</f>
        <v>0</v>
      </c>
      <c r="AU28" s="242">
        <v>300000</v>
      </c>
      <c r="AV28" s="242"/>
      <c r="AW28" s="242">
        <f t="shared" ref="AW28:AW42" si="39">SUM(AU28:AV28)</f>
        <v>300000</v>
      </c>
      <c r="AX28" s="242"/>
      <c r="AY28" s="242"/>
      <c r="AZ28" s="242">
        <f t="shared" ref="AZ28:AZ42" si="40">SUM(AX28:AY28)</f>
        <v>0</v>
      </c>
      <c r="BA28" s="242"/>
      <c r="BB28" s="242"/>
      <c r="BC28" s="242">
        <f t="shared" ref="BC28:BC42" si="41">SUM(BA28:BB28)</f>
        <v>0</v>
      </c>
      <c r="BD28" s="242"/>
      <c r="BE28" s="242"/>
      <c r="BF28" s="242">
        <f t="shared" ref="BF28:BF42" si="42">SUM(BD28:BE28)</f>
        <v>0</v>
      </c>
      <c r="BG28" s="242">
        <f t="shared" ref="BG28:BG42" si="43">BF28+AB28+AE28+AH28+AK28+AN28+AQ28+AT28+AW28+AZ28+BC28</f>
        <v>700000</v>
      </c>
      <c r="BH28" s="242"/>
      <c r="BI28" s="242">
        <f>BG28+BH28</f>
        <v>700000</v>
      </c>
      <c r="BJ28" s="242">
        <f>U28-BI28</f>
        <v>0</v>
      </c>
      <c r="BK28" s="241"/>
      <c r="BL28" s="242">
        <f>BI28-BK28-BM28</f>
        <v>700000</v>
      </c>
      <c r="BM28" s="241"/>
      <c r="BN28" s="241"/>
      <c r="BO28" s="242">
        <f>BH28-BN28-BP28</f>
        <v>0</v>
      </c>
      <c r="BP28" s="241"/>
      <c r="BQ28" s="241"/>
      <c r="BR28" s="242">
        <f>BJ28-BQ28-BS28</f>
        <v>0</v>
      </c>
      <c r="BS28" s="241"/>
      <c r="BT28" s="241">
        <v>930000</v>
      </c>
    </row>
    <row r="29" spans="1:72" s="244" customFormat="1" ht="16.5" customHeight="1">
      <c r="A29" s="241">
        <f t="shared" si="29"/>
        <v>2</v>
      </c>
      <c r="B29" s="241">
        <v>1582</v>
      </c>
      <c r="C29" s="241" t="s">
        <v>107</v>
      </c>
      <c r="D29" s="242">
        <v>1600000</v>
      </c>
      <c r="E29" s="242">
        <v>1600000</v>
      </c>
      <c r="F29" s="242">
        <f t="shared" si="30"/>
        <v>0</v>
      </c>
      <c r="G29" s="242">
        <v>763000</v>
      </c>
      <c r="H29" s="242">
        <v>599974.86</v>
      </c>
      <c r="I29" s="242">
        <v>19332.939999999999</v>
      </c>
      <c r="J29" s="242"/>
      <c r="K29" s="242">
        <f t="shared" ref="K29:K42" si="44">I29+J29</f>
        <v>19332.939999999999</v>
      </c>
      <c r="L29" s="242">
        <f t="shared" si="31"/>
        <v>619307.79999999993</v>
      </c>
      <c r="M29" s="242">
        <f t="shared" ref="M29:M42" si="45">P29+S29</f>
        <v>143692.20000000007</v>
      </c>
      <c r="N29" s="14">
        <v>160000</v>
      </c>
      <c r="O29" s="242">
        <f t="shared" si="32"/>
        <v>677000</v>
      </c>
      <c r="P29" s="242">
        <f t="shared" ref="P29:P42" si="46">G29-L29</f>
        <v>143692.20000000007</v>
      </c>
      <c r="Q29" s="242"/>
      <c r="R29" s="242"/>
      <c r="S29" s="242">
        <f t="shared" si="33"/>
        <v>0</v>
      </c>
      <c r="T29" s="242">
        <f t="shared" si="34"/>
        <v>0</v>
      </c>
      <c r="U29" s="242">
        <f t="shared" ref="U29:U42" si="47">N29-T29</f>
        <v>160000</v>
      </c>
      <c r="V29" s="519"/>
      <c r="W29" s="242">
        <f t="shared" ref="W29:W42" si="48">U29-V29-X29-Y29</f>
        <v>160000</v>
      </c>
      <c r="X29" s="520"/>
      <c r="Y29" s="241"/>
      <c r="Z29" s="241"/>
      <c r="AA29" s="241"/>
      <c r="AB29" s="13"/>
      <c r="AC29" s="241"/>
      <c r="AD29" s="241"/>
      <c r="AE29" s="13"/>
      <c r="AF29" s="241"/>
      <c r="AG29" s="241"/>
      <c r="AH29" s="13"/>
      <c r="AI29" s="241"/>
      <c r="AJ29" s="241"/>
      <c r="AK29" s="241">
        <f t="shared" si="35"/>
        <v>0</v>
      </c>
      <c r="AL29" s="241"/>
      <c r="AM29" s="241"/>
      <c r="AN29" s="241">
        <f t="shared" si="36"/>
        <v>0</v>
      </c>
      <c r="AO29" s="241"/>
      <c r="AP29" s="241"/>
      <c r="AQ29" s="241">
        <f t="shared" si="37"/>
        <v>0</v>
      </c>
      <c r="AR29" s="241"/>
      <c r="AS29" s="241"/>
      <c r="AT29" s="241">
        <f t="shared" si="38"/>
        <v>0</v>
      </c>
      <c r="AU29" s="241"/>
      <c r="AV29" s="241"/>
      <c r="AW29" s="241">
        <f t="shared" si="39"/>
        <v>0</v>
      </c>
      <c r="AX29" s="241"/>
      <c r="AY29" s="241"/>
      <c r="AZ29" s="241">
        <f t="shared" si="40"/>
        <v>0</v>
      </c>
      <c r="BA29" s="241"/>
      <c r="BB29" s="241"/>
      <c r="BC29" s="241">
        <f t="shared" si="41"/>
        <v>0</v>
      </c>
      <c r="BD29" s="241"/>
      <c r="BE29" s="241"/>
      <c r="BF29" s="241">
        <f t="shared" si="42"/>
        <v>0</v>
      </c>
      <c r="BG29" s="242">
        <f t="shared" si="43"/>
        <v>0</v>
      </c>
      <c r="BH29" s="242"/>
      <c r="BI29" s="242">
        <f t="shared" ref="BI29:BI42" si="49">BG29+BH29</f>
        <v>0</v>
      </c>
      <c r="BJ29" s="242">
        <f t="shared" ref="BJ29:BJ42" si="50">U29-BI29</f>
        <v>160000</v>
      </c>
      <c r="BK29" s="241"/>
      <c r="BL29" s="242">
        <f t="shared" ref="BL29:BL42" si="51">BI29-BK29-BM29</f>
        <v>0</v>
      </c>
      <c r="BM29" s="241"/>
      <c r="BN29" s="241"/>
      <c r="BO29" s="242">
        <f t="shared" ref="BO29:BO42" si="52">BH29-BN29-BP29</f>
        <v>0</v>
      </c>
      <c r="BP29" s="241"/>
      <c r="BQ29" s="241"/>
      <c r="BR29" s="242">
        <f t="shared" ref="BR29:BR42" si="53">BJ29-BQ29-BS29</f>
        <v>160000</v>
      </c>
      <c r="BS29" s="241"/>
      <c r="BT29" s="241">
        <v>829000</v>
      </c>
    </row>
    <row r="30" spans="1:72" s="244" customFormat="1" ht="18.75" customHeight="1">
      <c r="A30" s="241">
        <f t="shared" si="29"/>
        <v>3</v>
      </c>
      <c r="B30" s="241">
        <v>1678</v>
      </c>
      <c r="C30" s="241" t="s">
        <v>103</v>
      </c>
      <c r="D30" s="242">
        <f>800000+300000</f>
        <v>1100000</v>
      </c>
      <c r="E30" s="242">
        <v>800000</v>
      </c>
      <c r="F30" s="242">
        <f t="shared" si="30"/>
        <v>300000</v>
      </c>
      <c r="G30" s="242">
        <v>700000</v>
      </c>
      <c r="H30" s="242">
        <v>443533.91</v>
      </c>
      <c r="I30" s="242">
        <v>148836.81</v>
      </c>
      <c r="J30" s="242"/>
      <c r="K30" s="242">
        <f t="shared" si="44"/>
        <v>148836.81</v>
      </c>
      <c r="L30" s="242">
        <f t="shared" si="31"/>
        <v>592370.72</v>
      </c>
      <c r="M30" s="242">
        <f t="shared" si="45"/>
        <v>107629.28000000003</v>
      </c>
      <c r="N30" s="14">
        <v>400000</v>
      </c>
      <c r="O30" s="242">
        <f t="shared" si="32"/>
        <v>0</v>
      </c>
      <c r="P30" s="242">
        <f t="shared" si="46"/>
        <v>107629.28000000003</v>
      </c>
      <c r="Q30" s="242"/>
      <c r="R30" s="242"/>
      <c r="S30" s="242">
        <f t="shared" si="33"/>
        <v>0</v>
      </c>
      <c r="T30" s="242">
        <f t="shared" si="34"/>
        <v>0</v>
      </c>
      <c r="U30" s="242">
        <f t="shared" si="47"/>
        <v>400000</v>
      </c>
      <c r="V30" s="519"/>
      <c r="W30" s="242">
        <f t="shared" si="48"/>
        <v>400000</v>
      </c>
      <c r="X30" s="520"/>
      <c r="Y30" s="241"/>
      <c r="Z30" s="242"/>
      <c r="AA30" s="242"/>
      <c r="AB30" s="13"/>
      <c r="AC30" s="242"/>
      <c r="AD30" s="242"/>
      <c r="AE30" s="13"/>
      <c r="AF30" s="242"/>
      <c r="AG30" s="242"/>
      <c r="AH30" s="13"/>
      <c r="AI30" s="242">
        <v>100000</v>
      </c>
      <c r="AJ30" s="242"/>
      <c r="AK30" s="242">
        <f t="shared" si="35"/>
        <v>100000</v>
      </c>
      <c r="AL30" s="242"/>
      <c r="AM30" s="242"/>
      <c r="AN30" s="242">
        <f t="shared" si="36"/>
        <v>0</v>
      </c>
      <c r="AO30" s="242"/>
      <c r="AP30" s="242"/>
      <c r="AQ30" s="242">
        <f t="shared" si="37"/>
        <v>0</v>
      </c>
      <c r="AR30" s="242"/>
      <c r="AS30" s="242"/>
      <c r="AT30" s="242">
        <f t="shared" si="38"/>
        <v>0</v>
      </c>
      <c r="AU30" s="242"/>
      <c r="AV30" s="242"/>
      <c r="AW30" s="242">
        <f t="shared" si="39"/>
        <v>0</v>
      </c>
      <c r="AX30" s="242"/>
      <c r="AY30" s="242"/>
      <c r="AZ30" s="242">
        <f t="shared" si="40"/>
        <v>0</v>
      </c>
      <c r="BA30" s="242"/>
      <c r="BB30" s="242"/>
      <c r="BC30" s="242">
        <f t="shared" si="41"/>
        <v>0</v>
      </c>
      <c r="BD30" s="242"/>
      <c r="BE30" s="242"/>
      <c r="BF30" s="242">
        <f t="shared" si="42"/>
        <v>0</v>
      </c>
      <c r="BG30" s="242">
        <f t="shared" si="43"/>
        <v>100000</v>
      </c>
      <c r="BH30" s="242"/>
      <c r="BI30" s="242">
        <f t="shared" si="49"/>
        <v>100000</v>
      </c>
      <c r="BJ30" s="242">
        <f t="shared" si="50"/>
        <v>300000</v>
      </c>
      <c r="BK30" s="241"/>
      <c r="BL30" s="242">
        <f t="shared" si="51"/>
        <v>100000</v>
      </c>
      <c r="BM30" s="241"/>
      <c r="BN30" s="241"/>
      <c r="BO30" s="242">
        <f t="shared" si="52"/>
        <v>0</v>
      </c>
      <c r="BP30" s="241"/>
      <c r="BQ30" s="241"/>
      <c r="BR30" s="242">
        <f t="shared" si="53"/>
        <v>300000</v>
      </c>
      <c r="BS30" s="241"/>
      <c r="BT30" s="241">
        <v>829000</v>
      </c>
    </row>
    <row r="31" spans="1:72" s="244" customFormat="1">
      <c r="A31" s="241">
        <f t="shared" si="29"/>
        <v>4</v>
      </c>
      <c r="B31" s="241">
        <v>1705</v>
      </c>
      <c r="C31" s="241" t="s">
        <v>109</v>
      </c>
      <c r="D31" s="242">
        <v>220000</v>
      </c>
      <c r="E31" s="242">
        <v>220000</v>
      </c>
      <c r="F31" s="242">
        <f t="shared" si="30"/>
        <v>0</v>
      </c>
      <c r="G31" s="242">
        <v>220000</v>
      </c>
      <c r="H31" s="242">
        <v>128035.28</v>
      </c>
      <c r="I31" s="242">
        <v>49333.83</v>
      </c>
      <c r="J31" s="242"/>
      <c r="K31" s="242">
        <f t="shared" si="44"/>
        <v>49333.83</v>
      </c>
      <c r="L31" s="242">
        <f t="shared" si="31"/>
        <v>177369.11</v>
      </c>
      <c r="M31" s="242">
        <f t="shared" si="45"/>
        <v>42630.890000000014</v>
      </c>
      <c r="N31" s="242"/>
      <c r="O31" s="242">
        <f t="shared" si="32"/>
        <v>0</v>
      </c>
      <c r="P31" s="242">
        <f t="shared" si="46"/>
        <v>42630.890000000014</v>
      </c>
      <c r="Q31" s="242"/>
      <c r="R31" s="242"/>
      <c r="S31" s="242">
        <f t="shared" si="33"/>
        <v>0</v>
      </c>
      <c r="T31" s="242">
        <f t="shared" si="34"/>
        <v>0</v>
      </c>
      <c r="U31" s="242">
        <f t="shared" si="47"/>
        <v>0</v>
      </c>
      <c r="V31" s="519"/>
      <c r="W31" s="242">
        <f t="shared" si="48"/>
        <v>0</v>
      </c>
      <c r="X31" s="520"/>
      <c r="Y31" s="241"/>
      <c r="Z31" s="241"/>
      <c r="AA31" s="241"/>
      <c r="AB31" s="13"/>
      <c r="AC31" s="241"/>
      <c r="AD31" s="241"/>
      <c r="AE31" s="13"/>
      <c r="AF31" s="241"/>
      <c r="AG31" s="241"/>
      <c r="AH31" s="13"/>
      <c r="AI31" s="241"/>
      <c r="AJ31" s="241"/>
      <c r="AK31" s="241">
        <f t="shared" si="35"/>
        <v>0</v>
      </c>
      <c r="AL31" s="241"/>
      <c r="AM31" s="241"/>
      <c r="AN31" s="241">
        <f t="shared" si="36"/>
        <v>0</v>
      </c>
      <c r="AO31" s="241"/>
      <c r="AP31" s="241"/>
      <c r="AQ31" s="241">
        <f t="shared" si="37"/>
        <v>0</v>
      </c>
      <c r="AR31" s="241"/>
      <c r="AS31" s="241"/>
      <c r="AT31" s="241">
        <f t="shared" si="38"/>
        <v>0</v>
      </c>
      <c r="AU31" s="241"/>
      <c r="AV31" s="241"/>
      <c r="AW31" s="241">
        <f t="shared" si="39"/>
        <v>0</v>
      </c>
      <c r="AX31" s="241"/>
      <c r="AY31" s="241"/>
      <c r="AZ31" s="241">
        <f t="shared" si="40"/>
        <v>0</v>
      </c>
      <c r="BA31" s="241"/>
      <c r="BB31" s="241"/>
      <c r="BC31" s="241">
        <f t="shared" si="41"/>
        <v>0</v>
      </c>
      <c r="BD31" s="241"/>
      <c r="BE31" s="241"/>
      <c r="BF31" s="241">
        <f t="shared" si="42"/>
        <v>0</v>
      </c>
      <c r="BG31" s="242">
        <f t="shared" si="43"/>
        <v>0</v>
      </c>
      <c r="BH31" s="242"/>
      <c r="BI31" s="242">
        <f t="shared" si="49"/>
        <v>0</v>
      </c>
      <c r="BJ31" s="242">
        <f t="shared" si="50"/>
        <v>0</v>
      </c>
      <c r="BK31" s="241"/>
      <c r="BL31" s="242">
        <f t="shared" si="51"/>
        <v>0</v>
      </c>
      <c r="BM31" s="241"/>
      <c r="BN31" s="241"/>
      <c r="BO31" s="242">
        <f t="shared" si="52"/>
        <v>0</v>
      </c>
      <c r="BP31" s="241"/>
      <c r="BQ31" s="241"/>
      <c r="BR31" s="242">
        <f t="shared" si="53"/>
        <v>0</v>
      </c>
      <c r="BS31" s="241"/>
      <c r="BT31" s="241">
        <v>828000</v>
      </c>
    </row>
    <row r="32" spans="1:72" s="244" customFormat="1">
      <c r="A32" s="241">
        <f t="shared" si="29"/>
        <v>5</v>
      </c>
      <c r="B32" s="394">
        <v>1734</v>
      </c>
      <c r="C32" s="394" t="s">
        <v>1176</v>
      </c>
      <c r="D32" s="242">
        <v>315000</v>
      </c>
      <c r="E32" s="242">
        <v>315000</v>
      </c>
      <c r="F32" s="242">
        <f t="shared" si="30"/>
        <v>0</v>
      </c>
      <c r="G32" s="242">
        <v>315000</v>
      </c>
      <c r="H32" s="242">
        <v>195673.5</v>
      </c>
      <c r="I32" s="242">
        <v>2703.25</v>
      </c>
      <c r="J32" s="242"/>
      <c r="K32" s="242">
        <f t="shared" si="44"/>
        <v>2703.25</v>
      </c>
      <c r="L32" s="242">
        <f t="shared" si="31"/>
        <v>198376.75</v>
      </c>
      <c r="M32" s="242">
        <f t="shared" si="45"/>
        <v>116623.25</v>
      </c>
      <c r="N32" s="242"/>
      <c r="O32" s="242">
        <f t="shared" si="32"/>
        <v>0</v>
      </c>
      <c r="P32" s="242">
        <f t="shared" si="46"/>
        <v>116623.25</v>
      </c>
      <c r="Q32" s="242"/>
      <c r="R32" s="242"/>
      <c r="S32" s="242">
        <f t="shared" si="33"/>
        <v>0</v>
      </c>
      <c r="T32" s="242">
        <f t="shared" si="34"/>
        <v>0</v>
      </c>
      <c r="U32" s="242">
        <f t="shared" si="47"/>
        <v>0</v>
      </c>
      <c r="V32" s="519"/>
      <c r="W32" s="242">
        <f t="shared" si="48"/>
        <v>0</v>
      </c>
      <c r="X32" s="520"/>
      <c r="Y32" s="241"/>
      <c r="Z32" s="242"/>
      <c r="AA32" s="242"/>
      <c r="AB32" s="13"/>
      <c r="AC32" s="242"/>
      <c r="AD32" s="242"/>
      <c r="AE32" s="13"/>
      <c r="AF32" s="242"/>
      <c r="AG32" s="242"/>
      <c r="AH32" s="13"/>
      <c r="AI32" s="242"/>
      <c r="AJ32" s="242"/>
      <c r="AK32" s="241">
        <f t="shared" si="35"/>
        <v>0</v>
      </c>
      <c r="AL32" s="242"/>
      <c r="AM32" s="242"/>
      <c r="AN32" s="241">
        <f t="shared" si="36"/>
        <v>0</v>
      </c>
      <c r="AO32" s="242"/>
      <c r="AP32" s="242"/>
      <c r="AQ32" s="241">
        <f t="shared" si="37"/>
        <v>0</v>
      </c>
      <c r="AR32" s="242"/>
      <c r="AS32" s="242"/>
      <c r="AT32" s="241">
        <f t="shared" si="38"/>
        <v>0</v>
      </c>
      <c r="AU32" s="242"/>
      <c r="AV32" s="242"/>
      <c r="AW32" s="241">
        <f t="shared" si="39"/>
        <v>0</v>
      </c>
      <c r="AX32" s="242"/>
      <c r="AY32" s="242"/>
      <c r="AZ32" s="241">
        <f t="shared" si="40"/>
        <v>0</v>
      </c>
      <c r="BA32" s="242"/>
      <c r="BB32" s="242"/>
      <c r="BC32" s="241">
        <f t="shared" si="41"/>
        <v>0</v>
      </c>
      <c r="BD32" s="242"/>
      <c r="BE32" s="242"/>
      <c r="BF32" s="241">
        <f t="shared" si="42"/>
        <v>0</v>
      </c>
      <c r="BG32" s="242">
        <f t="shared" si="43"/>
        <v>0</v>
      </c>
      <c r="BH32" s="242"/>
      <c r="BI32" s="242">
        <f t="shared" si="49"/>
        <v>0</v>
      </c>
      <c r="BJ32" s="242">
        <f t="shared" si="50"/>
        <v>0</v>
      </c>
      <c r="BK32" s="241"/>
      <c r="BL32" s="242">
        <f t="shared" si="51"/>
        <v>0</v>
      </c>
      <c r="BM32" s="241"/>
      <c r="BN32" s="241"/>
      <c r="BO32" s="242">
        <f t="shared" si="52"/>
        <v>0</v>
      </c>
      <c r="BP32" s="241"/>
      <c r="BQ32" s="241"/>
      <c r="BR32" s="242">
        <f t="shared" si="53"/>
        <v>0</v>
      </c>
      <c r="BS32" s="241"/>
      <c r="BT32" s="241">
        <v>829000</v>
      </c>
    </row>
    <row r="33" spans="1:72" s="244" customFormat="1" ht="30">
      <c r="A33" s="241">
        <f t="shared" si="29"/>
        <v>6</v>
      </c>
      <c r="B33" s="394">
        <v>1774</v>
      </c>
      <c r="C33" s="394" t="s">
        <v>1177</v>
      </c>
      <c r="D33" s="242">
        <v>100000</v>
      </c>
      <c r="E33" s="242">
        <v>100000</v>
      </c>
      <c r="F33" s="242">
        <f t="shared" si="30"/>
        <v>0</v>
      </c>
      <c r="G33" s="242">
        <v>100000</v>
      </c>
      <c r="H33" s="242">
        <v>86140</v>
      </c>
      <c r="I33" s="242"/>
      <c r="J33" s="242"/>
      <c r="K33" s="242">
        <f t="shared" si="44"/>
        <v>0</v>
      </c>
      <c r="L33" s="242">
        <f t="shared" si="31"/>
        <v>86140</v>
      </c>
      <c r="M33" s="242">
        <f t="shared" si="45"/>
        <v>13860</v>
      </c>
      <c r="N33" s="242"/>
      <c r="O33" s="242">
        <f t="shared" si="32"/>
        <v>0</v>
      </c>
      <c r="P33" s="242">
        <f t="shared" si="46"/>
        <v>13860</v>
      </c>
      <c r="Q33" s="242"/>
      <c r="R33" s="242"/>
      <c r="S33" s="242">
        <f t="shared" si="33"/>
        <v>0</v>
      </c>
      <c r="T33" s="242">
        <f t="shared" si="34"/>
        <v>0</v>
      </c>
      <c r="U33" s="242">
        <f t="shared" si="47"/>
        <v>0</v>
      </c>
      <c r="V33" s="519"/>
      <c r="W33" s="242">
        <f t="shared" si="48"/>
        <v>0</v>
      </c>
      <c r="X33" s="520"/>
      <c r="Y33" s="241"/>
      <c r="Z33" s="241"/>
      <c r="AA33" s="241"/>
      <c r="AB33" s="13"/>
      <c r="AC33" s="241"/>
      <c r="AD33" s="241"/>
      <c r="AE33" s="13"/>
      <c r="AF33" s="241"/>
      <c r="AG33" s="241"/>
      <c r="AH33" s="13"/>
      <c r="AI33" s="241"/>
      <c r="AJ33" s="241"/>
      <c r="AK33" s="241">
        <f t="shared" si="35"/>
        <v>0</v>
      </c>
      <c r="AL33" s="241"/>
      <c r="AM33" s="241"/>
      <c r="AN33" s="241">
        <f t="shared" si="36"/>
        <v>0</v>
      </c>
      <c r="AO33" s="241"/>
      <c r="AP33" s="241"/>
      <c r="AQ33" s="241">
        <f t="shared" si="37"/>
        <v>0</v>
      </c>
      <c r="AR33" s="241"/>
      <c r="AS33" s="241"/>
      <c r="AT33" s="241">
        <f t="shared" si="38"/>
        <v>0</v>
      </c>
      <c r="AU33" s="241"/>
      <c r="AV33" s="241"/>
      <c r="AW33" s="241">
        <f t="shared" si="39"/>
        <v>0</v>
      </c>
      <c r="AX33" s="241"/>
      <c r="AY33" s="241"/>
      <c r="AZ33" s="241">
        <f t="shared" si="40"/>
        <v>0</v>
      </c>
      <c r="BA33" s="241"/>
      <c r="BB33" s="241"/>
      <c r="BC33" s="241">
        <f t="shared" si="41"/>
        <v>0</v>
      </c>
      <c r="BD33" s="241"/>
      <c r="BE33" s="241"/>
      <c r="BF33" s="241">
        <f t="shared" si="42"/>
        <v>0</v>
      </c>
      <c r="BG33" s="242">
        <f t="shared" si="43"/>
        <v>0</v>
      </c>
      <c r="BH33" s="242"/>
      <c r="BI33" s="242">
        <f t="shared" si="49"/>
        <v>0</v>
      </c>
      <c r="BJ33" s="242">
        <f t="shared" si="50"/>
        <v>0</v>
      </c>
      <c r="BK33" s="241"/>
      <c r="BL33" s="242">
        <f t="shared" si="51"/>
        <v>0</v>
      </c>
      <c r="BM33" s="241"/>
      <c r="BN33" s="241"/>
      <c r="BO33" s="242">
        <f t="shared" si="52"/>
        <v>0</v>
      </c>
      <c r="BP33" s="241"/>
      <c r="BQ33" s="241"/>
      <c r="BR33" s="242">
        <f t="shared" si="53"/>
        <v>0</v>
      </c>
      <c r="BS33" s="241"/>
      <c r="BT33" s="241">
        <v>810000</v>
      </c>
    </row>
    <row r="34" spans="1:72" s="244" customFormat="1">
      <c r="A34" s="241">
        <f t="shared" si="29"/>
        <v>7</v>
      </c>
      <c r="B34" s="13">
        <v>1777</v>
      </c>
      <c r="C34" s="241" t="s">
        <v>114</v>
      </c>
      <c r="D34" s="242">
        <v>270000</v>
      </c>
      <c r="E34" s="242">
        <v>270000</v>
      </c>
      <c r="F34" s="242">
        <f t="shared" si="30"/>
        <v>0</v>
      </c>
      <c r="G34" s="242">
        <v>160000</v>
      </c>
      <c r="H34" s="242">
        <v>119709</v>
      </c>
      <c r="I34" s="242"/>
      <c r="J34" s="242"/>
      <c r="K34" s="242">
        <f t="shared" si="44"/>
        <v>0</v>
      </c>
      <c r="L34" s="242">
        <f t="shared" si="31"/>
        <v>119709</v>
      </c>
      <c r="M34" s="242">
        <f t="shared" si="45"/>
        <v>150291</v>
      </c>
      <c r="N34" s="242">
        <f>110000-110000</f>
        <v>0</v>
      </c>
      <c r="O34" s="242">
        <f t="shared" si="32"/>
        <v>0</v>
      </c>
      <c r="P34" s="242">
        <f t="shared" si="46"/>
        <v>40291</v>
      </c>
      <c r="Q34" s="484">
        <v>110000</v>
      </c>
      <c r="R34" s="242"/>
      <c r="S34" s="242">
        <f t="shared" si="33"/>
        <v>110000</v>
      </c>
      <c r="T34" s="242">
        <f t="shared" si="34"/>
        <v>0</v>
      </c>
      <c r="U34" s="242">
        <f t="shared" si="47"/>
        <v>0</v>
      </c>
      <c r="V34" s="519"/>
      <c r="W34" s="242">
        <f t="shared" si="48"/>
        <v>0</v>
      </c>
      <c r="X34" s="520"/>
      <c r="Y34" s="241"/>
      <c r="Z34" s="14"/>
      <c r="AA34" s="14"/>
      <c r="AB34" s="13"/>
      <c r="AC34" s="14"/>
      <c r="AD34" s="14"/>
      <c r="AE34" s="13"/>
      <c r="AF34" s="14"/>
      <c r="AG34" s="14"/>
      <c r="AH34" s="13"/>
      <c r="AI34" s="14"/>
      <c r="AJ34" s="14"/>
      <c r="AK34" s="241">
        <f t="shared" si="35"/>
        <v>0</v>
      </c>
      <c r="AL34" s="14"/>
      <c r="AM34" s="14"/>
      <c r="AN34" s="241">
        <f t="shared" si="36"/>
        <v>0</v>
      </c>
      <c r="AO34" s="14"/>
      <c r="AP34" s="14"/>
      <c r="AQ34" s="241">
        <f t="shared" si="37"/>
        <v>0</v>
      </c>
      <c r="AR34" s="14"/>
      <c r="AS34" s="14"/>
      <c r="AT34" s="241">
        <f t="shared" si="38"/>
        <v>0</v>
      </c>
      <c r="AU34" s="14"/>
      <c r="AV34" s="14"/>
      <c r="AW34" s="241">
        <f t="shared" si="39"/>
        <v>0</v>
      </c>
      <c r="AX34" s="14"/>
      <c r="AY34" s="14"/>
      <c r="AZ34" s="241">
        <f t="shared" si="40"/>
        <v>0</v>
      </c>
      <c r="BA34" s="14"/>
      <c r="BB34" s="14"/>
      <c r="BC34" s="241">
        <f t="shared" si="41"/>
        <v>0</v>
      </c>
      <c r="BD34" s="14"/>
      <c r="BE34" s="14"/>
      <c r="BF34" s="241">
        <f t="shared" si="42"/>
        <v>0</v>
      </c>
      <c r="BG34" s="242">
        <f t="shared" si="43"/>
        <v>0</v>
      </c>
      <c r="BH34" s="242"/>
      <c r="BI34" s="242">
        <f t="shared" si="49"/>
        <v>0</v>
      </c>
      <c r="BJ34" s="242">
        <f t="shared" si="50"/>
        <v>0</v>
      </c>
      <c r="BK34" s="241"/>
      <c r="BL34" s="242">
        <f t="shared" si="51"/>
        <v>0</v>
      </c>
      <c r="BM34" s="241"/>
      <c r="BN34" s="241"/>
      <c r="BO34" s="242">
        <f t="shared" si="52"/>
        <v>0</v>
      </c>
      <c r="BP34" s="241"/>
      <c r="BQ34" s="241"/>
      <c r="BR34" s="242">
        <f t="shared" si="53"/>
        <v>0</v>
      </c>
      <c r="BS34" s="241"/>
      <c r="BT34" s="241">
        <v>829000</v>
      </c>
    </row>
    <row r="35" spans="1:72" s="244" customFormat="1">
      <c r="A35" s="241">
        <f t="shared" si="29"/>
        <v>8</v>
      </c>
      <c r="B35" s="13">
        <v>1822</v>
      </c>
      <c r="C35" s="241" t="s">
        <v>386</v>
      </c>
      <c r="D35" s="242">
        <v>565000</v>
      </c>
      <c r="E35" s="242">
        <v>565000</v>
      </c>
      <c r="F35" s="242">
        <f t="shared" si="30"/>
        <v>0</v>
      </c>
      <c r="G35" s="242">
        <v>100000</v>
      </c>
      <c r="H35" s="242">
        <v>0</v>
      </c>
      <c r="I35" s="242">
        <v>86084.15</v>
      </c>
      <c r="J35" s="242"/>
      <c r="K35" s="242">
        <f t="shared" si="44"/>
        <v>86084.15</v>
      </c>
      <c r="L35" s="242">
        <f t="shared" si="31"/>
        <v>86084.15</v>
      </c>
      <c r="M35" s="242">
        <f t="shared" si="45"/>
        <v>478915.85</v>
      </c>
      <c r="N35" s="242"/>
      <c r="O35" s="242">
        <f t="shared" si="32"/>
        <v>0</v>
      </c>
      <c r="P35" s="242">
        <f t="shared" si="46"/>
        <v>13915.850000000006</v>
      </c>
      <c r="Q35" s="242"/>
      <c r="R35" s="483">
        <v>465000</v>
      </c>
      <c r="S35" s="242">
        <f t="shared" si="33"/>
        <v>465000</v>
      </c>
      <c r="T35" s="242">
        <f t="shared" si="34"/>
        <v>0</v>
      </c>
      <c r="U35" s="242">
        <f t="shared" si="47"/>
        <v>0</v>
      </c>
      <c r="V35" s="519"/>
      <c r="W35" s="242">
        <f t="shared" si="48"/>
        <v>0</v>
      </c>
      <c r="X35" s="520"/>
      <c r="Y35" s="242"/>
      <c r="Z35" s="241"/>
      <c r="AA35" s="241"/>
      <c r="AB35" s="13"/>
      <c r="AC35" s="241"/>
      <c r="AD35" s="241"/>
      <c r="AE35" s="13"/>
      <c r="AF35" s="241"/>
      <c r="AG35" s="241"/>
      <c r="AH35" s="13"/>
      <c r="AI35" s="241"/>
      <c r="AJ35" s="241"/>
      <c r="AK35" s="241">
        <f t="shared" si="35"/>
        <v>0</v>
      </c>
      <c r="AL35" s="241"/>
      <c r="AM35" s="241"/>
      <c r="AN35" s="241">
        <f t="shared" si="36"/>
        <v>0</v>
      </c>
      <c r="AO35" s="241"/>
      <c r="AP35" s="241"/>
      <c r="AQ35" s="241">
        <f t="shared" si="37"/>
        <v>0</v>
      </c>
      <c r="AR35" s="241"/>
      <c r="AS35" s="241"/>
      <c r="AT35" s="241">
        <f t="shared" si="38"/>
        <v>0</v>
      </c>
      <c r="AU35" s="241"/>
      <c r="AV35" s="241"/>
      <c r="AW35" s="241">
        <f t="shared" si="39"/>
        <v>0</v>
      </c>
      <c r="AX35" s="241"/>
      <c r="AY35" s="241"/>
      <c r="AZ35" s="241">
        <f t="shared" si="40"/>
        <v>0</v>
      </c>
      <c r="BA35" s="241"/>
      <c r="BB35" s="241"/>
      <c r="BC35" s="241">
        <f t="shared" si="41"/>
        <v>0</v>
      </c>
      <c r="BD35" s="241"/>
      <c r="BE35" s="241"/>
      <c r="BF35" s="241">
        <f t="shared" si="42"/>
        <v>0</v>
      </c>
      <c r="BG35" s="242">
        <f t="shared" si="43"/>
        <v>0</v>
      </c>
      <c r="BH35" s="242"/>
      <c r="BI35" s="242">
        <f t="shared" si="49"/>
        <v>0</v>
      </c>
      <c r="BJ35" s="242">
        <f t="shared" si="50"/>
        <v>0</v>
      </c>
      <c r="BK35" s="241"/>
      <c r="BL35" s="242">
        <f t="shared" si="51"/>
        <v>0</v>
      </c>
      <c r="BM35" s="241"/>
      <c r="BN35" s="241"/>
      <c r="BO35" s="242">
        <f t="shared" si="52"/>
        <v>0</v>
      </c>
      <c r="BP35" s="241"/>
      <c r="BQ35" s="241"/>
      <c r="BR35" s="242">
        <f t="shared" si="53"/>
        <v>0</v>
      </c>
      <c r="BS35" s="241"/>
      <c r="BT35" s="241">
        <v>829000</v>
      </c>
    </row>
    <row r="36" spans="1:72" s="244" customFormat="1">
      <c r="A36" s="241">
        <f t="shared" si="29"/>
        <v>9</v>
      </c>
      <c r="B36" s="394">
        <v>1859</v>
      </c>
      <c r="C36" s="394" t="s">
        <v>1178</v>
      </c>
      <c r="D36" s="14">
        <v>130000</v>
      </c>
      <c r="E36" s="14">
        <v>130000</v>
      </c>
      <c r="F36" s="14">
        <f t="shared" si="30"/>
        <v>0</v>
      </c>
      <c r="G36" s="14">
        <v>130000</v>
      </c>
      <c r="H36" s="14">
        <v>124605</v>
      </c>
      <c r="I36" s="14"/>
      <c r="J36" s="14"/>
      <c r="K36" s="242">
        <f t="shared" si="44"/>
        <v>0</v>
      </c>
      <c r="L36" s="242">
        <f t="shared" si="31"/>
        <v>124605</v>
      </c>
      <c r="M36" s="242">
        <f t="shared" si="45"/>
        <v>5395</v>
      </c>
      <c r="N36" s="242"/>
      <c r="O36" s="242">
        <f t="shared" si="32"/>
        <v>0</v>
      </c>
      <c r="P36" s="242">
        <f t="shared" si="46"/>
        <v>5395</v>
      </c>
      <c r="Q36" s="242"/>
      <c r="R36" s="242"/>
      <c r="S36" s="242">
        <f t="shared" si="33"/>
        <v>0</v>
      </c>
      <c r="T36" s="242">
        <f t="shared" si="34"/>
        <v>0</v>
      </c>
      <c r="U36" s="242">
        <f t="shared" si="47"/>
        <v>0</v>
      </c>
      <c r="V36" s="519"/>
      <c r="W36" s="242">
        <f t="shared" si="48"/>
        <v>0</v>
      </c>
      <c r="X36" s="520"/>
      <c r="Y36" s="241"/>
      <c r="Z36" s="242"/>
      <c r="AA36" s="242"/>
      <c r="AB36" s="13"/>
      <c r="AC36" s="242"/>
      <c r="AD36" s="242"/>
      <c r="AE36" s="13"/>
      <c r="AF36" s="242"/>
      <c r="AG36" s="242"/>
      <c r="AH36" s="13"/>
      <c r="AI36" s="242"/>
      <c r="AJ36" s="242"/>
      <c r="AK36" s="241">
        <f t="shared" si="35"/>
        <v>0</v>
      </c>
      <c r="AL36" s="242"/>
      <c r="AM36" s="242"/>
      <c r="AN36" s="241">
        <f t="shared" si="36"/>
        <v>0</v>
      </c>
      <c r="AO36" s="242"/>
      <c r="AP36" s="242"/>
      <c r="AQ36" s="241">
        <f t="shared" si="37"/>
        <v>0</v>
      </c>
      <c r="AR36" s="242"/>
      <c r="AS36" s="242"/>
      <c r="AT36" s="241">
        <f t="shared" si="38"/>
        <v>0</v>
      </c>
      <c r="AU36" s="242"/>
      <c r="AV36" s="242"/>
      <c r="AW36" s="241">
        <f t="shared" si="39"/>
        <v>0</v>
      </c>
      <c r="AX36" s="242"/>
      <c r="AY36" s="242"/>
      <c r="AZ36" s="241">
        <f t="shared" si="40"/>
        <v>0</v>
      </c>
      <c r="BA36" s="242"/>
      <c r="BB36" s="242"/>
      <c r="BC36" s="241">
        <f t="shared" si="41"/>
        <v>0</v>
      </c>
      <c r="BD36" s="242"/>
      <c r="BE36" s="242"/>
      <c r="BF36" s="241">
        <f t="shared" si="42"/>
        <v>0</v>
      </c>
      <c r="BG36" s="242">
        <f t="shared" si="43"/>
        <v>0</v>
      </c>
      <c r="BH36" s="242"/>
      <c r="BI36" s="242">
        <f t="shared" si="49"/>
        <v>0</v>
      </c>
      <c r="BJ36" s="242">
        <f t="shared" si="50"/>
        <v>0</v>
      </c>
      <c r="BK36" s="241"/>
      <c r="BL36" s="242">
        <f t="shared" si="51"/>
        <v>0</v>
      </c>
      <c r="BM36" s="241"/>
      <c r="BN36" s="241"/>
      <c r="BO36" s="242">
        <f t="shared" si="52"/>
        <v>0</v>
      </c>
      <c r="BP36" s="241"/>
      <c r="BQ36" s="241"/>
      <c r="BR36" s="242">
        <f t="shared" si="53"/>
        <v>0</v>
      </c>
      <c r="BS36" s="241"/>
      <c r="BT36" s="13">
        <v>829000</v>
      </c>
    </row>
    <row r="37" spans="1:72" s="244" customFormat="1">
      <c r="A37" s="241">
        <f t="shared" si="29"/>
        <v>10</v>
      </c>
      <c r="B37" s="394">
        <v>1898</v>
      </c>
      <c r="C37" s="394" t="s">
        <v>1180</v>
      </c>
      <c r="D37" s="242">
        <v>174000</v>
      </c>
      <c r="E37" s="242">
        <v>174000</v>
      </c>
      <c r="F37" s="242">
        <f t="shared" si="30"/>
        <v>0</v>
      </c>
      <c r="G37" s="242">
        <v>174000</v>
      </c>
      <c r="H37" s="242">
        <v>0</v>
      </c>
      <c r="I37" s="242">
        <v>14115</v>
      </c>
      <c r="J37" s="242"/>
      <c r="K37" s="242">
        <f t="shared" si="44"/>
        <v>14115</v>
      </c>
      <c r="L37" s="242">
        <f t="shared" si="31"/>
        <v>14115</v>
      </c>
      <c r="M37" s="242">
        <f t="shared" si="45"/>
        <v>159885</v>
      </c>
      <c r="N37" s="242"/>
      <c r="O37" s="242">
        <f t="shared" si="32"/>
        <v>0</v>
      </c>
      <c r="P37" s="242">
        <f t="shared" si="46"/>
        <v>159885</v>
      </c>
      <c r="Q37" s="242"/>
      <c r="R37" s="242"/>
      <c r="S37" s="242">
        <f t="shared" si="33"/>
        <v>0</v>
      </c>
      <c r="T37" s="242">
        <f t="shared" si="34"/>
        <v>0</v>
      </c>
      <c r="U37" s="242">
        <f t="shared" si="47"/>
        <v>0</v>
      </c>
      <c r="V37" s="519"/>
      <c r="W37" s="242">
        <f t="shared" si="48"/>
        <v>0</v>
      </c>
      <c r="X37" s="520"/>
      <c r="Y37" s="241"/>
      <c r="Z37" s="241"/>
      <c r="AA37" s="241"/>
      <c r="AB37" s="13"/>
      <c r="AC37" s="241"/>
      <c r="AD37" s="241"/>
      <c r="AE37" s="13"/>
      <c r="AF37" s="241"/>
      <c r="AG37" s="241"/>
      <c r="AH37" s="13"/>
      <c r="AI37" s="241"/>
      <c r="AJ37" s="241"/>
      <c r="AK37" s="241">
        <f t="shared" si="35"/>
        <v>0</v>
      </c>
      <c r="AL37" s="241"/>
      <c r="AM37" s="241"/>
      <c r="AN37" s="241">
        <f t="shared" si="36"/>
        <v>0</v>
      </c>
      <c r="AO37" s="241"/>
      <c r="AP37" s="241"/>
      <c r="AQ37" s="241">
        <f t="shared" si="37"/>
        <v>0</v>
      </c>
      <c r="AR37" s="241"/>
      <c r="AS37" s="241"/>
      <c r="AT37" s="241">
        <f t="shared" si="38"/>
        <v>0</v>
      </c>
      <c r="AU37" s="241"/>
      <c r="AV37" s="241"/>
      <c r="AW37" s="241">
        <f t="shared" si="39"/>
        <v>0</v>
      </c>
      <c r="AX37" s="241"/>
      <c r="AY37" s="241"/>
      <c r="AZ37" s="241">
        <f t="shared" si="40"/>
        <v>0</v>
      </c>
      <c r="BA37" s="241"/>
      <c r="BB37" s="241"/>
      <c r="BC37" s="241">
        <f t="shared" si="41"/>
        <v>0</v>
      </c>
      <c r="BD37" s="241"/>
      <c r="BE37" s="241"/>
      <c r="BF37" s="241">
        <f t="shared" si="42"/>
        <v>0</v>
      </c>
      <c r="BG37" s="242">
        <f t="shared" si="43"/>
        <v>0</v>
      </c>
      <c r="BH37" s="242"/>
      <c r="BI37" s="242">
        <f t="shared" si="49"/>
        <v>0</v>
      </c>
      <c r="BJ37" s="242">
        <f t="shared" si="50"/>
        <v>0</v>
      </c>
      <c r="BK37" s="241"/>
      <c r="BL37" s="242">
        <f t="shared" si="51"/>
        <v>0</v>
      </c>
      <c r="BM37" s="241"/>
      <c r="BN37" s="241"/>
      <c r="BO37" s="242">
        <f t="shared" si="52"/>
        <v>0</v>
      </c>
      <c r="BP37" s="241"/>
      <c r="BQ37" s="241"/>
      <c r="BR37" s="242">
        <f t="shared" si="53"/>
        <v>0</v>
      </c>
      <c r="BS37" s="241"/>
      <c r="BT37" s="241">
        <v>829000</v>
      </c>
    </row>
    <row r="38" spans="1:72" s="244" customFormat="1">
      <c r="A38" s="241">
        <f t="shared" si="29"/>
        <v>11</v>
      </c>
      <c r="B38" s="522">
        <v>1901</v>
      </c>
      <c r="C38" s="241" t="s">
        <v>361</v>
      </c>
      <c r="D38" s="242">
        <v>130000</v>
      </c>
      <c r="E38" s="242">
        <v>130000</v>
      </c>
      <c r="F38" s="242">
        <f t="shared" si="30"/>
        <v>0</v>
      </c>
      <c r="G38" s="242">
        <v>130000</v>
      </c>
      <c r="H38" s="242">
        <v>0</v>
      </c>
      <c r="I38" s="242">
        <v>129998</v>
      </c>
      <c r="J38" s="242"/>
      <c r="K38" s="242">
        <f t="shared" si="44"/>
        <v>129998</v>
      </c>
      <c r="L38" s="242">
        <f t="shared" si="31"/>
        <v>129998</v>
      </c>
      <c r="M38" s="242">
        <f t="shared" si="45"/>
        <v>2</v>
      </c>
      <c r="N38" s="242"/>
      <c r="O38" s="242">
        <f t="shared" si="32"/>
        <v>0</v>
      </c>
      <c r="P38" s="242">
        <f t="shared" si="46"/>
        <v>2</v>
      </c>
      <c r="Q38" s="242"/>
      <c r="R38" s="242"/>
      <c r="S38" s="242">
        <f t="shared" si="33"/>
        <v>0</v>
      </c>
      <c r="T38" s="242">
        <f t="shared" si="34"/>
        <v>0</v>
      </c>
      <c r="U38" s="242">
        <f t="shared" si="47"/>
        <v>0</v>
      </c>
      <c r="V38" s="519"/>
      <c r="W38" s="242">
        <f t="shared" si="48"/>
        <v>0</v>
      </c>
      <c r="X38" s="520"/>
      <c r="Y38" s="241"/>
      <c r="Z38" s="241"/>
      <c r="AA38" s="241"/>
      <c r="AB38" s="13"/>
      <c r="AC38" s="241"/>
      <c r="AD38" s="241"/>
      <c r="AE38" s="13"/>
      <c r="AF38" s="241"/>
      <c r="AG38" s="241"/>
      <c r="AH38" s="13"/>
      <c r="AI38" s="241"/>
      <c r="AJ38" s="241"/>
      <c r="AK38" s="241">
        <f t="shared" si="35"/>
        <v>0</v>
      </c>
      <c r="AL38" s="241"/>
      <c r="AM38" s="241"/>
      <c r="AN38" s="241">
        <f t="shared" si="36"/>
        <v>0</v>
      </c>
      <c r="AO38" s="241"/>
      <c r="AP38" s="241"/>
      <c r="AQ38" s="241">
        <f t="shared" si="37"/>
        <v>0</v>
      </c>
      <c r="AR38" s="241"/>
      <c r="AS38" s="241"/>
      <c r="AT38" s="241">
        <f t="shared" si="38"/>
        <v>0</v>
      </c>
      <c r="AU38" s="241"/>
      <c r="AV38" s="241"/>
      <c r="AW38" s="241">
        <f t="shared" si="39"/>
        <v>0</v>
      </c>
      <c r="AX38" s="241"/>
      <c r="AY38" s="241"/>
      <c r="AZ38" s="241">
        <f t="shared" si="40"/>
        <v>0</v>
      </c>
      <c r="BA38" s="241"/>
      <c r="BB38" s="241"/>
      <c r="BC38" s="241">
        <f t="shared" si="41"/>
        <v>0</v>
      </c>
      <c r="BD38" s="241"/>
      <c r="BE38" s="241"/>
      <c r="BF38" s="241">
        <f t="shared" si="42"/>
        <v>0</v>
      </c>
      <c r="BG38" s="242">
        <f t="shared" si="43"/>
        <v>0</v>
      </c>
      <c r="BH38" s="242"/>
      <c r="BI38" s="242">
        <f t="shared" si="49"/>
        <v>0</v>
      </c>
      <c r="BJ38" s="242">
        <f t="shared" si="50"/>
        <v>0</v>
      </c>
      <c r="BK38" s="241"/>
      <c r="BL38" s="242">
        <f t="shared" si="51"/>
        <v>0</v>
      </c>
      <c r="BM38" s="241"/>
      <c r="BN38" s="241"/>
      <c r="BO38" s="242">
        <f t="shared" si="52"/>
        <v>0</v>
      </c>
      <c r="BP38" s="241"/>
      <c r="BQ38" s="241"/>
      <c r="BR38" s="242">
        <f t="shared" si="53"/>
        <v>0</v>
      </c>
      <c r="BS38" s="241"/>
      <c r="BT38" s="241">
        <v>810000</v>
      </c>
    </row>
    <row r="39" spans="1:72" s="244" customFormat="1">
      <c r="A39" s="241">
        <f t="shared" si="29"/>
        <v>12</v>
      </c>
      <c r="B39" s="522">
        <v>1902</v>
      </c>
      <c r="C39" s="241" t="s">
        <v>362</v>
      </c>
      <c r="D39" s="242">
        <f>255000</f>
        <v>255000</v>
      </c>
      <c r="E39" s="242">
        <v>255000</v>
      </c>
      <c r="F39" s="242">
        <f t="shared" si="30"/>
        <v>0</v>
      </c>
      <c r="G39" s="242"/>
      <c r="H39" s="242">
        <v>0</v>
      </c>
      <c r="I39" s="242"/>
      <c r="J39" s="242"/>
      <c r="K39" s="242">
        <f t="shared" si="44"/>
        <v>0</v>
      </c>
      <c r="L39" s="242">
        <f t="shared" si="31"/>
        <v>0</v>
      </c>
      <c r="M39" s="242">
        <f t="shared" si="45"/>
        <v>255000</v>
      </c>
      <c r="N39" s="14"/>
      <c r="O39" s="242">
        <f t="shared" si="32"/>
        <v>0</v>
      </c>
      <c r="P39" s="242">
        <f>G39-L39</f>
        <v>0</v>
      </c>
      <c r="Q39" s="242"/>
      <c r="R39" s="483">
        <v>255000</v>
      </c>
      <c r="S39" s="242">
        <f t="shared" si="33"/>
        <v>255000</v>
      </c>
      <c r="T39" s="242">
        <f>P39-M39+S39</f>
        <v>0</v>
      </c>
      <c r="U39" s="242">
        <f>N39-T39</f>
        <v>0</v>
      </c>
      <c r="V39" s="519"/>
      <c r="W39" s="242">
        <f t="shared" si="48"/>
        <v>0</v>
      </c>
      <c r="X39" s="520"/>
      <c r="Y39" s="241"/>
      <c r="Z39" s="242"/>
      <c r="AA39" s="242"/>
      <c r="AB39" s="13"/>
      <c r="AC39" s="242"/>
      <c r="AD39" s="242"/>
      <c r="AE39" s="13"/>
      <c r="AF39" s="242"/>
      <c r="AG39" s="242"/>
      <c r="AH39" s="13"/>
      <c r="AI39" s="242"/>
      <c r="AJ39" s="242"/>
      <c r="AK39" s="241">
        <f t="shared" si="35"/>
        <v>0</v>
      </c>
      <c r="AL39" s="242"/>
      <c r="AM39" s="242"/>
      <c r="AN39" s="241">
        <f t="shared" si="36"/>
        <v>0</v>
      </c>
      <c r="AO39" s="242"/>
      <c r="AP39" s="242"/>
      <c r="AQ39" s="241">
        <f t="shared" si="37"/>
        <v>0</v>
      </c>
      <c r="AR39" s="242"/>
      <c r="AS39" s="242"/>
      <c r="AT39" s="241">
        <f t="shared" si="38"/>
        <v>0</v>
      </c>
      <c r="AU39" s="242"/>
      <c r="AV39" s="242"/>
      <c r="AW39" s="241">
        <f t="shared" si="39"/>
        <v>0</v>
      </c>
      <c r="AX39" s="242"/>
      <c r="AY39" s="242"/>
      <c r="AZ39" s="241">
        <f t="shared" si="40"/>
        <v>0</v>
      </c>
      <c r="BA39" s="242"/>
      <c r="BB39" s="242"/>
      <c r="BC39" s="241">
        <f t="shared" si="41"/>
        <v>0</v>
      </c>
      <c r="BD39" s="242"/>
      <c r="BE39" s="242"/>
      <c r="BF39" s="241">
        <f t="shared" si="42"/>
        <v>0</v>
      </c>
      <c r="BG39" s="242">
        <f t="shared" si="43"/>
        <v>0</v>
      </c>
      <c r="BH39" s="242"/>
      <c r="BI39" s="242">
        <f t="shared" si="49"/>
        <v>0</v>
      </c>
      <c r="BJ39" s="242">
        <f t="shared" si="50"/>
        <v>0</v>
      </c>
      <c r="BK39" s="241"/>
      <c r="BL39" s="242">
        <f t="shared" si="51"/>
        <v>0</v>
      </c>
      <c r="BM39" s="241"/>
      <c r="BN39" s="241"/>
      <c r="BO39" s="242">
        <f t="shared" si="52"/>
        <v>0</v>
      </c>
      <c r="BP39" s="241"/>
      <c r="BQ39" s="241"/>
      <c r="BR39" s="242">
        <f t="shared" si="53"/>
        <v>0</v>
      </c>
      <c r="BS39" s="241"/>
      <c r="BT39" s="241">
        <v>810000</v>
      </c>
    </row>
    <row r="40" spans="1:72" s="244" customFormat="1">
      <c r="A40" s="241">
        <f t="shared" si="29"/>
        <v>13</v>
      </c>
      <c r="B40" s="522">
        <v>1890</v>
      </c>
      <c r="C40" s="241" t="s">
        <v>363</v>
      </c>
      <c r="D40" s="242">
        <v>600000</v>
      </c>
      <c r="E40" s="242">
        <v>600000</v>
      </c>
      <c r="F40" s="242">
        <f t="shared" si="30"/>
        <v>0</v>
      </c>
      <c r="G40" s="14">
        <v>600000</v>
      </c>
      <c r="H40" s="242">
        <v>171466</v>
      </c>
      <c r="I40" s="242">
        <v>385213</v>
      </c>
      <c r="J40" s="242"/>
      <c r="K40" s="242">
        <f t="shared" si="44"/>
        <v>385213</v>
      </c>
      <c r="L40" s="242">
        <f t="shared" si="31"/>
        <v>556679</v>
      </c>
      <c r="M40" s="242">
        <f t="shared" si="45"/>
        <v>43321</v>
      </c>
      <c r="N40" s="242"/>
      <c r="O40" s="242">
        <f t="shared" si="32"/>
        <v>0</v>
      </c>
      <c r="P40" s="242">
        <f t="shared" si="46"/>
        <v>43321</v>
      </c>
      <c r="Q40" s="242"/>
      <c r="R40" s="242"/>
      <c r="S40" s="242"/>
      <c r="T40" s="242"/>
      <c r="U40" s="242">
        <f t="shared" si="47"/>
        <v>0</v>
      </c>
      <c r="V40" s="519"/>
      <c r="W40" s="242">
        <f t="shared" si="48"/>
        <v>0</v>
      </c>
      <c r="X40" s="520"/>
      <c r="Y40" s="241"/>
      <c r="Z40" s="241"/>
      <c r="AA40" s="241"/>
      <c r="AB40" s="13"/>
      <c r="AC40" s="241"/>
      <c r="AD40" s="241"/>
      <c r="AE40" s="13"/>
      <c r="AF40" s="241"/>
      <c r="AG40" s="241"/>
      <c r="AH40" s="13"/>
      <c r="AI40" s="241"/>
      <c r="AJ40" s="241"/>
      <c r="AK40" s="241">
        <f t="shared" si="35"/>
        <v>0</v>
      </c>
      <c r="AL40" s="241"/>
      <c r="AM40" s="241"/>
      <c r="AN40" s="241">
        <f t="shared" si="36"/>
        <v>0</v>
      </c>
      <c r="AO40" s="241"/>
      <c r="AP40" s="241"/>
      <c r="AQ40" s="241">
        <f t="shared" si="37"/>
        <v>0</v>
      </c>
      <c r="AR40" s="241"/>
      <c r="AS40" s="241"/>
      <c r="AT40" s="241">
        <f t="shared" si="38"/>
        <v>0</v>
      </c>
      <c r="AU40" s="241"/>
      <c r="AV40" s="241"/>
      <c r="AW40" s="241">
        <f t="shared" si="39"/>
        <v>0</v>
      </c>
      <c r="AX40" s="241"/>
      <c r="AY40" s="241"/>
      <c r="AZ40" s="241">
        <f t="shared" si="40"/>
        <v>0</v>
      </c>
      <c r="BA40" s="241"/>
      <c r="BB40" s="241"/>
      <c r="BC40" s="241">
        <f t="shared" si="41"/>
        <v>0</v>
      </c>
      <c r="BD40" s="241"/>
      <c r="BE40" s="241"/>
      <c r="BF40" s="241">
        <f t="shared" si="42"/>
        <v>0</v>
      </c>
      <c r="BG40" s="242">
        <f t="shared" si="43"/>
        <v>0</v>
      </c>
      <c r="BH40" s="242"/>
      <c r="BI40" s="242">
        <f t="shared" si="49"/>
        <v>0</v>
      </c>
      <c r="BJ40" s="242">
        <f t="shared" si="50"/>
        <v>0</v>
      </c>
      <c r="BK40" s="241"/>
      <c r="BL40" s="242">
        <f t="shared" si="51"/>
        <v>0</v>
      </c>
      <c r="BM40" s="241"/>
      <c r="BN40" s="241"/>
      <c r="BO40" s="242">
        <f t="shared" si="52"/>
        <v>0</v>
      </c>
      <c r="BP40" s="241"/>
      <c r="BQ40" s="241"/>
      <c r="BR40" s="242">
        <f t="shared" si="53"/>
        <v>0</v>
      </c>
      <c r="BS40" s="241"/>
      <c r="BT40" s="241">
        <v>829000</v>
      </c>
    </row>
    <row r="41" spans="1:72" s="244" customFormat="1">
      <c r="A41" s="241">
        <f t="shared" si="29"/>
        <v>14</v>
      </c>
      <c r="B41" s="394">
        <v>1875</v>
      </c>
      <c r="C41" s="394" t="s">
        <v>1179</v>
      </c>
      <c r="D41" s="14">
        <v>150000</v>
      </c>
      <c r="E41" s="242">
        <v>150000</v>
      </c>
      <c r="F41" s="242">
        <f t="shared" si="30"/>
        <v>0</v>
      </c>
      <c r="G41" s="14">
        <v>150000</v>
      </c>
      <c r="H41" s="242">
        <v>138528</v>
      </c>
      <c r="I41" s="242">
        <v>11003</v>
      </c>
      <c r="J41" s="242"/>
      <c r="K41" s="242">
        <f t="shared" si="44"/>
        <v>11003</v>
      </c>
      <c r="L41" s="242">
        <f t="shared" si="31"/>
        <v>149531</v>
      </c>
      <c r="M41" s="242">
        <f t="shared" si="45"/>
        <v>469</v>
      </c>
      <c r="N41" s="14"/>
      <c r="O41" s="242">
        <f t="shared" si="32"/>
        <v>0</v>
      </c>
      <c r="P41" s="242">
        <f t="shared" si="46"/>
        <v>469</v>
      </c>
      <c r="Q41" s="242"/>
      <c r="R41" s="242"/>
      <c r="S41" s="242"/>
      <c r="T41" s="242"/>
      <c r="U41" s="242">
        <f t="shared" si="47"/>
        <v>0</v>
      </c>
      <c r="V41" s="519"/>
      <c r="W41" s="242">
        <f t="shared" si="48"/>
        <v>0</v>
      </c>
      <c r="X41" s="520"/>
      <c r="Y41" s="241"/>
      <c r="Z41" s="242"/>
      <c r="AA41" s="242"/>
      <c r="AB41" s="13"/>
      <c r="AC41" s="242"/>
      <c r="AD41" s="242"/>
      <c r="AE41" s="13"/>
      <c r="AF41" s="242"/>
      <c r="AG41" s="242"/>
      <c r="AH41" s="13"/>
      <c r="AI41" s="242"/>
      <c r="AJ41" s="242"/>
      <c r="AK41" s="241">
        <f t="shared" si="35"/>
        <v>0</v>
      </c>
      <c r="AL41" s="242"/>
      <c r="AM41" s="242"/>
      <c r="AN41" s="241">
        <f t="shared" si="36"/>
        <v>0</v>
      </c>
      <c r="AO41" s="242"/>
      <c r="AP41" s="242"/>
      <c r="AQ41" s="241">
        <f t="shared" si="37"/>
        <v>0</v>
      </c>
      <c r="AR41" s="242"/>
      <c r="AS41" s="242"/>
      <c r="AT41" s="241">
        <f t="shared" si="38"/>
        <v>0</v>
      </c>
      <c r="AU41" s="242"/>
      <c r="AV41" s="242"/>
      <c r="AW41" s="241">
        <f t="shared" si="39"/>
        <v>0</v>
      </c>
      <c r="AX41" s="242"/>
      <c r="AY41" s="242"/>
      <c r="AZ41" s="241">
        <f t="shared" si="40"/>
        <v>0</v>
      </c>
      <c r="BA41" s="242"/>
      <c r="BB41" s="242"/>
      <c r="BC41" s="241">
        <f t="shared" si="41"/>
        <v>0</v>
      </c>
      <c r="BD41" s="242"/>
      <c r="BE41" s="242"/>
      <c r="BF41" s="241">
        <f t="shared" si="42"/>
        <v>0</v>
      </c>
      <c r="BG41" s="242">
        <f t="shared" si="43"/>
        <v>0</v>
      </c>
      <c r="BH41" s="242"/>
      <c r="BI41" s="242">
        <f t="shared" si="49"/>
        <v>0</v>
      </c>
      <c r="BJ41" s="242">
        <f t="shared" si="50"/>
        <v>0</v>
      </c>
      <c r="BK41" s="241"/>
      <c r="BL41" s="242">
        <f t="shared" si="51"/>
        <v>0</v>
      </c>
      <c r="BM41" s="241"/>
      <c r="BN41" s="241"/>
      <c r="BO41" s="242">
        <f t="shared" si="52"/>
        <v>0</v>
      </c>
      <c r="BP41" s="241"/>
      <c r="BQ41" s="241"/>
      <c r="BR41" s="242">
        <f t="shared" si="53"/>
        <v>0</v>
      </c>
      <c r="BS41" s="241"/>
      <c r="BT41" s="241">
        <v>829000</v>
      </c>
    </row>
    <row r="42" spans="1:72" s="244" customFormat="1">
      <c r="A42" s="241">
        <f t="shared" si="29"/>
        <v>15</v>
      </c>
      <c r="B42" s="522">
        <v>1938</v>
      </c>
      <c r="C42" s="241" t="s">
        <v>410</v>
      </c>
      <c r="D42" s="14">
        <v>260000</v>
      </c>
      <c r="E42" s="242">
        <v>260000</v>
      </c>
      <c r="F42" s="242">
        <f t="shared" si="30"/>
        <v>0</v>
      </c>
      <c r="G42" s="14"/>
      <c r="H42" s="242"/>
      <c r="I42" s="242"/>
      <c r="J42" s="242"/>
      <c r="K42" s="242">
        <f t="shared" si="44"/>
        <v>0</v>
      </c>
      <c r="L42" s="242">
        <f t="shared" si="31"/>
        <v>0</v>
      </c>
      <c r="M42" s="242">
        <f t="shared" si="45"/>
        <v>260000</v>
      </c>
      <c r="N42" s="14"/>
      <c r="O42" s="242">
        <f t="shared" si="32"/>
        <v>0</v>
      </c>
      <c r="P42" s="242">
        <f t="shared" si="46"/>
        <v>0</v>
      </c>
      <c r="Q42" s="242"/>
      <c r="R42" s="483">
        <v>260000</v>
      </c>
      <c r="S42" s="242">
        <f t="shared" si="33"/>
        <v>260000</v>
      </c>
      <c r="T42" s="242"/>
      <c r="U42" s="242">
        <f t="shared" si="47"/>
        <v>0</v>
      </c>
      <c r="V42" s="519"/>
      <c r="W42" s="242">
        <f t="shared" si="48"/>
        <v>0</v>
      </c>
      <c r="X42" s="520"/>
      <c r="Y42" s="241"/>
      <c r="Z42" s="242"/>
      <c r="AA42" s="242"/>
      <c r="AB42" s="13"/>
      <c r="AC42" s="242"/>
      <c r="AD42" s="242"/>
      <c r="AE42" s="13"/>
      <c r="AF42" s="242"/>
      <c r="AG42" s="242"/>
      <c r="AH42" s="13"/>
      <c r="AI42" s="242"/>
      <c r="AJ42" s="242"/>
      <c r="AK42" s="241">
        <f t="shared" si="35"/>
        <v>0</v>
      </c>
      <c r="AL42" s="242"/>
      <c r="AM42" s="242"/>
      <c r="AN42" s="241">
        <f t="shared" si="36"/>
        <v>0</v>
      </c>
      <c r="AO42" s="242"/>
      <c r="AP42" s="242"/>
      <c r="AQ42" s="241">
        <f t="shared" si="37"/>
        <v>0</v>
      </c>
      <c r="AR42" s="242"/>
      <c r="AS42" s="242"/>
      <c r="AT42" s="241">
        <f t="shared" si="38"/>
        <v>0</v>
      </c>
      <c r="AU42" s="242"/>
      <c r="AV42" s="242"/>
      <c r="AW42" s="241">
        <f t="shared" si="39"/>
        <v>0</v>
      </c>
      <c r="AX42" s="242"/>
      <c r="AY42" s="242"/>
      <c r="AZ42" s="241">
        <f t="shared" si="40"/>
        <v>0</v>
      </c>
      <c r="BA42" s="242"/>
      <c r="BB42" s="242"/>
      <c r="BC42" s="241">
        <f t="shared" si="41"/>
        <v>0</v>
      </c>
      <c r="BD42" s="242"/>
      <c r="BE42" s="242"/>
      <c r="BF42" s="241">
        <f t="shared" si="42"/>
        <v>0</v>
      </c>
      <c r="BG42" s="242">
        <f t="shared" si="43"/>
        <v>0</v>
      </c>
      <c r="BH42" s="242"/>
      <c r="BI42" s="242">
        <f t="shared" si="49"/>
        <v>0</v>
      </c>
      <c r="BJ42" s="242">
        <f t="shared" si="50"/>
        <v>0</v>
      </c>
      <c r="BK42" s="241"/>
      <c r="BL42" s="242">
        <f t="shared" si="51"/>
        <v>0</v>
      </c>
      <c r="BM42" s="241"/>
      <c r="BN42" s="241"/>
      <c r="BO42" s="242">
        <f t="shared" si="52"/>
        <v>0</v>
      </c>
      <c r="BP42" s="241"/>
      <c r="BQ42" s="241"/>
      <c r="BR42" s="242">
        <f t="shared" si="53"/>
        <v>0</v>
      </c>
      <c r="BS42" s="241"/>
      <c r="BT42" s="241">
        <v>829000</v>
      </c>
    </row>
    <row r="43" spans="1:72" s="244" customFormat="1" ht="15.75">
      <c r="A43" s="241">
        <f>A42</f>
        <v>15</v>
      </c>
      <c r="B43" s="248" t="s">
        <v>82</v>
      </c>
      <c r="C43" s="248" t="s">
        <v>305</v>
      </c>
      <c r="D43" s="249">
        <f t="shared" ref="D43:AI43" si="54">SUM(D28:D42)</f>
        <v>9269000</v>
      </c>
      <c r="E43" s="249">
        <f t="shared" si="54"/>
        <v>8769000</v>
      </c>
      <c r="F43" s="249">
        <f t="shared" si="54"/>
        <v>500000</v>
      </c>
      <c r="G43" s="249">
        <f t="shared" si="54"/>
        <v>6042000</v>
      </c>
      <c r="H43" s="249">
        <f t="shared" si="54"/>
        <v>3700090.35</v>
      </c>
      <c r="I43" s="249">
        <f t="shared" si="54"/>
        <v>1468585.19</v>
      </c>
      <c r="J43" s="249">
        <f t="shared" si="54"/>
        <v>0</v>
      </c>
      <c r="K43" s="249">
        <f t="shared" si="54"/>
        <v>1468585.19</v>
      </c>
      <c r="L43" s="249">
        <f t="shared" si="54"/>
        <v>5168675.5399999991</v>
      </c>
      <c r="M43" s="249">
        <f t="shared" si="54"/>
        <v>2163324.4600000004</v>
      </c>
      <c r="N43" s="249">
        <f t="shared" si="54"/>
        <v>1260000</v>
      </c>
      <c r="O43" s="249">
        <f t="shared" si="54"/>
        <v>677000</v>
      </c>
      <c r="P43" s="249">
        <f t="shared" si="54"/>
        <v>873324.46000000031</v>
      </c>
      <c r="Q43" s="249">
        <f t="shared" si="54"/>
        <v>310000</v>
      </c>
      <c r="R43" s="249">
        <f t="shared" si="54"/>
        <v>980000</v>
      </c>
      <c r="S43" s="249">
        <f t="shared" si="54"/>
        <v>1290000</v>
      </c>
      <c r="T43" s="249">
        <f t="shared" si="54"/>
        <v>0</v>
      </c>
      <c r="U43" s="249">
        <f t="shared" si="54"/>
        <v>1260000</v>
      </c>
      <c r="V43" s="517">
        <f t="shared" si="54"/>
        <v>0</v>
      </c>
      <c r="W43" s="249">
        <f t="shared" si="54"/>
        <v>1260000</v>
      </c>
      <c r="X43" s="249">
        <f t="shared" si="54"/>
        <v>0</v>
      </c>
      <c r="Y43" s="249">
        <f t="shared" si="54"/>
        <v>0</v>
      </c>
      <c r="Z43" s="249">
        <f t="shared" si="54"/>
        <v>0</v>
      </c>
      <c r="AA43" s="249">
        <f t="shared" si="54"/>
        <v>0</v>
      </c>
      <c r="AB43" s="249">
        <f t="shared" si="54"/>
        <v>0</v>
      </c>
      <c r="AC43" s="249">
        <f t="shared" si="54"/>
        <v>0</v>
      </c>
      <c r="AD43" s="249">
        <f t="shared" si="54"/>
        <v>0</v>
      </c>
      <c r="AE43" s="249">
        <f t="shared" si="54"/>
        <v>0</v>
      </c>
      <c r="AF43" s="249">
        <f t="shared" si="54"/>
        <v>0</v>
      </c>
      <c r="AG43" s="249">
        <f t="shared" si="54"/>
        <v>0</v>
      </c>
      <c r="AH43" s="249">
        <f t="shared" si="54"/>
        <v>0</v>
      </c>
      <c r="AI43" s="249">
        <f t="shared" si="54"/>
        <v>300000</v>
      </c>
      <c r="AJ43" s="249">
        <f t="shared" ref="AJ43:BS43" si="55">SUM(AJ28:AJ42)</f>
        <v>0</v>
      </c>
      <c r="AK43" s="249">
        <f t="shared" si="55"/>
        <v>300000</v>
      </c>
      <c r="AL43" s="249">
        <f t="shared" si="55"/>
        <v>200000</v>
      </c>
      <c r="AM43" s="249">
        <f t="shared" si="55"/>
        <v>0</v>
      </c>
      <c r="AN43" s="249">
        <f t="shared" si="55"/>
        <v>200000</v>
      </c>
      <c r="AO43" s="249">
        <f t="shared" si="55"/>
        <v>0</v>
      </c>
      <c r="AP43" s="249">
        <f t="shared" si="55"/>
        <v>0</v>
      </c>
      <c r="AQ43" s="249">
        <f t="shared" si="55"/>
        <v>0</v>
      </c>
      <c r="AR43" s="249">
        <f t="shared" si="55"/>
        <v>0</v>
      </c>
      <c r="AS43" s="249">
        <f t="shared" si="55"/>
        <v>0</v>
      </c>
      <c r="AT43" s="249">
        <f t="shared" si="55"/>
        <v>0</v>
      </c>
      <c r="AU43" s="249">
        <f t="shared" si="55"/>
        <v>300000</v>
      </c>
      <c r="AV43" s="249">
        <f t="shared" si="55"/>
        <v>0</v>
      </c>
      <c r="AW43" s="249">
        <f t="shared" si="55"/>
        <v>300000</v>
      </c>
      <c r="AX43" s="249">
        <f t="shared" si="55"/>
        <v>0</v>
      </c>
      <c r="AY43" s="249">
        <f t="shared" si="55"/>
        <v>0</v>
      </c>
      <c r="AZ43" s="249">
        <f t="shared" si="55"/>
        <v>0</v>
      </c>
      <c r="BA43" s="249">
        <f t="shared" si="55"/>
        <v>0</v>
      </c>
      <c r="BB43" s="249">
        <f t="shared" si="55"/>
        <v>0</v>
      </c>
      <c r="BC43" s="249">
        <f t="shared" si="55"/>
        <v>0</v>
      </c>
      <c r="BD43" s="249">
        <f t="shared" si="55"/>
        <v>0</v>
      </c>
      <c r="BE43" s="249">
        <f t="shared" si="55"/>
        <v>0</v>
      </c>
      <c r="BF43" s="249">
        <f t="shared" si="55"/>
        <v>0</v>
      </c>
      <c r="BG43" s="249">
        <f t="shared" si="55"/>
        <v>800000</v>
      </c>
      <c r="BH43" s="249">
        <f t="shared" si="55"/>
        <v>0</v>
      </c>
      <c r="BI43" s="249">
        <f t="shared" si="55"/>
        <v>800000</v>
      </c>
      <c r="BJ43" s="249">
        <f t="shared" si="55"/>
        <v>460000</v>
      </c>
      <c r="BK43" s="249">
        <f t="shared" si="55"/>
        <v>0</v>
      </c>
      <c r="BL43" s="249">
        <f t="shared" ref="BL43:BQ43" si="56">SUM(BL28:BL42)</f>
        <v>800000</v>
      </c>
      <c r="BM43" s="249">
        <f t="shared" si="56"/>
        <v>0</v>
      </c>
      <c r="BN43" s="249">
        <f t="shared" si="56"/>
        <v>0</v>
      </c>
      <c r="BO43" s="249">
        <f t="shared" si="56"/>
        <v>0</v>
      </c>
      <c r="BP43" s="249">
        <f t="shared" si="56"/>
        <v>0</v>
      </c>
      <c r="BQ43" s="249">
        <f t="shared" si="56"/>
        <v>0</v>
      </c>
      <c r="BR43" s="249">
        <f t="shared" si="55"/>
        <v>460000</v>
      </c>
      <c r="BS43" s="249">
        <f t="shared" si="55"/>
        <v>0</v>
      </c>
      <c r="BT43" s="248"/>
    </row>
    <row r="44" spans="1:72" s="244" customFormat="1" ht="15.75">
      <c r="A44" s="241"/>
      <c r="B44" s="248"/>
      <c r="C44" s="248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517"/>
      <c r="W44" s="249"/>
      <c r="X44" s="518"/>
      <c r="Y44" s="249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8"/>
    </row>
    <row r="45" spans="1:72" s="244" customFormat="1" ht="15.75">
      <c r="A45" s="249">
        <f>A43+A25</f>
        <v>33</v>
      </c>
      <c r="B45" s="522"/>
      <c r="C45" s="248" t="s">
        <v>306</v>
      </c>
      <c r="D45" s="249">
        <f t="shared" ref="D45:BS45" si="57">D43+D25</f>
        <v>17405700</v>
      </c>
      <c r="E45" s="249">
        <f t="shared" si="57"/>
        <v>15769000</v>
      </c>
      <c r="F45" s="249">
        <f t="shared" si="57"/>
        <v>1636700</v>
      </c>
      <c r="G45" s="249">
        <f t="shared" si="57"/>
        <v>11873621</v>
      </c>
      <c r="H45" s="249">
        <f t="shared" si="57"/>
        <v>6635514.5299999993</v>
      </c>
      <c r="I45" s="249">
        <f t="shared" si="57"/>
        <v>2607485.11</v>
      </c>
      <c r="J45" s="249">
        <f t="shared" si="57"/>
        <v>74173.58</v>
      </c>
      <c r="K45" s="249">
        <f t="shared" si="57"/>
        <v>2681658.69</v>
      </c>
      <c r="L45" s="249">
        <f t="shared" si="57"/>
        <v>9317173.2199999988</v>
      </c>
      <c r="M45" s="249">
        <f t="shared" si="57"/>
        <v>4666447.7800000012</v>
      </c>
      <c r="N45" s="249">
        <f t="shared" si="57"/>
        <v>2255079</v>
      </c>
      <c r="O45" s="249">
        <f t="shared" si="57"/>
        <v>1167000</v>
      </c>
      <c r="P45" s="249">
        <f t="shared" si="57"/>
        <v>2556447.7800000007</v>
      </c>
      <c r="Q45" s="249">
        <f t="shared" si="57"/>
        <v>460000</v>
      </c>
      <c r="R45" s="249">
        <f t="shared" si="57"/>
        <v>1650000</v>
      </c>
      <c r="S45" s="249">
        <f t="shared" si="57"/>
        <v>2110000</v>
      </c>
      <c r="T45" s="249">
        <f t="shared" si="57"/>
        <v>0</v>
      </c>
      <c r="U45" s="249">
        <f t="shared" si="57"/>
        <v>2255079</v>
      </c>
      <c r="V45" s="249">
        <f t="shared" si="57"/>
        <v>0</v>
      </c>
      <c r="W45" s="249">
        <f t="shared" si="57"/>
        <v>1745000</v>
      </c>
      <c r="X45" s="249">
        <f t="shared" si="57"/>
        <v>0</v>
      </c>
      <c r="Y45" s="249">
        <f t="shared" si="57"/>
        <v>510079</v>
      </c>
      <c r="Z45" s="249">
        <f t="shared" si="57"/>
        <v>0</v>
      </c>
      <c r="AA45" s="249">
        <f t="shared" si="57"/>
        <v>0</v>
      </c>
      <c r="AB45" s="249">
        <f t="shared" si="57"/>
        <v>0</v>
      </c>
      <c r="AC45" s="249">
        <f t="shared" si="57"/>
        <v>0</v>
      </c>
      <c r="AD45" s="249">
        <f t="shared" si="57"/>
        <v>0</v>
      </c>
      <c r="AE45" s="249">
        <f t="shared" si="57"/>
        <v>0</v>
      </c>
      <c r="AF45" s="249">
        <f t="shared" si="57"/>
        <v>0</v>
      </c>
      <c r="AG45" s="249">
        <f t="shared" si="57"/>
        <v>0</v>
      </c>
      <c r="AH45" s="249">
        <f t="shared" si="57"/>
        <v>0</v>
      </c>
      <c r="AI45" s="249">
        <f t="shared" si="57"/>
        <v>300000</v>
      </c>
      <c r="AJ45" s="249">
        <f t="shared" si="57"/>
        <v>0</v>
      </c>
      <c r="AK45" s="249">
        <f t="shared" si="57"/>
        <v>300000</v>
      </c>
      <c r="AL45" s="249">
        <f t="shared" si="57"/>
        <v>200000</v>
      </c>
      <c r="AM45" s="249">
        <f t="shared" si="57"/>
        <v>0</v>
      </c>
      <c r="AN45" s="249">
        <f t="shared" si="57"/>
        <v>200000</v>
      </c>
      <c r="AO45" s="249">
        <f t="shared" si="57"/>
        <v>0</v>
      </c>
      <c r="AP45" s="249">
        <f t="shared" si="57"/>
        <v>0</v>
      </c>
      <c r="AQ45" s="249">
        <f t="shared" si="57"/>
        <v>0</v>
      </c>
      <c r="AR45" s="249">
        <f t="shared" si="57"/>
        <v>141621</v>
      </c>
      <c r="AS45" s="249">
        <f t="shared" si="57"/>
        <v>0</v>
      </c>
      <c r="AT45" s="249">
        <f t="shared" si="57"/>
        <v>141621</v>
      </c>
      <c r="AU45" s="249">
        <f t="shared" si="57"/>
        <v>300000</v>
      </c>
      <c r="AV45" s="249">
        <f t="shared" si="57"/>
        <v>0</v>
      </c>
      <c r="AW45" s="249">
        <f t="shared" si="57"/>
        <v>300000</v>
      </c>
      <c r="AX45" s="249">
        <f t="shared" si="57"/>
        <v>161700</v>
      </c>
      <c r="AY45" s="249">
        <f t="shared" si="57"/>
        <v>0</v>
      </c>
      <c r="AZ45" s="249">
        <f t="shared" si="57"/>
        <v>161700</v>
      </c>
      <c r="BA45" s="249">
        <f t="shared" si="57"/>
        <v>0</v>
      </c>
      <c r="BB45" s="249">
        <f t="shared" si="57"/>
        <v>0</v>
      </c>
      <c r="BC45" s="249">
        <f t="shared" si="57"/>
        <v>0</v>
      </c>
      <c r="BD45" s="249">
        <f t="shared" si="57"/>
        <v>0</v>
      </c>
      <c r="BE45" s="249">
        <f t="shared" si="57"/>
        <v>0</v>
      </c>
      <c r="BF45" s="249">
        <f t="shared" si="57"/>
        <v>0</v>
      </c>
      <c r="BG45" s="249">
        <f t="shared" si="57"/>
        <v>1103321</v>
      </c>
      <c r="BH45" s="249">
        <f t="shared" si="57"/>
        <v>0</v>
      </c>
      <c r="BI45" s="249">
        <f t="shared" si="57"/>
        <v>1103321</v>
      </c>
      <c r="BJ45" s="249">
        <f t="shared" si="57"/>
        <v>1151758</v>
      </c>
      <c r="BK45" s="249">
        <f t="shared" si="57"/>
        <v>0</v>
      </c>
      <c r="BL45" s="249">
        <f t="shared" ref="BL45:BQ45" si="58">BL43+BL25</f>
        <v>800000</v>
      </c>
      <c r="BM45" s="249">
        <f t="shared" si="58"/>
        <v>303321</v>
      </c>
      <c r="BN45" s="249">
        <f t="shared" si="58"/>
        <v>0</v>
      </c>
      <c r="BO45" s="249">
        <f t="shared" si="58"/>
        <v>0</v>
      </c>
      <c r="BP45" s="249">
        <f t="shared" si="58"/>
        <v>0</v>
      </c>
      <c r="BQ45" s="249">
        <f t="shared" si="58"/>
        <v>0</v>
      </c>
      <c r="BR45" s="249">
        <f t="shared" si="57"/>
        <v>945000</v>
      </c>
      <c r="BS45" s="249">
        <f t="shared" si="57"/>
        <v>206758</v>
      </c>
      <c r="BT45" s="522"/>
    </row>
    <row r="46" spans="1:72" s="244" customFormat="1" ht="15.75">
      <c r="A46" s="249"/>
      <c r="B46" s="522"/>
      <c r="C46" s="248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517"/>
      <c r="W46" s="249"/>
      <c r="X46" s="518"/>
      <c r="Y46" s="249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491"/>
    </row>
    <row r="47" spans="1:72" s="244" customFormat="1" hidden="1">
      <c r="A47" s="490"/>
      <c r="B47" s="239"/>
      <c r="C47" s="239"/>
      <c r="D47" s="251"/>
      <c r="E47" s="251"/>
      <c r="F47" s="251"/>
      <c r="G47" s="251"/>
      <c r="H47" s="251"/>
      <c r="I47" s="251"/>
      <c r="J47" s="251"/>
      <c r="K47" s="251"/>
      <c r="L47" s="523">
        <f>K45+H45</f>
        <v>9317173.2199999988</v>
      </c>
      <c r="M47" s="523">
        <f>G45-L45+S45</f>
        <v>4666447.7800000012</v>
      </c>
      <c r="N47" s="251"/>
      <c r="O47" s="251"/>
      <c r="P47" s="523">
        <f>G45-L45</f>
        <v>2556447.7800000012</v>
      </c>
      <c r="Q47" s="251"/>
      <c r="R47" s="251"/>
      <c r="S47" s="251"/>
      <c r="T47" s="251"/>
      <c r="U47" s="239"/>
      <c r="V47" s="239"/>
      <c r="W47" s="239"/>
      <c r="X47" s="239"/>
      <c r="Y47" s="239"/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239"/>
    </row>
    <row r="48" spans="1:72" s="244" customFormat="1">
      <c r="A48" s="490"/>
      <c r="B48" s="239"/>
      <c r="C48" s="239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39"/>
      <c r="V48" s="239"/>
      <c r="W48" s="239"/>
      <c r="X48" s="239"/>
      <c r="Y48" s="239"/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239"/>
    </row>
    <row r="49" spans="1:72" s="244" customFormat="1" hidden="1">
      <c r="A49" s="490"/>
      <c r="B49" s="239"/>
      <c r="C49" s="239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 t="s">
        <v>683</v>
      </c>
      <c r="P49" s="244" t="s">
        <v>364</v>
      </c>
      <c r="Q49" s="215">
        <f>'[2]חינוך תנוס '!$AY$44</f>
        <v>460000</v>
      </c>
      <c r="R49" s="251"/>
      <c r="S49" s="251"/>
      <c r="T49" s="251"/>
      <c r="U49" s="239"/>
      <c r="V49" s="239"/>
      <c r="W49" s="239"/>
      <c r="X49" s="239"/>
      <c r="Y49" s="239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239"/>
    </row>
    <row r="50" spans="1:72" s="244" customFormat="1" hidden="1">
      <c r="A50" s="490"/>
      <c r="B50" s="239"/>
      <c r="C50" s="239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R50" s="215">
        <v>165000</v>
      </c>
      <c r="S50" s="244" t="s">
        <v>183</v>
      </c>
      <c r="T50" s="251"/>
      <c r="U50" s="239"/>
      <c r="V50" s="239"/>
      <c r="W50" s="239"/>
      <c r="X50" s="239"/>
      <c r="Y50" s="239"/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239"/>
    </row>
    <row r="51" spans="1:72" s="244" customFormat="1" hidden="1">
      <c r="A51" s="490"/>
      <c r="B51" s="239"/>
      <c r="C51" s="239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392" t="s">
        <v>395</v>
      </c>
      <c r="Q51" s="524">
        <f>'[5]חינוך תנוס '!$AZ$43</f>
        <v>310000</v>
      </c>
      <c r="R51" s="215">
        <v>300000</v>
      </c>
      <c r="S51" s="244" t="s">
        <v>184</v>
      </c>
      <c r="T51" s="251"/>
      <c r="U51" s="239"/>
      <c r="V51" s="239"/>
      <c r="W51" s="239"/>
      <c r="X51" s="239"/>
      <c r="Y51" s="239"/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  <c r="BT51" s="239"/>
    </row>
    <row r="52" spans="1:72" s="244" customFormat="1" hidden="1">
      <c r="A52" s="490"/>
      <c r="B52" s="239"/>
      <c r="C52" s="239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392" t="s">
        <v>396</v>
      </c>
      <c r="Q52" s="524">
        <f>'[7]חינוך תנוס '!$BC$43</f>
        <v>150000</v>
      </c>
      <c r="S52" s="251"/>
      <c r="T52" s="251"/>
      <c r="U52" s="239"/>
      <c r="V52" s="239"/>
      <c r="W52" s="239"/>
      <c r="X52" s="239"/>
      <c r="Y52" s="239"/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  <c r="BT52" s="239"/>
    </row>
    <row r="53" spans="1:72" s="244" customFormat="1" hidden="1">
      <c r="A53" s="490"/>
      <c r="B53" s="239"/>
      <c r="C53" s="239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Q53" s="524">
        <f>SUM(Q51:Q52)</f>
        <v>460000</v>
      </c>
      <c r="S53" s="251"/>
      <c r="T53" s="251"/>
      <c r="U53" s="239"/>
      <c r="V53" s="239"/>
      <c r="W53" s="239"/>
      <c r="X53" s="239"/>
      <c r="Y53" s="239"/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  <c r="BT53" s="239"/>
    </row>
    <row r="54" spans="1:72" s="244" customFormat="1" hidden="1">
      <c r="A54" s="490"/>
      <c r="B54" s="239"/>
      <c r="C54" s="239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 t="s">
        <v>365</v>
      </c>
      <c r="P54" s="244" t="s">
        <v>302</v>
      </c>
      <c r="Q54" s="251"/>
      <c r="R54" s="251">
        <f>'[2]ריכוז תקציבים מעבר לתוכנית 31.8'!$AD$115</f>
        <v>670000</v>
      </c>
      <c r="S54" s="251"/>
      <c r="T54" s="251"/>
      <c r="U54" s="239"/>
      <c r="V54" s="239"/>
      <c r="W54" s="239"/>
      <c r="X54" s="239"/>
      <c r="Y54" s="239"/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  <c r="BT54" s="239"/>
    </row>
    <row r="55" spans="1:72" hidden="1">
      <c r="P55" s="244" t="s">
        <v>304</v>
      </c>
      <c r="R55" s="251">
        <f>'[2]ריכוז תקציבים מעבר לתוכנית 31.8'!$AD$126</f>
        <v>980000</v>
      </c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1:72" hidden="1">
      <c r="P56" s="244"/>
      <c r="R56" s="215">
        <f>SUM(R54:R55)</f>
        <v>1650000</v>
      </c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1:72" hidden="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1:72" hidden="1">
      <c r="O58" s="251" t="s">
        <v>302</v>
      </c>
      <c r="P58" s="251" t="s">
        <v>365</v>
      </c>
      <c r="Q58" s="251" t="s">
        <v>691</v>
      </c>
      <c r="R58" s="525">
        <v>670000</v>
      </c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1:72" hidden="1">
      <c r="O59" s="251" t="s">
        <v>762</v>
      </c>
      <c r="P59" s="251" t="s">
        <v>365</v>
      </c>
      <c r="Q59" s="251" t="s">
        <v>691</v>
      </c>
      <c r="R59" s="525">
        <v>980000</v>
      </c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1:72" hidden="1">
      <c r="R60" s="251">
        <f>SUM(R58:R59)</f>
        <v>1650000</v>
      </c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1:72" hidden="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1:72" hidden="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1:72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1:72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U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2" ySplit="6" topLeftCell="C43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5.7109375" style="239" customWidth="1"/>
    <col min="4" max="4" width="11.5703125" style="251" hidden="1" customWidth="1"/>
    <col min="5" max="5" width="11.140625" style="251" hidden="1" customWidth="1"/>
    <col min="6" max="6" width="10.5703125" style="251" hidden="1" customWidth="1"/>
    <col min="7" max="7" width="11.140625" style="251" hidden="1" customWidth="1"/>
    <col min="8" max="10" width="12.7109375" style="251" hidden="1" customWidth="1"/>
    <col min="11" max="11" width="11.28515625" style="251" hidden="1" customWidth="1"/>
    <col min="12" max="12" width="11.140625" style="251" hidden="1" customWidth="1"/>
    <col min="13" max="13" width="8.85546875" style="251" hidden="1" customWidth="1"/>
    <col min="14" max="14" width="10.42578125" style="251" hidden="1" customWidth="1"/>
    <col min="15" max="15" width="10.7109375" style="251" hidden="1" customWidth="1"/>
    <col min="16" max="17" width="11.140625" style="251" hidden="1" customWidth="1"/>
    <col min="18" max="19" width="12" style="251" hidden="1" customWidth="1"/>
    <col min="20" max="20" width="9" style="251" customWidth="1"/>
    <col min="21" max="21" width="10" style="29" customWidth="1"/>
    <col min="22" max="22" width="10.28515625" style="239" bestFit="1" customWidth="1"/>
    <col min="23" max="23" width="9.140625" style="239" customWidth="1"/>
    <col min="24" max="24" width="5.28515625" style="239" hidden="1" customWidth="1"/>
    <col min="25" max="25" width="7.85546875" style="239" customWidth="1"/>
    <col min="26" max="60" width="10" style="239" hidden="1" customWidth="1"/>
    <col min="61" max="61" width="11.7109375" style="239" customWidth="1"/>
    <col min="62" max="62" width="10" style="239" customWidth="1"/>
    <col min="63" max="63" width="11" style="239" customWidth="1"/>
    <col min="64" max="64" width="13.5703125" style="239" customWidth="1"/>
    <col min="65" max="65" width="11.85546875" style="239" customWidth="1"/>
    <col min="66" max="70" width="10" style="239" hidden="1" customWidth="1"/>
    <col min="71" max="71" width="2.7109375" style="239" hidden="1" customWidth="1"/>
    <col min="72" max="72" width="1.140625" style="239" hidden="1" customWidth="1"/>
    <col min="73" max="16384" width="9.140625" style="239"/>
  </cols>
  <sheetData>
    <row r="1" spans="1:72" ht="18.75">
      <c r="A1" s="643" t="s">
        <v>947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645"/>
      <c r="BO1" s="645"/>
      <c r="BP1" s="645"/>
      <c r="BQ1" s="388"/>
      <c r="BR1" s="388"/>
      <c r="BS1" s="388"/>
    </row>
    <row r="2" spans="1:72" ht="18.7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T3" s="838" t="s">
        <v>191</v>
      </c>
      <c r="U3" s="839"/>
      <c r="V3" s="839"/>
      <c r="W3" s="839"/>
      <c r="X3" s="839"/>
      <c r="Y3" s="840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896</v>
      </c>
      <c r="BH3" s="818"/>
      <c r="BI3" s="819"/>
      <c r="BJ3" s="618"/>
      <c r="BK3" s="621" t="s">
        <v>1092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2" s="240" customFormat="1" ht="86.25" customHeight="1">
      <c r="A4" s="18" t="s">
        <v>659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 t="s">
        <v>6</v>
      </c>
      <c r="H4" s="18" t="s">
        <v>7</v>
      </c>
      <c r="I4" s="18" t="s">
        <v>8</v>
      </c>
      <c r="J4" s="18" t="s">
        <v>9</v>
      </c>
      <c r="K4" s="18" t="s">
        <v>10</v>
      </c>
      <c r="L4" s="18" t="s">
        <v>11</v>
      </c>
      <c r="M4" s="12" t="s">
        <v>637</v>
      </c>
      <c r="N4" s="18" t="s">
        <v>638</v>
      </c>
      <c r="O4" s="18" t="s">
        <v>639</v>
      </c>
      <c r="P4" s="18" t="s">
        <v>12</v>
      </c>
      <c r="Q4" s="18" t="s">
        <v>640</v>
      </c>
      <c r="R4" s="18" t="s">
        <v>641</v>
      </c>
      <c r="S4" s="18" t="s">
        <v>642</v>
      </c>
      <c r="T4" s="18" t="s">
        <v>643</v>
      </c>
      <c r="U4" s="36" t="s">
        <v>644</v>
      </c>
      <c r="V4" s="18" t="s">
        <v>13</v>
      </c>
      <c r="W4" s="18" t="s">
        <v>14</v>
      </c>
      <c r="X4" s="18" t="s">
        <v>15</v>
      </c>
      <c r="Y4" s="18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514" t="s">
        <v>16</v>
      </c>
    </row>
    <row r="5" spans="1:72" s="244" customFormat="1">
      <c r="A5" s="243"/>
      <c r="B5" s="243"/>
      <c r="C5" s="243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26"/>
      <c r="V5" s="471"/>
      <c r="W5" s="471"/>
      <c r="X5" s="471"/>
      <c r="Y5" s="243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526"/>
    </row>
    <row r="6" spans="1:72" s="244" customFormat="1" ht="15.75">
      <c r="A6" s="241"/>
      <c r="B6" s="241"/>
      <c r="C6" s="248" t="s">
        <v>185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14"/>
      <c r="V6" s="242"/>
      <c r="W6" s="242"/>
      <c r="X6" s="242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527"/>
    </row>
    <row r="7" spans="1:72" s="244" customFormat="1">
      <c r="A7" s="241">
        <v>1</v>
      </c>
      <c r="B7" s="241">
        <v>1165</v>
      </c>
      <c r="C7" s="241" t="s">
        <v>187</v>
      </c>
      <c r="D7" s="242">
        <v>14550000</v>
      </c>
      <c r="E7" s="242">
        <v>11650000</v>
      </c>
      <c r="F7" s="242">
        <f t="shared" ref="F7:F27" si="0">D7-E7</f>
        <v>2900000</v>
      </c>
      <c r="G7" s="242">
        <v>10150000</v>
      </c>
      <c r="H7" s="242">
        <v>9402736.0800000001</v>
      </c>
      <c r="I7" s="242">
        <v>746481.07</v>
      </c>
      <c r="J7" s="242"/>
      <c r="K7" s="242">
        <f>SUM(I7:J7)</f>
        <v>746481.07</v>
      </c>
      <c r="L7" s="242">
        <f t="shared" ref="L7:L27" si="1">H7+K7</f>
        <v>10149217.15</v>
      </c>
      <c r="M7" s="242">
        <f>P7+S7</f>
        <v>782.84999999962747</v>
      </c>
      <c r="N7" s="242">
        <f>2900000-400000-1400000-200000</f>
        <v>900000</v>
      </c>
      <c r="O7" s="242">
        <f t="shared" ref="O7:O27" si="2">D7-L7-M7-N7</f>
        <v>3500000</v>
      </c>
      <c r="P7" s="242">
        <f t="shared" ref="P7:P27" si="3">G7-L7</f>
        <v>782.84999999962747</v>
      </c>
      <c r="Q7" s="242"/>
      <c r="R7" s="242"/>
      <c r="S7" s="242">
        <f t="shared" ref="S7:S27" si="4">SUM(Q7:R7)</f>
        <v>0</v>
      </c>
      <c r="T7" s="242">
        <f t="shared" ref="T7:T27" si="5">P7-M7+S7</f>
        <v>0</v>
      </c>
      <c r="U7" s="14">
        <f t="shared" ref="U7:U27" si="6">N7-T7</f>
        <v>900000</v>
      </c>
      <c r="V7" s="242">
        <v>800000</v>
      </c>
      <c r="W7" s="242">
        <f>U7-V7-X7-Y7</f>
        <v>100000</v>
      </c>
      <c r="X7" s="242"/>
      <c r="Y7" s="241"/>
      <c r="Z7" s="241"/>
      <c r="AA7" s="241"/>
      <c r="AB7" s="241">
        <f>SUM(Z7:AA7)</f>
        <v>0</v>
      </c>
      <c r="AC7" s="242">
        <v>700000</v>
      </c>
      <c r="AD7" s="242"/>
      <c r="AE7" s="242">
        <f>SUM(AC7:AD7)</f>
        <v>700000</v>
      </c>
      <c r="AF7" s="242"/>
      <c r="AG7" s="242"/>
      <c r="AH7" s="242">
        <f>SUM(AF7:AG7)</f>
        <v>0</v>
      </c>
      <c r="AI7" s="242">
        <v>100000</v>
      </c>
      <c r="AJ7" s="242"/>
      <c r="AK7" s="242">
        <f>SUM(AI7:AJ7)</f>
        <v>100000</v>
      </c>
      <c r="AL7" s="242">
        <v>100000</v>
      </c>
      <c r="AM7" s="242"/>
      <c r="AN7" s="242">
        <f>SUM(AL7:AM7)</f>
        <v>100000</v>
      </c>
      <c r="AO7" s="242"/>
      <c r="AP7" s="242"/>
      <c r="AQ7" s="242">
        <f>SUM(AO7:AP7)</f>
        <v>0</v>
      </c>
      <c r="AR7" s="242"/>
      <c r="AS7" s="242"/>
      <c r="AT7" s="242">
        <f>SUM(AR7:AS7)</f>
        <v>0</v>
      </c>
      <c r="AU7" s="242"/>
      <c r="AV7" s="242"/>
      <c r="AW7" s="242">
        <f>SUM(AU7:AV7)</f>
        <v>0</v>
      </c>
      <c r="AX7" s="242"/>
      <c r="AY7" s="242"/>
      <c r="AZ7" s="242">
        <f>SUM(AX7:AY7)</f>
        <v>0</v>
      </c>
      <c r="BA7" s="242"/>
      <c r="BB7" s="242"/>
      <c r="BC7" s="242">
        <f>SUM(BA7:BB7)</f>
        <v>0</v>
      </c>
      <c r="BD7" s="242"/>
      <c r="BE7" s="242"/>
      <c r="BF7" s="242">
        <f>SUM(BD7:BE7)</f>
        <v>0</v>
      </c>
      <c r="BG7" s="242">
        <f>BF7+AB7+AE7+AH7+AK7+AN7+AQ7+AT7+AW7+AZ7+BC7</f>
        <v>900000</v>
      </c>
      <c r="BH7" s="242"/>
      <c r="BI7" s="242">
        <f>BH7+BG7</f>
        <v>900000</v>
      </c>
      <c r="BJ7" s="242">
        <f>U7-BI7</f>
        <v>0</v>
      </c>
      <c r="BK7" s="242">
        <v>800000</v>
      </c>
      <c r="BL7" s="242">
        <f>BI7-BK7-BM7</f>
        <v>100000</v>
      </c>
      <c r="BM7" s="241"/>
      <c r="BN7" s="242"/>
      <c r="BO7" s="242">
        <f>BH7-BN7-BP7</f>
        <v>0</v>
      </c>
      <c r="BP7" s="241"/>
      <c r="BQ7" s="242"/>
      <c r="BR7" s="242">
        <f>BJ7-BQ7-BS7</f>
        <v>0</v>
      </c>
      <c r="BS7" s="241"/>
      <c r="BT7" s="527">
        <v>746000</v>
      </c>
    </row>
    <row r="8" spans="1:72" s="244" customFormat="1">
      <c r="A8" s="241">
        <f t="shared" ref="A8:A27" si="7">A7+1</f>
        <v>2</v>
      </c>
      <c r="B8" s="241">
        <v>1166</v>
      </c>
      <c r="C8" s="241" t="s">
        <v>230</v>
      </c>
      <c r="D8" s="242">
        <v>9215000</v>
      </c>
      <c r="E8" s="242">
        <v>7715000</v>
      </c>
      <c r="F8" s="242">
        <f t="shared" si="0"/>
        <v>1500000</v>
      </c>
      <c r="G8" s="242">
        <v>7115000</v>
      </c>
      <c r="H8" s="242">
        <v>6711424.3399999999</v>
      </c>
      <c r="I8" s="242">
        <v>397534.64</v>
      </c>
      <c r="J8" s="242"/>
      <c r="K8" s="242">
        <f t="shared" ref="K8:K23" si="8">SUM(I8:J8)</f>
        <v>397534.64</v>
      </c>
      <c r="L8" s="242">
        <f t="shared" si="1"/>
        <v>7108958.9799999995</v>
      </c>
      <c r="M8" s="242">
        <f t="shared" ref="M8:M27" si="9">P8+S8</f>
        <v>6041.0200000004843</v>
      </c>
      <c r="N8" s="242">
        <f>1500000-500000</f>
        <v>1000000</v>
      </c>
      <c r="O8" s="242">
        <f t="shared" si="2"/>
        <v>1100000</v>
      </c>
      <c r="P8" s="242">
        <f t="shared" si="3"/>
        <v>6041.0200000004843</v>
      </c>
      <c r="Q8" s="242"/>
      <c r="R8" s="242"/>
      <c r="S8" s="242">
        <f t="shared" si="4"/>
        <v>0</v>
      </c>
      <c r="T8" s="242">
        <f t="shared" si="5"/>
        <v>0</v>
      </c>
      <c r="U8" s="14">
        <f t="shared" si="6"/>
        <v>1000000</v>
      </c>
      <c r="V8" s="242">
        <v>1000000</v>
      </c>
      <c r="W8" s="242">
        <f t="shared" ref="W8:W27" si="10">U8-V8-X8-Y8</f>
        <v>0</v>
      </c>
      <c r="X8" s="242"/>
      <c r="Y8" s="241"/>
      <c r="Z8" s="241"/>
      <c r="AA8" s="241"/>
      <c r="AB8" s="241">
        <f t="shared" ref="AB8:AB27" si="11">SUM(Z8:AA8)</f>
        <v>0</v>
      </c>
      <c r="AC8" s="242">
        <v>250000</v>
      </c>
      <c r="AD8" s="242"/>
      <c r="AE8" s="242">
        <f t="shared" ref="AE8:AE27" si="12">SUM(AC8:AD8)</f>
        <v>250000</v>
      </c>
      <c r="AF8" s="242"/>
      <c r="AG8" s="242"/>
      <c r="AH8" s="242">
        <f t="shared" ref="AH8:AH27" si="13">SUM(AF8:AG8)</f>
        <v>0</v>
      </c>
      <c r="AI8" s="242">
        <v>300000</v>
      </c>
      <c r="AJ8" s="242"/>
      <c r="AK8" s="242">
        <f t="shared" ref="AK8:AK27" si="14">SUM(AI8:AJ8)</f>
        <v>300000</v>
      </c>
      <c r="AL8" s="242"/>
      <c r="AM8" s="242"/>
      <c r="AN8" s="242">
        <f t="shared" ref="AN8:AN27" si="15">SUM(AL8:AM8)</f>
        <v>0</v>
      </c>
      <c r="AO8" s="242"/>
      <c r="AP8" s="242"/>
      <c r="AQ8" s="242">
        <f t="shared" ref="AQ8:AQ27" si="16">SUM(AO8:AP8)</f>
        <v>0</v>
      </c>
      <c r="AR8" s="242"/>
      <c r="AS8" s="242"/>
      <c r="AT8" s="242">
        <f t="shared" ref="AT8:AT27" si="17">SUM(AR8:AS8)</f>
        <v>0</v>
      </c>
      <c r="AU8" s="242"/>
      <c r="AV8" s="242"/>
      <c r="AW8" s="242">
        <f t="shared" ref="AW8:AW27" si="18">SUM(AU8:AV8)</f>
        <v>0</v>
      </c>
      <c r="AX8" s="242">
        <v>450000</v>
      </c>
      <c r="AY8" s="242"/>
      <c r="AZ8" s="242">
        <f t="shared" ref="AZ8:AZ27" si="19">SUM(AX8:AY8)</f>
        <v>450000</v>
      </c>
      <c r="BA8" s="242"/>
      <c r="BB8" s="242"/>
      <c r="BC8" s="242">
        <f t="shared" ref="BC8:BC27" si="20">SUM(BA8:BB8)</f>
        <v>0</v>
      </c>
      <c r="BD8" s="242"/>
      <c r="BE8" s="242"/>
      <c r="BF8" s="242">
        <f t="shared" ref="BF8:BF27" si="21">SUM(BD8:BE8)</f>
        <v>0</v>
      </c>
      <c r="BG8" s="242">
        <f t="shared" ref="BG8:BG27" si="22">BF8+AB8+AE8+AH8+AK8+AN8+AQ8+AT8+AW8+AZ8+BC8</f>
        <v>1000000</v>
      </c>
      <c r="BH8" s="242"/>
      <c r="BI8" s="242">
        <f t="shared" ref="BI8:BI27" si="23">BH8+BG8</f>
        <v>1000000</v>
      </c>
      <c r="BJ8" s="242">
        <f t="shared" ref="BJ8:BJ27" si="24">U8-BI8</f>
        <v>0</v>
      </c>
      <c r="BK8" s="242">
        <v>1000000</v>
      </c>
      <c r="BL8" s="242">
        <f t="shared" ref="BL8:BL27" si="25">BI8-BK8-BM8</f>
        <v>0</v>
      </c>
      <c r="BM8" s="241"/>
      <c r="BN8" s="242"/>
      <c r="BO8" s="242">
        <f t="shared" ref="BO8:BO27" si="26">BH8-BN8-BP8</f>
        <v>0</v>
      </c>
      <c r="BP8" s="241"/>
      <c r="BQ8" s="242"/>
      <c r="BR8" s="242">
        <f t="shared" ref="BR8:BR27" si="27">BJ8-BQ8-BS8</f>
        <v>0</v>
      </c>
      <c r="BS8" s="241"/>
      <c r="BT8" s="527">
        <v>746000</v>
      </c>
    </row>
    <row r="9" spans="1:72" s="244" customFormat="1">
      <c r="A9" s="241">
        <f t="shared" si="7"/>
        <v>3</v>
      </c>
      <c r="B9" s="241">
        <v>1192</v>
      </c>
      <c r="C9" s="241" t="s">
        <v>152</v>
      </c>
      <c r="D9" s="242">
        <v>835000</v>
      </c>
      <c r="E9" s="242">
        <v>835000</v>
      </c>
      <c r="F9" s="242">
        <f t="shared" si="0"/>
        <v>0</v>
      </c>
      <c r="G9" s="242">
        <v>485000</v>
      </c>
      <c r="H9" s="242">
        <v>405559.85</v>
      </c>
      <c r="I9" s="242"/>
      <c r="J9" s="242"/>
      <c r="K9" s="242">
        <f t="shared" si="8"/>
        <v>0</v>
      </c>
      <c r="L9" s="242">
        <f t="shared" si="1"/>
        <v>405559.85</v>
      </c>
      <c r="M9" s="242">
        <f t="shared" si="9"/>
        <v>79440.150000000023</v>
      </c>
      <c r="N9" s="242"/>
      <c r="O9" s="242">
        <f t="shared" si="2"/>
        <v>350000</v>
      </c>
      <c r="P9" s="242">
        <f t="shared" si="3"/>
        <v>79440.150000000023</v>
      </c>
      <c r="Q9" s="242"/>
      <c r="R9" s="242"/>
      <c r="S9" s="242">
        <f t="shared" si="4"/>
        <v>0</v>
      </c>
      <c r="T9" s="242">
        <f t="shared" si="5"/>
        <v>0</v>
      </c>
      <c r="U9" s="14">
        <f t="shared" si="6"/>
        <v>0</v>
      </c>
      <c r="V9" s="242"/>
      <c r="W9" s="242">
        <f t="shared" si="10"/>
        <v>0</v>
      </c>
      <c r="X9" s="242"/>
      <c r="Y9" s="241"/>
      <c r="Z9" s="241"/>
      <c r="AA9" s="241"/>
      <c r="AB9" s="241">
        <f t="shared" si="11"/>
        <v>0</v>
      </c>
      <c r="AC9" s="242"/>
      <c r="AD9" s="242"/>
      <c r="AE9" s="242">
        <f t="shared" si="12"/>
        <v>0</v>
      </c>
      <c r="AF9" s="242"/>
      <c r="AG9" s="242"/>
      <c r="AH9" s="242">
        <f t="shared" si="13"/>
        <v>0</v>
      </c>
      <c r="AI9" s="242"/>
      <c r="AJ9" s="242"/>
      <c r="AK9" s="242">
        <f t="shared" si="14"/>
        <v>0</v>
      </c>
      <c r="AL9" s="242"/>
      <c r="AM9" s="242"/>
      <c r="AN9" s="242">
        <f t="shared" si="15"/>
        <v>0</v>
      </c>
      <c r="AO9" s="242"/>
      <c r="AP9" s="242"/>
      <c r="AQ9" s="242">
        <f t="shared" si="16"/>
        <v>0</v>
      </c>
      <c r="AR9" s="242"/>
      <c r="AS9" s="242"/>
      <c r="AT9" s="242">
        <f t="shared" si="17"/>
        <v>0</v>
      </c>
      <c r="AU9" s="242"/>
      <c r="AV9" s="242"/>
      <c r="AW9" s="242">
        <f t="shared" si="18"/>
        <v>0</v>
      </c>
      <c r="AX9" s="242"/>
      <c r="AY9" s="242"/>
      <c r="AZ9" s="242">
        <f t="shared" si="19"/>
        <v>0</v>
      </c>
      <c r="BA9" s="242"/>
      <c r="BB9" s="242"/>
      <c r="BC9" s="242">
        <f t="shared" si="20"/>
        <v>0</v>
      </c>
      <c r="BD9" s="242"/>
      <c r="BE9" s="242"/>
      <c r="BF9" s="242">
        <f t="shared" si="21"/>
        <v>0</v>
      </c>
      <c r="BG9" s="242">
        <f t="shared" si="22"/>
        <v>0</v>
      </c>
      <c r="BH9" s="242"/>
      <c r="BI9" s="242">
        <f t="shared" si="23"/>
        <v>0</v>
      </c>
      <c r="BJ9" s="242">
        <f t="shared" si="24"/>
        <v>0</v>
      </c>
      <c r="BK9" s="242"/>
      <c r="BL9" s="242">
        <f t="shared" si="25"/>
        <v>0</v>
      </c>
      <c r="BM9" s="241"/>
      <c r="BN9" s="242"/>
      <c r="BO9" s="242">
        <f t="shared" si="26"/>
        <v>0</v>
      </c>
      <c r="BP9" s="241"/>
      <c r="BQ9" s="242"/>
      <c r="BR9" s="242">
        <f t="shared" si="27"/>
        <v>0</v>
      </c>
      <c r="BS9" s="241"/>
      <c r="BT9" s="527">
        <v>810000</v>
      </c>
    </row>
    <row r="10" spans="1:72" s="244" customFormat="1" ht="30">
      <c r="A10" s="241">
        <f t="shared" si="7"/>
        <v>4</v>
      </c>
      <c r="B10" s="241">
        <v>1254</v>
      </c>
      <c r="C10" s="241" t="s">
        <v>231</v>
      </c>
      <c r="D10" s="242">
        <v>35440000</v>
      </c>
      <c r="E10" s="242">
        <v>31190000</v>
      </c>
      <c r="F10" s="242">
        <f t="shared" si="0"/>
        <v>4250000</v>
      </c>
      <c r="G10" s="242">
        <v>26840000</v>
      </c>
      <c r="H10" s="242">
        <v>24908160.09</v>
      </c>
      <c r="I10" s="242">
        <v>1927107.45</v>
      </c>
      <c r="J10" s="242"/>
      <c r="K10" s="242">
        <f t="shared" si="8"/>
        <v>1927107.45</v>
      </c>
      <c r="L10" s="242">
        <f t="shared" si="1"/>
        <v>26835267.539999999</v>
      </c>
      <c r="M10" s="242">
        <f t="shared" si="9"/>
        <v>454732.46000000089</v>
      </c>
      <c r="N10" s="242">
        <f>4250000-1750000-300000</f>
        <v>2200000</v>
      </c>
      <c r="O10" s="242">
        <f t="shared" si="2"/>
        <v>5950000</v>
      </c>
      <c r="P10" s="242">
        <f t="shared" si="3"/>
        <v>4732.4600000008941</v>
      </c>
      <c r="Q10" s="484">
        <v>450000</v>
      </c>
      <c r="R10" s="242"/>
      <c r="S10" s="242">
        <f t="shared" si="4"/>
        <v>450000</v>
      </c>
      <c r="T10" s="242">
        <f t="shared" si="5"/>
        <v>0</v>
      </c>
      <c r="U10" s="14">
        <f t="shared" si="6"/>
        <v>2200000</v>
      </c>
      <c r="V10" s="242">
        <v>2200000</v>
      </c>
      <c r="W10" s="242">
        <f t="shared" si="10"/>
        <v>0</v>
      </c>
      <c r="X10" s="242"/>
      <c r="Y10" s="241"/>
      <c r="Z10" s="241"/>
      <c r="AA10" s="241"/>
      <c r="AB10" s="241">
        <f t="shared" si="11"/>
        <v>0</v>
      </c>
      <c r="AC10" s="242">
        <v>250000</v>
      </c>
      <c r="AD10" s="242"/>
      <c r="AE10" s="242">
        <f t="shared" si="12"/>
        <v>250000</v>
      </c>
      <c r="AF10" s="242">
        <v>500000</v>
      </c>
      <c r="AG10" s="242"/>
      <c r="AH10" s="242">
        <f t="shared" si="13"/>
        <v>500000</v>
      </c>
      <c r="AI10" s="242">
        <v>200000</v>
      </c>
      <c r="AJ10" s="242"/>
      <c r="AK10" s="242">
        <f t="shared" si="14"/>
        <v>200000</v>
      </c>
      <c r="AL10" s="242"/>
      <c r="AM10" s="242"/>
      <c r="AN10" s="242">
        <f t="shared" si="15"/>
        <v>0</v>
      </c>
      <c r="AO10" s="242"/>
      <c r="AP10" s="242"/>
      <c r="AQ10" s="242">
        <f t="shared" si="16"/>
        <v>0</v>
      </c>
      <c r="AR10" s="242">
        <v>500000</v>
      </c>
      <c r="AS10" s="242"/>
      <c r="AT10" s="242">
        <f t="shared" si="17"/>
        <v>500000</v>
      </c>
      <c r="AU10" s="242"/>
      <c r="AV10" s="242"/>
      <c r="AW10" s="242">
        <f t="shared" si="18"/>
        <v>0</v>
      </c>
      <c r="AX10" s="242">
        <v>750000</v>
      </c>
      <c r="AY10" s="242"/>
      <c r="AZ10" s="242">
        <f t="shared" si="19"/>
        <v>750000</v>
      </c>
      <c r="BA10" s="242"/>
      <c r="BB10" s="242"/>
      <c r="BC10" s="242">
        <f t="shared" si="20"/>
        <v>0</v>
      </c>
      <c r="BD10" s="242"/>
      <c r="BE10" s="242"/>
      <c r="BF10" s="242">
        <f t="shared" si="21"/>
        <v>0</v>
      </c>
      <c r="BG10" s="242">
        <f t="shared" si="22"/>
        <v>2200000</v>
      </c>
      <c r="BH10" s="242"/>
      <c r="BI10" s="242">
        <f t="shared" si="23"/>
        <v>2200000</v>
      </c>
      <c r="BJ10" s="242">
        <f t="shared" si="24"/>
        <v>0</v>
      </c>
      <c r="BK10" s="242">
        <v>2200000</v>
      </c>
      <c r="BL10" s="242">
        <f t="shared" si="25"/>
        <v>0</v>
      </c>
      <c r="BM10" s="241"/>
      <c r="BN10" s="242"/>
      <c r="BO10" s="242">
        <f t="shared" si="26"/>
        <v>0</v>
      </c>
      <c r="BP10" s="241"/>
      <c r="BQ10" s="242"/>
      <c r="BR10" s="242">
        <f t="shared" si="27"/>
        <v>0</v>
      </c>
      <c r="BS10" s="241"/>
      <c r="BT10" s="527">
        <v>746000</v>
      </c>
    </row>
    <row r="11" spans="1:72" s="244" customFormat="1">
      <c r="A11" s="241">
        <f t="shared" si="7"/>
        <v>5</v>
      </c>
      <c r="B11" s="241">
        <v>1292</v>
      </c>
      <c r="C11" s="241" t="s">
        <v>153</v>
      </c>
      <c r="D11" s="242">
        <f>2900000-720000</f>
        <v>2180000</v>
      </c>
      <c r="E11" s="242">
        <v>2400000</v>
      </c>
      <c r="F11" s="242">
        <f t="shared" si="0"/>
        <v>-220000</v>
      </c>
      <c r="G11" s="242">
        <v>2180000</v>
      </c>
      <c r="H11" s="242">
        <v>2175474.5099999998</v>
      </c>
      <c r="I11" s="242">
        <v>3673.04</v>
      </c>
      <c r="J11" s="242"/>
      <c r="K11" s="242">
        <f t="shared" si="8"/>
        <v>3673.04</v>
      </c>
      <c r="L11" s="242">
        <f t="shared" si="1"/>
        <v>2179147.5499999998</v>
      </c>
      <c r="M11" s="242">
        <f t="shared" si="9"/>
        <v>852.45000000018626</v>
      </c>
      <c r="N11" s="242"/>
      <c r="O11" s="242">
        <f t="shared" si="2"/>
        <v>0</v>
      </c>
      <c r="P11" s="242">
        <f t="shared" si="3"/>
        <v>852.45000000018626</v>
      </c>
      <c r="Q11" s="242"/>
      <c r="R11" s="242"/>
      <c r="S11" s="242">
        <f t="shared" si="4"/>
        <v>0</v>
      </c>
      <c r="T11" s="242">
        <f t="shared" si="5"/>
        <v>0</v>
      </c>
      <c r="U11" s="14">
        <f t="shared" si="6"/>
        <v>0</v>
      </c>
      <c r="V11" s="242"/>
      <c r="W11" s="242">
        <f t="shared" si="10"/>
        <v>0</v>
      </c>
      <c r="X11" s="242"/>
      <c r="Y11" s="241"/>
      <c r="Z11" s="13"/>
      <c r="AA11" s="13"/>
      <c r="AB11" s="241">
        <f t="shared" si="11"/>
        <v>0</v>
      </c>
      <c r="AC11" s="14"/>
      <c r="AD11" s="14"/>
      <c r="AE11" s="242">
        <f t="shared" si="12"/>
        <v>0</v>
      </c>
      <c r="AF11" s="14"/>
      <c r="AG11" s="14"/>
      <c r="AH11" s="242">
        <f t="shared" si="13"/>
        <v>0</v>
      </c>
      <c r="AI11" s="14"/>
      <c r="AJ11" s="14"/>
      <c r="AK11" s="242">
        <f t="shared" si="14"/>
        <v>0</v>
      </c>
      <c r="AL11" s="14"/>
      <c r="AM11" s="14"/>
      <c r="AN11" s="242">
        <f t="shared" si="15"/>
        <v>0</v>
      </c>
      <c r="AO11" s="14"/>
      <c r="AP11" s="14"/>
      <c r="AQ11" s="242">
        <f t="shared" si="16"/>
        <v>0</v>
      </c>
      <c r="AR11" s="14"/>
      <c r="AS11" s="14"/>
      <c r="AT11" s="242">
        <f t="shared" si="17"/>
        <v>0</v>
      </c>
      <c r="AU11" s="14"/>
      <c r="AV11" s="14"/>
      <c r="AW11" s="242">
        <f t="shared" si="18"/>
        <v>0</v>
      </c>
      <c r="AX11" s="242"/>
      <c r="AY11" s="14"/>
      <c r="AZ11" s="242">
        <f t="shared" si="19"/>
        <v>0</v>
      </c>
      <c r="BA11" s="242"/>
      <c r="BB11" s="14"/>
      <c r="BC11" s="242">
        <f t="shared" si="20"/>
        <v>0</v>
      </c>
      <c r="BD11" s="242"/>
      <c r="BE11" s="14"/>
      <c r="BF11" s="242">
        <f t="shared" si="21"/>
        <v>0</v>
      </c>
      <c r="BG11" s="242">
        <f t="shared" si="22"/>
        <v>0</v>
      </c>
      <c r="BH11" s="242"/>
      <c r="BI11" s="242">
        <f t="shared" si="23"/>
        <v>0</v>
      </c>
      <c r="BJ11" s="242">
        <f t="shared" si="24"/>
        <v>0</v>
      </c>
      <c r="BK11" s="242"/>
      <c r="BL11" s="242">
        <f t="shared" si="25"/>
        <v>0</v>
      </c>
      <c r="BM11" s="241"/>
      <c r="BN11" s="242"/>
      <c r="BO11" s="242">
        <f t="shared" si="26"/>
        <v>0</v>
      </c>
      <c r="BP11" s="241"/>
      <c r="BQ11" s="242"/>
      <c r="BR11" s="242">
        <f t="shared" si="27"/>
        <v>0</v>
      </c>
      <c r="BS11" s="241"/>
      <c r="BT11" s="527">
        <v>746400</v>
      </c>
    </row>
    <row r="12" spans="1:72" s="244" customFormat="1">
      <c r="A12" s="241">
        <f t="shared" si="7"/>
        <v>6</v>
      </c>
      <c r="B12" s="241">
        <v>1341</v>
      </c>
      <c r="C12" s="241" t="s">
        <v>154</v>
      </c>
      <c r="D12" s="242">
        <f>1550000-1000000</f>
        <v>550000</v>
      </c>
      <c r="E12" s="242">
        <v>1050000</v>
      </c>
      <c r="F12" s="242">
        <f t="shared" si="0"/>
        <v>-500000</v>
      </c>
      <c r="G12" s="242">
        <v>550000</v>
      </c>
      <c r="H12" s="242">
        <v>290040.31</v>
      </c>
      <c r="I12" s="242">
        <v>170098.23</v>
      </c>
      <c r="J12" s="242"/>
      <c r="K12" s="242">
        <f t="shared" si="8"/>
        <v>170098.23</v>
      </c>
      <c r="L12" s="242">
        <f t="shared" si="1"/>
        <v>460138.54000000004</v>
      </c>
      <c r="M12" s="242">
        <f t="shared" si="9"/>
        <v>89861.459999999963</v>
      </c>
      <c r="N12" s="242"/>
      <c r="O12" s="242">
        <f t="shared" si="2"/>
        <v>0</v>
      </c>
      <c r="P12" s="242">
        <f t="shared" si="3"/>
        <v>89861.459999999963</v>
      </c>
      <c r="Q12" s="242"/>
      <c r="R12" s="242"/>
      <c r="S12" s="242">
        <f t="shared" si="4"/>
        <v>0</v>
      </c>
      <c r="T12" s="242">
        <f t="shared" si="5"/>
        <v>0</v>
      </c>
      <c r="U12" s="14">
        <f t="shared" si="6"/>
        <v>0</v>
      </c>
      <c r="V12" s="242"/>
      <c r="W12" s="242">
        <f t="shared" si="10"/>
        <v>0</v>
      </c>
      <c r="X12" s="242"/>
      <c r="Y12" s="241"/>
      <c r="Z12" s="13"/>
      <c r="AA12" s="13"/>
      <c r="AB12" s="241">
        <f t="shared" si="11"/>
        <v>0</v>
      </c>
      <c r="AC12" s="14"/>
      <c r="AD12" s="14"/>
      <c r="AE12" s="242">
        <f t="shared" si="12"/>
        <v>0</v>
      </c>
      <c r="AF12" s="14"/>
      <c r="AG12" s="14"/>
      <c r="AH12" s="242">
        <f t="shared" si="13"/>
        <v>0</v>
      </c>
      <c r="AI12" s="14"/>
      <c r="AJ12" s="14"/>
      <c r="AK12" s="242">
        <f t="shared" si="14"/>
        <v>0</v>
      </c>
      <c r="AL12" s="14"/>
      <c r="AM12" s="14"/>
      <c r="AN12" s="242">
        <f t="shared" si="15"/>
        <v>0</v>
      </c>
      <c r="AO12" s="14"/>
      <c r="AP12" s="14"/>
      <c r="AQ12" s="242">
        <f t="shared" si="16"/>
        <v>0</v>
      </c>
      <c r="AR12" s="14"/>
      <c r="AS12" s="14"/>
      <c r="AT12" s="242">
        <f t="shared" si="17"/>
        <v>0</v>
      </c>
      <c r="AU12" s="14"/>
      <c r="AV12" s="14"/>
      <c r="AW12" s="242">
        <f t="shared" si="18"/>
        <v>0</v>
      </c>
      <c r="AX12" s="242"/>
      <c r="AY12" s="14"/>
      <c r="AZ12" s="242">
        <f t="shared" si="19"/>
        <v>0</v>
      </c>
      <c r="BA12" s="242"/>
      <c r="BB12" s="14"/>
      <c r="BC12" s="242">
        <f t="shared" si="20"/>
        <v>0</v>
      </c>
      <c r="BD12" s="242"/>
      <c r="BE12" s="14"/>
      <c r="BF12" s="242">
        <f t="shared" si="21"/>
        <v>0</v>
      </c>
      <c r="BG12" s="242">
        <f t="shared" si="22"/>
        <v>0</v>
      </c>
      <c r="BH12" s="242"/>
      <c r="BI12" s="242">
        <f t="shared" si="23"/>
        <v>0</v>
      </c>
      <c r="BJ12" s="242">
        <f t="shared" si="24"/>
        <v>0</v>
      </c>
      <c r="BK12" s="242"/>
      <c r="BL12" s="242">
        <f t="shared" si="25"/>
        <v>0</v>
      </c>
      <c r="BM12" s="241"/>
      <c r="BN12" s="242"/>
      <c r="BO12" s="242">
        <f t="shared" si="26"/>
        <v>0</v>
      </c>
      <c r="BP12" s="241"/>
      <c r="BQ12" s="242"/>
      <c r="BR12" s="242">
        <f t="shared" si="27"/>
        <v>0</v>
      </c>
      <c r="BS12" s="241"/>
      <c r="BT12" s="527">
        <v>746000</v>
      </c>
    </row>
    <row r="13" spans="1:72" s="244" customFormat="1">
      <c r="A13" s="241">
        <f t="shared" si="7"/>
        <v>7</v>
      </c>
      <c r="B13" s="241">
        <v>1342</v>
      </c>
      <c r="C13" s="241" t="s">
        <v>155</v>
      </c>
      <c r="D13" s="242">
        <v>3050000</v>
      </c>
      <c r="E13" s="242">
        <v>2300000</v>
      </c>
      <c r="F13" s="242">
        <f t="shared" si="0"/>
        <v>750000</v>
      </c>
      <c r="G13" s="242">
        <v>1950000</v>
      </c>
      <c r="H13" s="242">
        <v>1585744.64</v>
      </c>
      <c r="I13" s="242">
        <v>223951.03</v>
      </c>
      <c r="J13" s="242"/>
      <c r="K13" s="242">
        <f t="shared" si="8"/>
        <v>223951.03</v>
      </c>
      <c r="L13" s="242">
        <f t="shared" si="1"/>
        <v>1809695.67</v>
      </c>
      <c r="M13" s="242">
        <f t="shared" si="9"/>
        <v>140304.33000000007</v>
      </c>
      <c r="N13" s="242">
        <f>750000-100000-150000</f>
        <v>500000</v>
      </c>
      <c r="O13" s="242">
        <f t="shared" si="2"/>
        <v>600000</v>
      </c>
      <c r="P13" s="242">
        <f t="shared" si="3"/>
        <v>140304.33000000007</v>
      </c>
      <c r="Q13" s="242">
        <f>100000-100000</f>
        <v>0</v>
      </c>
      <c r="R13" s="242"/>
      <c r="S13" s="242">
        <f t="shared" si="4"/>
        <v>0</v>
      </c>
      <c r="T13" s="242">
        <f t="shared" si="5"/>
        <v>0</v>
      </c>
      <c r="U13" s="14">
        <f t="shared" si="6"/>
        <v>500000</v>
      </c>
      <c r="V13" s="242">
        <v>350000</v>
      </c>
      <c r="W13" s="242">
        <f t="shared" si="10"/>
        <v>150000</v>
      </c>
      <c r="X13" s="242"/>
      <c r="Y13" s="241"/>
      <c r="Z13" s="13"/>
      <c r="AA13" s="13"/>
      <c r="AB13" s="241">
        <f t="shared" si="11"/>
        <v>0</v>
      </c>
      <c r="AC13" s="14"/>
      <c r="AD13" s="14"/>
      <c r="AE13" s="242">
        <f t="shared" si="12"/>
        <v>0</v>
      </c>
      <c r="AF13" s="14"/>
      <c r="AG13" s="14"/>
      <c r="AH13" s="242">
        <f t="shared" si="13"/>
        <v>0</v>
      </c>
      <c r="AI13" s="14">
        <v>300000</v>
      </c>
      <c r="AJ13" s="14"/>
      <c r="AK13" s="242">
        <f t="shared" si="14"/>
        <v>300000</v>
      </c>
      <c r="AL13" s="14"/>
      <c r="AM13" s="14"/>
      <c r="AN13" s="242">
        <f t="shared" si="15"/>
        <v>0</v>
      </c>
      <c r="AO13" s="14"/>
      <c r="AP13" s="14"/>
      <c r="AQ13" s="242">
        <f t="shared" si="16"/>
        <v>0</v>
      </c>
      <c r="AR13" s="14"/>
      <c r="AS13" s="14"/>
      <c r="AT13" s="242">
        <f t="shared" si="17"/>
        <v>0</v>
      </c>
      <c r="AU13" s="14"/>
      <c r="AV13" s="14"/>
      <c r="AW13" s="242">
        <f t="shared" si="18"/>
        <v>0</v>
      </c>
      <c r="AX13" s="242"/>
      <c r="AY13" s="14"/>
      <c r="AZ13" s="242">
        <f t="shared" si="19"/>
        <v>0</v>
      </c>
      <c r="BA13" s="242">
        <v>200000</v>
      </c>
      <c r="BB13" s="14"/>
      <c r="BC13" s="242">
        <f t="shared" si="20"/>
        <v>200000</v>
      </c>
      <c r="BD13" s="242"/>
      <c r="BE13" s="14"/>
      <c r="BF13" s="242">
        <f t="shared" si="21"/>
        <v>0</v>
      </c>
      <c r="BG13" s="242">
        <f t="shared" si="22"/>
        <v>500000</v>
      </c>
      <c r="BH13" s="242"/>
      <c r="BI13" s="242">
        <f t="shared" si="23"/>
        <v>500000</v>
      </c>
      <c r="BJ13" s="242">
        <f t="shared" si="24"/>
        <v>0</v>
      </c>
      <c r="BK13" s="242">
        <v>350000</v>
      </c>
      <c r="BL13" s="242">
        <f t="shared" si="25"/>
        <v>150000</v>
      </c>
      <c r="BM13" s="241"/>
      <c r="BN13" s="242"/>
      <c r="BO13" s="242">
        <f t="shared" si="26"/>
        <v>0</v>
      </c>
      <c r="BP13" s="241"/>
      <c r="BQ13" s="242"/>
      <c r="BR13" s="242">
        <f t="shared" si="27"/>
        <v>0</v>
      </c>
      <c r="BS13" s="241"/>
      <c r="BT13" s="527">
        <v>746000</v>
      </c>
    </row>
    <row r="14" spans="1:72" s="244" customFormat="1">
      <c r="A14" s="241">
        <f t="shared" si="7"/>
        <v>8</v>
      </c>
      <c r="B14" s="241">
        <v>1343</v>
      </c>
      <c r="C14" s="241" t="s">
        <v>156</v>
      </c>
      <c r="D14" s="242">
        <v>8320000</v>
      </c>
      <c r="E14" s="242">
        <v>6520000</v>
      </c>
      <c r="F14" s="242">
        <f t="shared" si="0"/>
        <v>1800000</v>
      </c>
      <c r="G14" s="242">
        <v>4320000</v>
      </c>
      <c r="H14" s="242">
        <v>3692096.65</v>
      </c>
      <c r="I14" s="242">
        <v>407384.91</v>
      </c>
      <c r="J14" s="242"/>
      <c r="K14" s="242">
        <f t="shared" si="8"/>
        <v>407384.91</v>
      </c>
      <c r="L14" s="242">
        <f t="shared" si="1"/>
        <v>4099481.56</v>
      </c>
      <c r="M14" s="242">
        <f t="shared" si="9"/>
        <v>220518.43999999994</v>
      </c>
      <c r="N14" s="242">
        <f>1800000-1000000</f>
        <v>800000</v>
      </c>
      <c r="O14" s="242">
        <f t="shared" si="2"/>
        <v>3199999.9999999995</v>
      </c>
      <c r="P14" s="242">
        <f t="shared" si="3"/>
        <v>220518.43999999994</v>
      </c>
      <c r="Q14" s="242"/>
      <c r="R14" s="242"/>
      <c r="S14" s="242">
        <f t="shared" si="4"/>
        <v>0</v>
      </c>
      <c r="T14" s="242">
        <f t="shared" si="5"/>
        <v>0</v>
      </c>
      <c r="U14" s="14">
        <f t="shared" si="6"/>
        <v>800000</v>
      </c>
      <c r="V14" s="242">
        <v>800000</v>
      </c>
      <c r="W14" s="242">
        <f t="shared" si="10"/>
        <v>0</v>
      </c>
      <c r="X14" s="242"/>
      <c r="Y14" s="241"/>
      <c r="Z14" s="241"/>
      <c r="AA14" s="241"/>
      <c r="AB14" s="241">
        <f t="shared" si="11"/>
        <v>0</v>
      </c>
      <c r="AC14" s="242"/>
      <c r="AD14" s="242"/>
      <c r="AE14" s="242">
        <f t="shared" si="12"/>
        <v>0</v>
      </c>
      <c r="AF14" s="242"/>
      <c r="AG14" s="242"/>
      <c r="AH14" s="242">
        <f t="shared" si="13"/>
        <v>0</v>
      </c>
      <c r="AI14" s="242"/>
      <c r="AJ14" s="242"/>
      <c r="AK14" s="242">
        <f t="shared" si="14"/>
        <v>0</v>
      </c>
      <c r="AL14" s="242">
        <v>400000</v>
      </c>
      <c r="AM14" s="242"/>
      <c r="AN14" s="242">
        <f t="shared" si="15"/>
        <v>400000</v>
      </c>
      <c r="AO14" s="242"/>
      <c r="AP14" s="242"/>
      <c r="AQ14" s="242">
        <f t="shared" si="16"/>
        <v>0</v>
      </c>
      <c r="AR14" s="242"/>
      <c r="AS14" s="242"/>
      <c r="AT14" s="242">
        <f t="shared" si="17"/>
        <v>0</v>
      </c>
      <c r="AU14" s="242">
        <v>400000</v>
      </c>
      <c r="AV14" s="242"/>
      <c r="AW14" s="242">
        <f t="shared" si="18"/>
        <v>400000</v>
      </c>
      <c r="AX14" s="242"/>
      <c r="AY14" s="242"/>
      <c r="AZ14" s="242">
        <f t="shared" si="19"/>
        <v>0</v>
      </c>
      <c r="BA14" s="242"/>
      <c r="BB14" s="242"/>
      <c r="BC14" s="242">
        <f t="shared" si="20"/>
        <v>0</v>
      </c>
      <c r="BD14" s="242"/>
      <c r="BE14" s="242"/>
      <c r="BF14" s="242">
        <f t="shared" si="21"/>
        <v>0</v>
      </c>
      <c r="BG14" s="242">
        <f t="shared" si="22"/>
        <v>800000</v>
      </c>
      <c r="BH14" s="242"/>
      <c r="BI14" s="242">
        <f t="shared" si="23"/>
        <v>800000</v>
      </c>
      <c r="BJ14" s="242">
        <f t="shared" si="24"/>
        <v>0</v>
      </c>
      <c r="BK14" s="242">
        <v>800000</v>
      </c>
      <c r="BL14" s="242">
        <f t="shared" si="25"/>
        <v>0</v>
      </c>
      <c r="BM14" s="241"/>
      <c r="BN14" s="242"/>
      <c r="BO14" s="242">
        <f t="shared" si="26"/>
        <v>0</v>
      </c>
      <c r="BP14" s="241"/>
      <c r="BQ14" s="242"/>
      <c r="BR14" s="242">
        <f t="shared" si="27"/>
        <v>0</v>
      </c>
      <c r="BS14" s="241"/>
      <c r="BT14" s="527">
        <v>746000</v>
      </c>
    </row>
    <row r="15" spans="1:72" s="244" customFormat="1">
      <c r="A15" s="241">
        <f t="shared" si="7"/>
        <v>9</v>
      </c>
      <c r="B15" s="241">
        <v>1435</v>
      </c>
      <c r="C15" s="241" t="s">
        <v>318</v>
      </c>
      <c r="D15" s="242">
        <v>19800000</v>
      </c>
      <c r="E15" s="242">
        <v>16600000</v>
      </c>
      <c r="F15" s="242">
        <f t="shared" si="0"/>
        <v>3200000</v>
      </c>
      <c r="G15" s="242">
        <v>14700000</v>
      </c>
      <c r="H15" s="242">
        <v>12975595.25</v>
      </c>
      <c r="I15" s="242">
        <v>1622724.43</v>
      </c>
      <c r="J15" s="242"/>
      <c r="K15" s="242">
        <f t="shared" si="8"/>
        <v>1622724.43</v>
      </c>
      <c r="L15" s="242">
        <f t="shared" si="1"/>
        <v>14598319.68</v>
      </c>
      <c r="M15" s="242">
        <f t="shared" si="9"/>
        <v>901680.3200000003</v>
      </c>
      <c r="N15" s="242">
        <f>3200000+74320</f>
        <v>3274320</v>
      </c>
      <c r="O15" s="242">
        <f t="shared" si="2"/>
        <v>1025680</v>
      </c>
      <c r="P15" s="242">
        <f t="shared" si="3"/>
        <v>101680.3200000003</v>
      </c>
      <c r="Q15" s="483">
        <v>800000</v>
      </c>
      <c r="R15" s="242"/>
      <c r="S15" s="242">
        <f t="shared" si="4"/>
        <v>800000</v>
      </c>
      <c r="T15" s="242">
        <f t="shared" si="5"/>
        <v>0</v>
      </c>
      <c r="U15" s="14">
        <f t="shared" si="6"/>
        <v>3274320</v>
      </c>
      <c r="V15" s="242"/>
      <c r="W15" s="242">
        <f t="shared" si="10"/>
        <v>3200000</v>
      </c>
      <c r="X15" s="242"/>
      <c r="Y15" s="242">
        <v>74320</v>
      </c>
      <c r="Z15" s="13"/>
      <c r="AA15" s="13"/>
      <c r="AB15" s="241">
        <f t="shared" si="11"/>
        <v>0</v>
      </c>
      <c r="AC15" s="14">
        <f>450000+74320</f>
        <v>524320</v>
      </c>
      <c r="AD15" s="14"/>
      <c r="AE15" s="242">
        <f t="shared" si="12"/>
        <v>524320</v>
      </c>
      <c r="AF15" s="14">
        <v>450000</v>
      </c>
      <c r="AG15" s="14"/>
      <c r="AH15" s="242">
        <f t="shared" si="13"/>
        <v>450000</v>
      </c>
      <c r="AI15" s="14"/>
      <c r="AJ15" s="14"/>
      <c r="AK15" s="242">
        <f t="shared" si="14"/>
        <v>0</v>
      </c>
      <c r="AL15" s="14">
        <v>700000</v>
      </c>
      <c r="AM15" s="14"/>
      <c r="AN15" s="242">
        <f t="shared" si="15"/>
        <v>700000</v>
      </c>
      <c r="AO15" s="14">
        <v>200000</v>
      </c>
      <c r="AP15" s="14"/>
      <c r="AQ15" s="242">
        <f t="shared" si="16"/>
        <v>200000</v>
      </c>
      <c r="AR15" s="14">
        <f>1400000-850000</f>
        <v>550000</v>
      </c>
      <c r="AS15" s="14"/>
      <c r="AT15" s="242">
        <f t="shared" si="17"/>
        <v>550000</v>
      </c>
      <c r="AU15" s="14"/>
      <c r="AV15" s="14"/>
      <c r="AW15" s="242">
        <f t="shared" si="18"/>
        <v>0</v>
      </c>
      <c r="AX15" s="242"/>
      <c r="AY15" s="14"/>
      <c r="AZ15" s="242">
        <f t="shared" si="19"/>
        <v>0</v>
      </c>
      <c r="BA15" s="242">
        <v>850000</v>
      </c>
      <c r="BB15" s="14"/>
      <c r="BC15" s="242">
        <f t="shared" si="20"/>
        <v>850000</v>
      </c>
      <c r="BD15" s="242"/>
      <c r="BE15" s="14"/>
      <c r="BF15" s="242">
        <f t="shared" si="21"/>
        <v>0</v>
      </c>
      <c r="BG15" s="242">
        <f t="shared" si="22"/>
        <v>3274320</v>
      </c>
      <c r="BH15" s="242"/>
      <c r="BI15" s="242">
        <f t="shared" si="23"/>
        <v>3274320</v>
      </c>
      <c r="BJ15" s="242">
        <f t="shared" si="24"/>
        <v>0</v>
      </c>
      <c r="BK15" s="242"/>
      <c r="BL15" s="242">
        <f t="shared" si="25"/>
        <v>3200000</v>
      </c>
      <c r="BM15" s="242">
        <v>74320</v>
      </c>
      <c r="BN15" s="242"/>
      <c r="BO15" s="242">
        <f t="shared" si="26"/>
        <v>0</v>
      </c>
      <c r="BP15" s="241"/>
      <c r="BQ15" s="242"/>
      <c r="BR15" s="242">
        <f t="shared" si="27"/>
        <v>0</v>
      </c>
      <c r="BS15" s="241"/>
      <c r="BT15" s="527">
        <v>848500</v>
      </c>
    </row>
    <row r="16" spans="1:72" s="244" customFormat="1">
      <c r="A16" s="241">
        <f t="shared" si="7"/>
        <v>10</v>
      </c>
      <c r="B16" s="241">
        <v>1491</v>
      </c>
      <c r="C16" s="241" t="s">
        <v>157</v>
      </c>
      <c r="D16" s="242">
        <v>13700000</v>
      </c>
      <c r="E16" s="242">
        <v>9530000</v>
      </c>
      <c r="F16" s="242">
        <f t="shared" si="0"/>
        <v>4170000</v>
      </c>
      <c r="G16" s="242">
        <v>4300000</v>
      </c>
      <c r="H16" s="242">
        <v>2949233.34</v>
      </c>
      <c r="I16" s="242">
        <v>844301.31</v>
      </c>
      <c r="J16" s="242"/>
      <c r="K16" s="242">
        <f t="shared" si="8"/>
        <v>844301.31</v>
      </c>
      <c r="L16" s="242">
        <f t="shared" si="1"/>
        <v>3793534.65</v>
      </c>
      <c r="M16" s="242">
        <f t="shared" si="9"/>
        <v>706465.35000000009</v>
      </c>
      <c r="N16" s="242">
        <f>4170000-2000000-1000000</f>
        <v>1170000</v>
      </c>
      <c r="O16" s="242">
        <f t="shared" si="2"/>
        <v>8030000</v>
      </c>
      <c r="P16" s="242">
        <f t="shared" si="3"/>
        <v>506465.35000000009</v>
      </c>
      <c r="Q16" s="483">
        <v>200000</v>
      </c>
      <c r="R16" s="242"/>
      <c r="S16" s="242">
        <f t="shared" si="4"/>
        <v>200000</v>
      </c>
      <c r="T16" s="242">
        <f t="shared" si="5"/>
        <v>0</v>
      </c>
      <c r="U16" s="14">
        <f t="shared" si="6"/>
        <v>1170000</v>
      </c>
      <c r="V16" s="242">
        <v>1170000</v>
      </c>
      <c r="W16" s="242">
        <f t="shared" si="10"/>
        <v>0</v>
      </c>
      <c r="X16" s="242"/>
      <c r="Y16" s="241"/>
      <c r="Z16" s="13"/>
      <c r="AA16" s="13"/>
      <c r="AB16" s="241">
        <f t="shared" si="11"/>
        <v>0</v>
      </c>
      <c r="AC16" s="14"/>
      <c r="AD16" s="14"/>
      <c r="AE16" s="242">
        <f t="shared" si="12"/>
        <v>0</v>
      </c>
      <c r="AF16" s="14"/>
      <c r="AG16" s="14"/>
      <c r="AH16" s="242">
        <f t="shared" si="13"/>
        <v>0</v>
      </c>
      <c r="AI16" s="14">
        <v>400000</v>
      </c>
      <c r="AJ16" s="14"/>
      <c r="AK16" s="242">
        <f t="shared" si="14"/>
        <v>400000</v>
      </c>
      <c r="AL16" s="14"/>
      <c r="AM16" s="14"/>
      <c r="AN16" s="242">
        <f t="shared" si="15"/>
        <v>0</v>
      </c>
      <c r="AO16" s="14"/>
      <c r="AP16" s="14"/>
      <c r="AQ16" s="242">
        <f t="shared" si="16"/>
        <v>0</v>
      </c>
      <c r="AR16" s="14"/>
      <c r="AS16" s="14"/>
      <c r="AT16" s="242">
        <f t="shared" si="17"/>
        <v>0</v>
      </c>
      <c r="AU16" s="14"/>
      <c r="AV16" s="14"/>
      <c r="AW16" s="242">
        <f t="shared" si="18"/>
        <v>0</v>
      </c>
      <c r="AX16" s="242">
        <v>770000</v>
      </c>
      <c r="AY16" s="14"/>
      <c r="AZ16" s="242">
        <f t="shared" si="19"/>
        <v>770000</v>
      </c>
      <c r="BA16" s="242"/>
      <c r="BB16" s="14"/>
      <c r="BC16" s="242">
        <f t="shared" si="20"/>
        <v>0</v>
      </c>
      <c r="BD16" s="242"/>
      <c r="BE16" s="14"/>
      <c r="BF16" s="242">
        <f t="shared" si="21"/>
        <v>0</v>
      </c>
      <c r="BG16" s="242">
        <f t="shared" si="22"/>
        <v>1170000</v>
      </c>
      <c r="BH16" s="242"/>
      <c r="BI16" s="242">
        <f t="shared" si="23"/>
        <v>1170000</v>
      </c>
      <c r="BJ16" s="242">
        <f t="shared" si="24"/>
        <v>0</v>
      </c>
      <c r="BK16" s="242">
        <v>1170000</v>
      </c>
      <c r="BL16" s="242">
        <f t="shared" si="25"/>
        <v>0</v>
      </c>
      <c r="BM16" s="241"/>
      <c r="BN16" s="242"/>
      <c r="BO16" s="242">
        <f t="shared" si="26"/>
        <v>0</v>
      </c>
      <c r="BP16" s="241"/>
      <c r="BQ16" s="242"/>
      <c r="BR16" s="242">
        <f t="shared" si="27"/>
        <v>0</v>
      </c>
      <c r="BS16" s="241"/>
      <c r="BT16" s="527">
        <v>746000</v>
      </c>
    </row>
    <row r="17" spans="1:72" s="244" customFormat="1">
      <c r="A17" s="241">
        <f t="shared" si="7"/>
        <v>11</v>
      </c>
      <c r="B17" s="241">
        <v>1504</v>
      </c>
      <c r="C17" s="241" t="s">
        <v>158</v>
      </c>
      <c r="D17" s="242">
        <v>1700000</v>
      </c>
      <c r="E17" s="242">
        <v>1450000</v>
      </c>
      <c r="F17" s="242">
        <f t="shared" si="0"/>
        <v>250000</v>
      </c>
      <c r="G17" s="242">
        <v>1250000</v>
      </c>
      <c r="H17" s="242">
        <v>1172547</v>
      </c>
      <c r="I17" s="242">
        <v>59575</v>
      </c>
      <c r="J17" s="242"/>
      <c r="K17" s="242">
        <f t="shared" si="8"/>
        <v>59575</v>
      </c>
      <c r="L17" s="242">
        <f t="shared" si="1"/>
        <v>1232122</v>
      </c>
      <c r="M17" s="242">
        <f t="shared" si="9"/>
        <v>17878</v>
      </c>
      <c r="N17" s="242">
        <f>250000-200000</f>
        <v>50000</v>
      </c>
      <c r="O17" s="242">
        <f t="shared" si="2"/>
        <v>400000</v>
      </c>
      <c r="P17" s="242">
        <f t="shared" si="3"/>
        <v>17878</v>
      </c>
      <c r="Q17" s="242"/>
      <c r="R17" s="242"/>
      <c r="S17" s="242">
        <f t="shared" si="4"/>
        <v>0</v>
      </c>
      <c r="T17" s="242">
        <f t="shared" si="5"/>
        <v>0</v>
      </c>
      <c r="U17" s="14">
        <f t="shared" si="6"/>
        <v>50000</v>
      </c>
      <c r="V17" s="242"/>
      <c r="W17" s="242">
        <f t="shared" si="10"/>
        <v>50000</v>
      </c>
      <c r="X17" s="242"/>
      <c r="Y17" s="241"/>
      <c r="Z17" s="241"/>
      <c r="AA17" s="241"/>
      <c r="AB17" s="241">
        <f t="shared" si="11"/>
        <v>0</v>
      </c>
      <c r="AC17" s="242"/>
      <c r="AD17" s="242"/>
      <c r="AE17" s="242">
        <f t="shared" si="12"/>
        <v>0</v>
      </c>
      <c r="AF17" s="242">
        <v>50000</v>
      </c>
      <c r="AG17" s="242"/>
      <c r="AH17" s="242">
        <f t="shared" si="13"/>
        <v>50000</v>
      </c>
      <c r="AI17" s="242"/>
      <c r="AJ17" s="242"/>
      <c r="AK17" s="242">
        <f t="shared" si="14"/>
        <v>0</v>
      </c>
      <c r="AL17" s="242"/>
      <c r="AM17" s="242"/>
      <c r="AN17" s="242">
        <f t="shared" si="15"/>
        <v>0</v>
      </c>
      <c r="AO17" s="242"/>
      <c r="AP17" s="242"/>
      <c r="AQ17" s="242">
        <f t="shared" si="16"/>
        <v>0</v>
      </c>
      <c r="AR17" s="242"/>
      <c r="AS17" s="242"/>
      <c r="AT17" s="242">
        <f t="shared" si="17"/>
        <v>0</v>
      </c>
      <c r="AU17" s="242"/>
      <c r="AV17" s="242"/>
      <c r="AW17" s="242">
        <f t="shared" si="18"/>
        <v>0</v>
      </c>
      <c r="AX17" s="242"/>
      <c r="AY17" s="242"/>
      <c r="AZ17" s="242">
        <f t="shared" si="19"/>
        <v>0</v>
      </c>
      <c r="BA17" s="242"/>
      <c r="BB17" s="242"/>
      <c r="BC17" s="242">
        <f t="shared" si="20"/>
        <v>0</v>
      </c>
      <c r="BD17" s="242"/>
      <c r="BE17" s="242"/>
      <c r="BF17" s="242">
        <f t="shared" si="21"/>
        <v>0</v>
      </c>
      <c r="BG17" s="242">
        <f t="shared" si="22"/>
        <v>50000</v>
      </c>
      <c r="BH17" s="242"/>
      <c r="BI17" s="242">
        <f t="shared" si="23"/>
        <v>50000</v>
      </c>
      <c r="BJ17" s="242">
        <f t="shared" si="24"/>
        <v>0</v>
      </c>
      <c r="BK17" s="242"/>
      <c r="BL17" s="242">
        <f t="shared" si="25"/>
        <v>50000</v>
      </c>
      <c r="BM17" s="241"/>
      <c r="BN17" s="242"/>
      <c r="BO17" s="242">
        <f t="shared" si="26"/>
        <v>0</v>
      </c>
      <c r="BP17" s="241"/>
      <c r="BQ17" s="242"/>
      <c r="BR17" s="242">
        <f t="shared" si="27"/>
        <v>0</v>
      </c>
      <c r="BS17" s="241"/>
      <c r="BT17" s="527">
        <v>746000</v>
      </c>
    </row>
    <row r="18" spans="1:72" s="244" customFormat="1">
      <c r="A18" s="241">
        <f t="shared" si="7"/>
        <v>12</v>
      </c>
      <c r="B18" s="241">
        <v>1564</v>
      </c>
      <c r="C18" s="241" t="s">
        <v>159</v>
      </c>
      <c r="D18" s="242">
        <v>350000</v>
      </c>
      <c r="E18" s="242">
        <v>382000</v>
      </c>
      <c r="F18" s="242">
        <f t="shared" si="0"/>
        <v>-32000</v>
      </c>
      <c r="G18" s="242">
        <v>350000</v>
      </c>
      <c r="H18" s="242">
        <v>333177.02</v>
      </c>
      <c r="I18" s="242">
        <v>16822.97</v>
      </c>
      <c r="J18" s="242"/>
      <c r="K18" s="242">
        <f t="shared" si="8"/>
        <v>16822.97</v>
      </c>
      <c r="L18" s="242">
        <f t="shared" si="1"/>
        <v>349999.99</v>
      </c>
      <c r="M18" s="242">
        <f t="shared" si="9"/>
        <v>1.0000000009313226E-2</v>
      </c>
      <c r="N18" s="242"/>
      <c r="O18" s="242">
        <f t="shared" si="2"/>
        <v>0</v>
      </c>
      <c r="P18" s="242">
        <f t="shared" si="3"/>
        <v>1.0000000009313226E-2</v>
      </c>
      <c r="Q18" s="242"/>
      <c r="R18" s="242"/>
      <c r="S18" s="242">
        <f t="shared" si="4"/>
        <v>0</v>
      </c>
      <c r="T18" s="242">
        <f t="shared" si="5"/>
        <v>0</v>
      </c>
      <c r="U18" s="14">
        <f t="shared" si="6"/>
        <v>0</v>
      </c>
      <c r="V18" s="242"/>
      <c r="W18" s="242">
        <f t="shared" si="10"/>
        <v>0</v>
      </c>
      <c r="X18" s="242"/>
      <c r="Y18" s="241"/>
      <c r="Z18" s="241"/>
      <c r="AA18" s="241"/>
      <c r="AB18" s="241">
        <f t="shared" si="11"/>
        <v>0</v>
      </c>
      <c r="AC18" s="242"/>
      <c r="AD18" s="242"/>
      <c r="AE18" s="242">
        <f t="shared" si="12"/>
        <v>0</v>
      </c>
      <c r="AF18" s="242"/>
      <c r="AG18" s="242"/>
      <c r="AH18" s="242">
        <f t="shared" si="13"/>
        <v>0</v>
      </c>
      <c r="AI18" s="242"/>
      <c r="AJ18" s="242"/>
      <c r="AK18" s="242">
        <f t="shared" si="14"/>
        <v>0</v>
      </c>
      <c r="AL18" s="242"/>
      <c r="AM18" s="242"/>
      <c r="AN18" s="242">
        <f t="shared" si="15"/>
        <v>0</v>
      </c>
      <c r="AO18" s="242"/>
      <c r="AP18" s="242"/>
      <c r="AQ18" s="242">
        <f t="shared" si="16"/>
        <v>0</v>
      </c>
      <c r="AR18" s="242"/>
      <c r="AS18" s="242"/>
      <c r="AT18" s="242">
        <f t="shared" si="17"/>
        <v>0</v>
      </c>
      <c r="AU18" s="242"/>
      <c r="AV18" s="242"/>
      <c r="AW18" s="242">
        <f t="shared" si="18"/>
        <v>0</v>
      </c>
      <c r="AX18" s="242"/>
      <c r="AY18" s="242"/>
      <c r="AZ18" s="242">
        <f t="shared" si="19"/>
        <v>0</v>
      </c>
      <c r="BA18" s="242"/>
      <c r="BB18" s="242"/>
      <c r="BC18" s="242">
        <f t="shared" si="20"/>
        <v>0</v>
      </c>
      <c r="BD18" s="242"/>
      <c r="BE18" s="242"/>
      <c r="BF18" s="242">
        <f t="shared" si="21"/>
        <v>0</v>
      </c>
      <c r="BG18" s="242">
        <f t="shared" si="22"/>
        <v>0</v>
      </c>
      <c r="BH18" s="242"/>
      <c r="BI18" s="242">
        <f t="shared" si="23"/>
        <v>0</v>
      </c>
      <c r="BJ18" s="242">
        <f t="shared" si="24"/>
        <v>0</v>
      </c>
      <c r="BK18" s="242"/>
      <c r="BL18" s="242">
        <f t="shared" si="25"/>
        <v>0</v>
      </c>
      <c r="BM18" s="241"/>
      <c r="BN18" s="242"/>
      <c r="BO18" s="242">
        <f t="shared" si="26"/>
        <v>0</v>
      </c>
      <c r="BP18" s="241"/>
      <c r="BQ18" s="242"/>
      <c r="BR18" s="242">
        <f t="shared" si="27"/>
        <v>0</v>
      </c>
      <c r="BS18" s="241"/>
      <c r="BT18" s="527">
        <v>930000</v>
      </c>
    </row>
    <row r="19" spans="1:72" s="244" customFormat="1">
      <c r="A19" s="241">
        <f t="shared" si="7"/>
        <v>13</v>
      </c>
      <c r="B19" s="241">
        <v>1629</v>
      </c>
      <c r="C19" s="241" t="s">
        <v>160</v>
      </c>
      <c r="D19" s="242">
        <v>900000</v>
      </c>
      <c r="E19" s="242">
        <v>400000</v>
      </c>
      <c r="F19" s="242">
        <f t="shared" si="0"/>
        <v>500000</v>
      </c>
      <c r="G19" s="242">
        <v>250000</v>
      </c>
      <c r="H19" s="242">
        <v>158903.67000000001</v>
      </c>
      <c r="I19" s="242">
        <v>18626.02</v>
      </c>
      <c r="J19" s="242"/>
      <c r="K19" s="242">
        <f t="shared" si="8"/>
        <v>18626.02</v>
      </c>
      <c r="L19" s="242">
        <f t="shared" si="1"/>
        <v>177529.69</v>
      </c>
      <c r="M19" s="242">
        <f t="shared" si="9"/>
        <v>72470.31</v>
      </c>
      <c r="N19" s="242">
        <f>500000-400000</f>
        <v>100000</v>
      </c>
      <c r="O19" s="242">
        <f t="shared" si="2"/>
        <v>550000</v>
      </c>
      <c r="P19" s="242">
        <f t="shared" si="3"/>
        <v>72470.31</v>
      </c>
      <c r="Q19" s="242"/>
      <c r="R19" s="242"/>
      <c r="S19" s="242">
        <f t="shared" si="4"/>
        <v>0</v>
      </c>
      <c r="T19" s="242">
        <f t="shared" si="5"/>
        <v>0</v>
      </c>
      <c r="U19" s="14">
        <f t="shared" si="6"/>
        <v>100000</v>
      </c>
      <c r="V19" s="242"/>
      <c r="W19" s="242">
        <f t="shared" si="10"/>
        <v>100000</v>
      </c>
      <c r="X19" s="242"/>
      <c r="Y19" s="241"/>
      <c r="Z19" s="241"/>
      <c r="AA19" s="241"/>
      <c r="AB19" s="241">
        <f t="shared" si="11"/>
        <v>0</v>
      </c>
      <c r="AC19" s="242">
        <v>100000</v>
      </c>
      <c r="AD19" s="242"/>
      <c r="AE19" s="242">
        <f t="shared" si="12"/>
        <v>100000</v>
      </c>
      <c r="AF19" s="242"/>
      <c r="AG19" s="242"/>
      <c r="AH19" s="242">
        <f t="shared" si="13"/>
        <v>0</v>
      </c>
      <c r="AI19" s="242"/>
      <c r="AJ19" s="242"/>
      <c r="AK19" s="242">
        <f t="shared" si="14"/>
        <v>0</v>
      </c>
      <c r="AL19" s="242"/>
      <c r="AM19" s="242"/>
      <c r="AN19" s="242">
        <f t="shared" si="15"/>
        <v>0</v>
      </c>
      <c r="AO19" s="242"/>
      <c r="AP19" s="242"/>
      <c r="AQ19" s="242">
        <f t="shared" si="16"/>
        <v>0</v>
      </c>
      <c r="AR19" s="242"/>
      <c r="AS19" s="242"/>
      <c r="AT19" s="242">
        <f t="shared" si="17"/>
        <v>0</v>
      </c>
      <c r="AU19" s="242"/>
      <c r="AV19" s="242"/>
      <c r="AW19" s="242">
        <f t="shared" si="18"/>
        <v>0</v>
      </c>
      <c r="AX19" s="242"/>
      <c r="AY19" s="242"/>
      <c r="AZ19" s="242">
        <f t="shared" si="19"/>
        <v>0</v>
      </c>
      <c r="BA19" s="242"/>
      <c r="BB19" s="242"/>
      <c r="BC19" s="242">
        <f t="shared" si="20"/>
        <v>0</v>
      </c>
      <c r="BD19" s="242"/>
      <c r="BE19" s="242"/>
      <c r="BF19" s="242">
        <f t="shared" si="21"/>
        <v>0</v>
      </c>
      <c r="BG19" s="242">
        <f t="shared" si="22"/>
        <v>100000</v>
      </c>
      <c r="BH19" s="242"/>
      <c r="BI19" s="242">
        <f t="shared" si="23"/>
        <v>100000</v>
      </c>
      <c r="BJ19" s="242">
        <f t="shared" si="24"/>
        <v>0</v>
      </c>
      <c r="BK19" s="242"/>
      <c r="BL19" s="242">
        <f t="shared" si="25"/>
        <v>100000</v>
      </c>
      <c r="BM19" s="241"/>
      <c r="BN19" s="242"/>
      <c r="BO19" s="242">
        <f t="shared" si="26"/>
        <v>0</v>
      </c>
      <c r="BP19" s="241"/>
      <c r="BQ19" s="242"/>
      <c r="BR19" s="242">
        <f t="shared" si="27"/>
        <v>0</v>
      </c>
      <c r="BS19" s="241"/>
      <c r="BT19" s="527">
        <v>746000</v>
      </c>
    </row>
    <row r="20" spans="1:72" s="244" customFormat="1">
      <c r="A20" s="241">
        <f t="shared" si="7"/>
        <v>14</v>
      </c>
      <c r="B20" s="241">
        <v>1680</v>
      </c>
      <c r="C20" s="241" t="s">
        <v>161</v>
      </c>
      <c r="D20" s="242">
        <v>950000</v>
      </c>
      <c r="E20" s="242">
        <v>950000</v>
      </c>
      <c r="F20" s="242">
        <f t="shared" si="0"/>
        <v>0</v>
      </c>
      <c r="G20" s="242">
        <v>100000</v>
      </c>
      <c r="H20" s="242">
        <v>40950</v>
      </c>
      <c r="I20" s="242"/>
      <c r="J20" s="242"/>
      <c r="K20" s="242">
        <f t="shared" si="8"/>
        <v>0</v>
      </c>
      <c r="L20" s="242">
        <f t="shared" si="1"/>
        <v>40950</v>
      </c>
      <c r="M20" s="242">
        <f t="shared" si="9"/>
        <v>159050</v>
      </c>
      <c r="N20" s="242">
        <f>600000-500000</f>
        <v>100000</v>
      </c>
      <c r="O20" s="242">
        <f t="shared" si="2"/>
        <v>650000</v>
      </c>
      <c r="P20" s="242">
        <f t="shared" si="3"/>
        <v>59050</v>
      </c>
      <c r="Q20" s="483">
        <v>100000</v>
      </c>
      <c r="R20" s="242"/>
      <c r="S20" s="242">
        <f t="shared" si="4"/>
        <v>100000</v>
      </c>
      <c r="T20" s="242">
        <f t="shared" si="5"/>
        <v>0</v>
      </c>
      <c r="U20" s="14">
        <f t="shared" si="6"/>
        <v>100000</v>
      </c>
      <c r="V20" s="242"/>
      <c r="W20" s="242">
        <f t="shared" si="10"/>
        <v>100000</v>
      </c>
      <c r="X20" s="242"/>
      <c r="Y20" s="241"/>
      <c r="Z20" s="241"/>
      <c r="AA20" s="241"/>
      <c r="AB20" s="241">
        <f t="shared" si="11"/>
        <v>0</v>
      </c>
      <c r="AC20" s="242"/>
      <c r="AD20" s="242"/>
      <c r="AE20" s="241">
        <f t="shared" si="12"/>
        <v>0</v>
      </c>
      <c r="AF20" s="242"/>
      <c r="AG20" s="242"/>
      <c r="AH20" s="241">
        <f t="shared" si="13"/>
        <v>0</v>
      </c>
      <c r="AI20" s="242"/>
      <c r="AJ20" s="242"/>
      <c r="AK20" s="241">
        <f t="shared" si="14"/>
        <v>0</v>
      </c>
      <c r="AL20" s="242"/>
      <c r="AM20" s="242"/>
      <c r="AN20" s="241">
        <f t="shared" si="15"/>
        <v>0</v>
      </c>
      <c r="AO20" s="242"/>
      <c r="AP20" s="242"/>
      <c r="AQ20" s="241">
        <f t="shared" si="16"/>
        <v>0</v>
      </c>
      <c r="AR20" s="242"/>
      <c r="AS20" s="242"/>
      <c r="AT20" s="241">
        <f t="shared" si="17"/>
        <v>0</v>
      </c>
      <c r="AU20" s="242"/>
      <c r="AV20" s="242"/>
      <c r="AW20" s="241">
        <f t="shared" si="18"/>
        <v>0</v>
      </c>
      <c r="AX20" s="242"/>
      <c r="AY20" s="242"/>
      <c r="AZ20" s="241">
        <f t="shared" si="19"/>
        <v>0</v>
      </c>
      <c r="BA20" s="242">
        <v>100000</v>
      </c>
      <c r="BB20" s="242"/>
      <c r="BC20" s="242">
        <f t="shared" si="20"/>
        <v>100000</v>
      </c>
      <c r="BD20" s="242"/>
      <c r="BE20" s="242"/>
      <c r="BF20" s="242">
        <f t="shared" si="21"/>
        <v>0</v>
      </c>
      <c r="BG20" s="242">
        <f t="shared" si="22"/>
        <v>100000</v>
      </c>
      <c r="BH20" s="242"/>
      <c r="BI20" s="242">
        <f t="shared" si="23"/>
        <v>100000</v>
      </c>
      <c r="BJ20" s="242">
        <f t="shared" si="24"/>
        <v>0</v>
      </c>
      <c r="BK20" s="242"/>
      <c r="BL20" s="242">
        <f t="shared" si="25"/>
        <v>100000</v>
      </c>
      <c r="BM20" s="241"/>
      <c r="BN20" s="242"/>
      <c r="BO20" s="242">
        <f t="shared" si="26"/>
        <v>0</v>
      </c>
      <c r="BP20" s="241"/>
      <c r="BQ20" s="242"/>
      <c r="BR20" s="242">
        <f t="shared" si="27"/>
        <v>0</v>
      </c>
      <c r="BS20" s="241"/>
      <c r="BT20" s="527">
        <v>746000</v>
      </c>
    </row>
    <row r="21" spans="1:72" s="244" customFormat="1">
      <c r="A21" s="241">
        <f t="shared" si="7"/>
        <v>15</v>
      </c>
      <c r="B21" s="241">
        <v>1861</v>
      </c>
      <c r="C21" s="241" t="s">
        <v>315</v>
      </c>
      <c r="D21" s="242">
        <v>270000</v>
      </c>
      <c r="E21" s="242">
        <v>270000</v>
      </c>
      <c r="F21" s="242">
        <f t="shared" si="0"/>
        <v>0</v>
      </c>
      <c r="G21" s="242">
        <v>0</v>
      </c>
      <c r="H21" s="242">
        <v>0</v>
      </c>
      <c r="I21" s="242">
        <v>0</v>
      </c>
      <c r="J21" s="242"/>
      <c r="K21" s="242">
        <f t="shared" si="8"/>
        <v>0</v>
      </c>
      <c r="L21" s="242">
        <f t="shared" si="1"/>
        <v>0</v>
      </c>
      <c r="M21" s="242">
        <f t="shared" si="9"/>
        <v>0</v>
      </c>
      <c r="N21" s="242">
        <v>270000</v>
      </c>
      <c r="O21" s="242">
        <f t="shared" si="2"/>
        <v>0</v>
      </c>
      <c r="P21" s="242">
        <f t="shared" si="3"/>
        <v>0</v>
      </c>
      <c r="Q21" s="242"/>
      <c r="R21" s="242"/>
      <c r="S21" s="242">
        <f t="shared" si="4"/>
        <v>0</v>
      </c>
      <c r="T21" s="242">
        <f t="shared" si="5"/>
        <v>0</v>
      </c>
      <c r="U21" s="14">
        <f t="shared" si="6"/>
        <v>270000</v>
      </c>
      <c r="V21" s="242"/>
      <c r="W21" s="242">
        <f t="shared" si="10"/>
        <v>270000</v>
      </c>
      <c r="X21" s="242"/>
      <c r="Y21" s="241"/>
      <c r="Z21" s="241"/>
      <c r="AA21" s="241"/>
      <c r="AB21" s="241">
        <f t="shared" si="11"/>
        <v>0</v>
      </c>
      <c r="AC21" s="242"/>
      <c r="AD21" s="242"/>
      <c r="AE21" s="241">
        <f t="shared" si="12"/>
        <v>0</v>
      </c>
      <c r="AF21" s="242"/>
      <c r="AG21" s="242"/>
      <c r="AH21" s="241">
        <f t="shared" si="13"/>
        <v>0</v>
      </c>
      <c r="AI21" s="242"/>
      <c r="AJ21" s="242"/>
      <c r="AK21" s="241">
        <f t="shared" si="14"/>
        <v>0</v>
      </c>
      <c r="AL21" s="242"/>
      <c r="AM21" s="242"/>
      <c r="AN21" s="241">
        <f t="shared" si="15"/>
        <v>0</v>
      </c>
      <c r="AO21" s="242"/>
      <c r="AP21" s="242"/>
      <c r="AQ21" s="241">
        <f t="shared" si="16"/>
        <v>0</v>
      </c>
      <c r="AR21" s="242"/>
      <c r="AS21" s="242"/>
      <c r="AT21" s="241">
        <f t="shared" si="17"/>
        <v>0</v>
      </c>
      <c r="AU21" s="242"/>
      <c r="AV21" s="242"/>
      <c r="AW21" s="241">
        <f t="shared" si="18"/>
        <v>0</v>
      </c>
      <c r="AX21" s="242">
        <v>270000</v>
      </c>
      <c r="AY21" s="242"/>
      <c r="AZ21" s="242">
        <f t="shared" si="19"/>
        <v>270000</v>
      </c>
      <c r="BA21" s="242"/>
      <c r="BB21" s="242"/>
      <c r="BC21" s="242">
        <f t="shared" si="20"/>
        <v>0</v>
      </c>
      <c r="BD21" s="242"/>
      <c r="BE21" s="242"/>
      <c r="BF21" s="242">
        <f t="shared" si="21"/>
        <v>0</v>
      </c>
      <c r="BG21" s="242">
        <f t="shared" si="22"/>
        <v>270000</v>
      </c>
      <c r="BH21" s="242"/>
      <c r="BI21" s="242">
        <f t="shared" si="23"/>
        <v>270000</v>
      </c>
      <c r="BJ21" s="242">
        <f t="shared" si="24"/>
        <v>0</v>
      </c>
      <c r="BK21" s="242"/>
      <c r="BL21" s="242">
        <f t="shared" si="25"/>
        <v>270000</v>
      </c>
      <c r="BM21" s="241"/>
      <c r="BN21" s="242"/>
      <c r="BO21" s="242">
        <f t="shared" si="26"/>
        <v>0</v>
      </c>
      <c r="BP21" s="241"/>
      <c r="BQ21" s="242"/>
      <c r="BR21" s="242">
        <f t="shared" si="27"/>
        <v>0</v>
      </c>
      <c r="BS21" s="241"/>
      <c r="BT21" s="527">
        <v>714000</v>
      </c>
    </row>
    <row r="22" spans="1:72" s="244" customFormat="1" ht="30">
      <c r="A22" s="241">
        <f t="shared" si="7"/>
        <v>16</v>
      </c>
      <c r="B22" s="241">
        <v>1893</v>
      </c>
      <c r="C22" s="241" t="s">
        <v>764</v>
      </c>
      <c r="D22" s="242">
        <v>300000</v>
      </c>
      <c r="E22" s="242">
        <v>300000</v>
      </c>
      <c r="F22" s="242">
        <f t="shared" si="0"/>
        <v>0</v>
      </c>
      <c r="G22" s="242">
        <v>150000</v>
      </c>
      <c r="H22" s="242">
        <v>0</v>
      </c>
      <c r="I22" s="242">
        <v>0</v>
      </c>
      <c r="J22" s="242"/>
      <c r="K22" s="242">
        <f t="shared" si="8"/>
        <v>0</v>
      </c>
      <c r="L22" s="242">
        <f t="shared" si="1"/>
        <v>0</v>
      </c>
      <c r="M22" s="242">
        <f t="shared" si="9"/>
        <v>150000</v>
      </c>
      <c r="N22" s="242">
        <v>150000</v>
      </c>
      <c r="O22" s="242">
        <f t="shared" si="2"/>
        <v>0</v>
      </c>
      <c r="P22" s="242">
        <f t="shared" si="3"/>
        <v>150000</v>
      </c>
      <c r="Q22" s="242"/>
      <c r="R22" s="242"/>
      <c r="S22" s="242">
        <f t="shared" si="4"/>
        <v>0</v>
      </c>
      <c r="T22" s="242">
        <f t="shared" si="5"/>
        <v>0</v>
      </c>
      <c r="U22" s="14">
        <f t="shared" si="6"/>
        <v>150000</v>
      </c>
      <c r="V22" s="242"/>
      <c r="W22" s="242">
        <f t="shared" si="10"/>
        <v>150000</v>
      </c>
      <c r="X22" s="242"/>
      <c r="Y22" s="241"/>
      <c r="Z22" s="241"/>
      <c r="AA22" s="241"/>
      <c r="AB22" s="241">
        <f t="shared" si="11"/>
        <v>0</v>
      </c>
      <c r="AC22" s="242"/>
      <c r="AD22" s="242"/>
      <c r="AE22" s="241">
        <f t="shared" si="12"/>
        <v>0</v>
      </c>
      <c r="AF22" s="242"/>
      <c r="AG22" s="242"/>
      <c r="AH22" s="241">
        <f t="shared" si="13"/>
        <v>0</v>
      </c>
      <c r="AI22" s="242"/>
      <c r="AJ22" s="242"/>
      <c r="AK22" s="241">
        <f t="shared" si="14"/>
        <v>0</v>
      </c>
      <c r="AL22" s="242"/>
      <c r="AM22" s="242"/>
      <c r="AN22" s="241">
        <f t="shared" si="15"/>
        <v>0</v>
      </c>
      <c r="AO22" s="242"/>
      <c r="AP22" s="242"/>
      <c r="AQ22" s="241">
        <f t="shared" si="16"/>
        <v>0</v>
      </c>
      <c r="AR22" s="242"/>
      <c r="AS22" s="242"/>
      <c r="AT22" s="241">
        <f t="shared" si="17"/>
        <v>0</v>
      </c>
      <c r="AU22" s="242"/>
      <c r="AV22" s="242"/>
      <c r="AW22" s="241">
        <f t="shared" si="18"/>
        <v>0</v>
      </c>
      <c r="AX22" s="242"/>
      <c r="AY22" s="242"/>
      <c r="AZ22" s="241">
        <f t="shared" si="19"/>
        <v>0</v>
      </c>
      <c r="BA22" s="242">
        <v>30000</v>
      </c>
      <c r="BB22" s="242"/>
      <c r="BC22" s="242">
        <f t="shared" si="20"/>
        <v>30000</v>
      </c>
      <c r="BD22" s="242"/>
      <c r="BE22" s="242"/>
      <c r="BF22" s="242">
        <f t="shared" si="21"/>
        <v>0</v>
      </c>
      <c r="BG22" s="242">
        <f t="shared" si="22"/>
        <v>30000</v>
      </c>
      <c r="BH22" s="242"/>
      <c r="BI22" s="242">
        <f t="shared" si="23"/>
        <v>30000</v>
      </c>
      <c r="BJ22" s="242">
        <f t="shared" si="24"/>
        <v>120000</v>
      </c>
      <c r="BK22" s="242"/>
      <c r="BL22" s="242">
        <f t="shared" si="25"/>
        <v>30000</v>
      </c>
      <c r="BM22" s="241"/>
      <c r="BN22" s="242"/>
      <c r="BO22" s="242">
        <f t="shared" si="26"/>
        <v>0</v>
      </c>
      <c r="BP22" s="241"/>
      <c r="BQ22" s="242"/>
      <c r="BR22" s="242">
        <f t="shared" si="27"/>
        <v>120000</v>
      </c>
      <c r="BS22" s="241"/>
      <c r="BT22" s="527">
        <v>714000</v>
      </c>
    </row>
    <row r="23" spans="1:72" s="244" customFormat="1">
      <c r="A23" s="241">
        <f t="shared" si="7"/>
        <v>17</v>
      </c>
      <c r="B23" s="241">
        <v>1899</v>
      </c>
      <c r="C23" s="241" t="s">
        <v>367</v>
      </c>
      <c r="D23" s="242">
        <v>380000</v>
      </c>
      <c r="E23" s="242">
        <v>380000</v>
      </c>
      <c r="F23" s="242">
        <f t="shared" si="0"/>
        <v>0</v>
      </c>
      <c r="G23" s="242">
        <v>0</v>
      </c>
      <c r="H23" s="242">
        <v>0</v>
      </c>
      <c r="I23" s="242">
        <v>0</v>
      </c>
      <c r="J23" s="242"/>
      <c r="K23" s="242">
        <f t="shared" si="8"/>
        <v>0</v>
      </c>
      <c r="L23" s="242">
        <f t="shared" si="1"/>
        <v>0</v>
      </c>
      <c r="M23" s="242">
        <f t="shared" si="9"/>
        <v>170000</v>
      </c>
      <c r="N23" s="242"/>
      <c r="O23" s="242">
        <f t="shared" si="2"/>
        <v>210000</v>
      </c>
      <c r="P23" s="242">
        <f t="shared" si="3"/>
        <v>0</v>
      </c>
      <c r="Q23" s="242"/>
      <c r="R23" s="483">
        <v>170000</v>
      </c>
      <c r="S23" s="242">
        <f t="shared" si="4"/>
        <v>170000</v>
      </c>
      <c r="T23" s="242">
        <f t="shared" si="5"/>
        <v>0</v>
      </c>
      <c r="U23" s="14">
        <f t="shared" si="6"/>
        <v>0</v>
      </c>
      <c r="V23" s="242"/>
      <c r="W23" s="242">
        <f t="shared" si="10"/>
        <v>0</v>
      </c>
      <c r="X23" s="242"/>
      <c r="Y23" s="241"/>
      <c r="Z23" s="241"/>
      <c r="AA23" s="241"/>
      <c r="AB23" s="241">
        <f t="shared" si="11"/>
        <v>0</v>
      </c>
      <c r="AC23" s="242"/>
      <c r="AD23" s="242"/>
      <c r="AE23" s="241">
        <f t="shared" si="12"/>
        <v>0</v>
      </c>
      <c r="AF23" s="242"/>
      <c r="AG23" s="242"/>
      <c r="AH23" s="241">
        <f t="shared" si="13"/>
        <v>0</v>
      </c>
      <c r="AI23" s="242"/>
      <c r="AJ23" s="242"/>
      <c r="AK23" s="241">
        <f t="shared" si="14"/>
        <v>0</v>
      </c>
      <c r="AL23" s="242"/>
      <c r="AM23" s="242"/>
      <c r="AN23" s="241">
        <f t="shared" si="15"/>
        <v>0</v>
      </c>
      <c r="AO23" s="242"/>
      <c r="AP23" s="242"/>
      <c r="AQ23" s="241">
        <f t="shared" si="16"/>
        <v>0</v>
      </c>
      <c r="AR23" s="242"/>
      <c r="AS23" s="242"/>
      <c r="AT23" s="241">
        <f t="shared" si="17"/>
        <v>0</v>
      </c>
      <c r="AU23" s="242"/>
      <c r="AV23" s="242"/>
      <c r="AW23" s="241">
        <f t="shared" si="18"/>
        <v>0</v>
      </c>
      <c r="AX23" s="242"/>
      <c r="AY23" s="242"/>
      <c r="AZ23" s="241">
        <f t="shared" si="19"/>
        <v>0</v>
      </c>
      <c r="BA23" s="242"/>
      <c r="BB23" s="242"/>
      <c r="BC23" s="241">
        <f t="shared" si="20"/>
        <v>0</v>
      </c>
      <c r="BD23" s="242"/>
      <c r="BE23" s="242"/>
      <c r="BF23" s="241">
        <f t="shared" si="21"/>
        <v>0</v>
      </c>
      <c r="BG23" s="242">
        <f t="shared" si="22"/>
        <v>0</v>
      </c>
      <c r="BH23" s="242"/>
      <c r="BI23" s="242">
        <f t="shared" si="23"/>
        <v>0</v>
      </c>
      <c r="BJ23" s="242">
        <f t="shared" si="24"/>
        <v>0</v>
      </c>
      <c r="BK23" s="242"/>
      <c r="BL23" s="242">
        <f t="shared" si="25"/>
        <v>0</v>
      </c>
      <c r="BM23" s="241"/>
      <c r="BN23" s="242"/>
      <c r="BO23" s="242">
        <f t="shared" si="26"/>
        <v>0</v>
      </c>
      <c r="BP23" s="241"/>
      <c r="BQ23" s="242"/>
      <c r="BR23" s="242">
        <f t="shared" si="27"/>
        <v>0</v>
      </c>
      <c r="BS23" s="241"/>
      <c r="BT23" s="527">
        <v>870000</v>
      </c>
    </row>
    <row r="24" spans="1:72" s="244" customFormat="1">
      <c r="A24" s="241">
        <f t="shared" si="7"/>
        <v>18</v>
      </c>
      <c r="B24" s="241">
        <v>1971</v>
      </c>
      <c r="C24" s="241" t="s">
        <v>368</v>
      </c>
      <c r="D24" s="242">
        <v>2500000</v>
      </c>
      <c r="E24" s="242"/>
      <c r="F24" s="242">
        <f t="shared" si="0"/>
        <v>2500000</v>
      </c>
      <c r="G24" s="242">
        <v>0</v>
      </c>
      <c r="H24" s="242">
        <v>0</v>
      </c>
      <c r="I24" s="242">
        <v>0</v>
      </c>
      <c r="J24" s="242"/>
      <c r="K24" s="242">
        <f>SUM(I24:J24)</f>
        <v>0</v>
      </c>
      <c r="L24" s="242">
        <f t="shared" si="1"/>
        <v>0</v>
      </c>
      <c r="M24" s="242">
        <f t="shared" si="9"/>
        <v>0</v>
      </c>
      <c r="N24" s="242">
        <v>500000</v>
      </c>
      <c r="O24" s="242">
        <f t="shared" si="2"/>
        <v>2000000</v>
      </c>
      <c r="P24" s="242">
        <f t="shared" si="3"/>
        <v>0</v>
      </c>
      <c r="Q24" s="242"/>
      <c r="R24" s="242"/>
      <c r="S24" s="242">
        <f t="shared" si="4"/>
        <v>0</v>
      </c>
      <c r="T24" s="242">
        <f t="shared" si="5"/>
        <v>0</v>
      </c>
      <c r="U24" s="14">
        <f t="shared" si="6"/>
        <v>500000</v>
      </c>
      <c r="V24" s="242">
        <v>500000</v>
      </c>
      <c r="W24" s="242">
        <f t="shared" si="10"/>
        <v>0</v>
      </c>
      <c r="X24" s="242"/>
      <c r="Y24" s="241"/>
      <c r="Z24" s="242"/>
      <c r="AA24" s="242"/>
      <c r="AB24" s="241">
        <f t="shared" si="11"/>
        <v>0</v>
      </c>
      <c r="AC24" s="242"/>
      <c r="AD24" s="242">
        <v>100000</v>
      </c>
      <c r="AE24" s="242">
        <f t="shared" si="12"/>
        <v>100000</v>
      </c>
      <c r="AF24" s="242"/>
      <c r="AG24" s="242"/>
      <c r="AH24" s="242">
        <f t="shared" si="13"/>
        <v>0</v>
      </c>
      <c r="AI24" s="242"/>
      <c r="AJ24" s="242">
        <v>400000</v>
      </c>
      <c r="AK24" s="242">
        <f t="shared" si="14"/>
        <v>400000</v>
      </c>
      <c r="AL24" s="242"/>
      <c r="AM24" s="242"/>
      <c r="AN24" s="242">
        <f t="shared" si="15"/>
        <v>0</v>
      </c>
      <c r="AO24" s="242"/>
      <c r="AP24" s="242"/>
      <c r="AQ24" s="242">
        <f t="shared" si="16"/>
        <v>0</v>
      </c>
      <c r="AR24" s="242"/>
      <c r="AS24" s="242"/>
      <c r="AT24" s="242">
        <f t="shared" si="17"/>
        <v>0</v>
      </c>
      <c r="AU24" s="242"/>
      <c r="AV24" s="242"/>
      <c r="AW24" s="242">
        <f t="shared" si="18"/>
        <v>0</v>
      </c>
      <c r="AX24" s="242"/>
      <c r="AY24" s="242"/>
      <c r="AZ24" s="242">
        <f t="shared" si="19"/>
        <v>0</v>
      </c>
      <c r="BA24" s="242"/>
      <c r="BB24" s="242"/>
      <c r="BC24" s="242">
        <f t="shared" si="20"/>
        <v>0</v>
      </c>
      <c r="BD24" s="242"/>
      <c r="BE24" s="242"/>
      <c r="BF24" s="242">
        <f t="shared" si="21"/>
        <v>0</v>
      </c>
      <c r="BG24" s="242">
        <f t="shared" si="22"/>
        <v>500000</v>
      </c>
      <c r="BH24" s="242"/>
      <c r="BI24" s="242">
        <f t="shared" si="23"/>
        <v>500000</v>
      </c>
      <c r="BJ24" s="242">
        <f t="shared" si="24"/>
        <v>0</v>
      </c>
      <c r="BK24" s="242">
        <v>500000</v>
      </c>
      <c r="BL24" s="242">
        <f t="shared" si="25"/>
        <v>0</v>
      </c>
      <c r="BM24" s="241"/>
      <c r="BN24" s="242"/>
      <c r="BO24" s="242">
        <f t="shared" si="26"/>
        <v>0</v>
      </c>
      <c r="BP24" s="241"/>
      <c r="BQ24" s="242"/>
      <c r="BR24" s="242">
        <f t="shared" si="27"/>
        <v>0</v>
      </c>
      <c r="BS24" s="241"/>
      <c r="BT24" s="527">
        <v>746000</v>
      </c>
    </row>
    <row r="25" spans="1:72" s="244" customFormat="1">
      <c r="A25" s="241">
        <f t="shared" si="7"/>
        <v>19</v>
      </c>
      <c r="B25" s="241">
        <v>1972</v>
      </c>
      <c r="C25" s="241" t="s">
        <v>369</v>
      </c>
      <c r="D25" s="242">
        <v>4470000</v>
      </c>
      <c r="E25" s="242"/>
      <c r="F25" s="242">
        <f t="shared" si="0"/>
        <v>4470000</v>
      </c>
      <c r="G25" s="242">
        <v>0</v>
      </c>
      <c r="H25" s="242">
        <v>0</v>
      </c>
      <c r="I25" s="242"/>
      <c r="J25" s="242"/>
      <c r="K25" s="242">
        <f>SUM(I25:J25)</f>
        <v>0</v>
      </c>
      <c r="L25" s="242">
        <f t="shared" si="1"/>
        <v>0</v>
      </c>
      <c r="M25" s="242">
        <f t="shared" si="9"/>
        <v>0</v>
      </c>
      <c r="N25" s="242">
        <f>500000+2000000</f>
        <v>2500000</v>
      </c>
      <c r="O25" s="242">
        <f t="shared" si="2"/>
        <v>1970000</v>
      </c>
      <c r="P25" s="242">
        <f t="shared" si="3"/>
        <v>0</v>
      </c>
      <c r="Q25" s="242"/>
      <c r="R25" s="242"/>
      <c r="S25" s="242">
        <f t="shared" si="4"/>
        <v>0</v>
      </c>
      <c r="T25" s="242">
        <f t="shared" si="5"/>
        <v>0</v>
      </c>
      <c r="U25" s="14">
        <f t="shared" si="6"/>
        <v>2500000</v>
      </c>
      <c r="V25" s="242">
        <f>500000+2000000</f>
        <v>2500000</v>
      </c>
      <c r="W25" s="242">
        <f t="shared" si="10"/>
        <v>0</v>
      </c>
      <c r="X25" s="242"/>
      <c r="Y25" s="241"/>
      <c r="Z25" s="241"/>
      <c r="AA25" s="241"/>
      <c r="AB25" s="241">
        <f t="shared" si="11"/>
        <v>0</v>
      </c>
      <c r="AC25" s="242"/>
      <c r="AD25" s="242">
        <v>150000</v>
      </c>
      <c r="AE25" s="242">
        <f t="shared" si="12"/>
        <v>150000</v>
      </c>
      <c r="AF25" s="242"/>
      <c r="AG25" s="242"/>
      <c r="AH25" s="242">
        <f t="shared" si="13"/>
        <v>0</v>
      </c>
      <c r="AI25" s="242"/>
      <c r="AJ25" s="242">
        <v>500000</v>
      </c>
      <c r="AK25" s="242">
        <f t="shared" si="14"/>
        <v>500000</v>
      </c>
      <c r="AL25" s="242"/>
      <c r="AM25" s="242"/>
      <c r="AN25" s="242">
        <f t="shared" si="15"/>
        <v>0</v>
      </c>
      <c r="AO25" s="242"/>
      <c r="AP25" s="242"/>
      <c r="AQ25" s="242">
        <f t="shared" si="16"/>
        <v>0</v>
      </c>
      <c r="AR25" s="242"/>
      <c r="AS25" s="242"/>
      <c r="AT25" s="242">
        <f t="shared" si="17"/>
        <v>0</v>
      </c>
      <c r="AU25" s="242"/>
      <c r="AV25" s="242"/>
      <c r="AW25" s="242">
        <f t="shared" si="18"/>
        <v>0</v>
      </c>
      <c r="AX25" s="242"/>
      <c r="AY25" s="242"/>
      <c r="AZ25" s="242">
        <f t="shared" si="19"/>
        <v>0</v>
      </c>
      <c r="BA25" s="242"/>
      <c r="BB25" s="242"/>
      <c r="BC25" s="242">
        <f t="shared" si="20"/>
        <v>0</v>
      </c>
      <c r="BD25" s="242"/>
      <c r="BE25" s="242"/>
      <c r="BF25" s="242">
        <f t="shared" si="21"/>
        <v>0</v>
      </c>
      <c r="BG25" s="242">
        <f t="shared" si="22"/>
        <v>650000</v>
      </c>
      <c r="BH25" s="242"/>
      <c r="BI25" s="242">
        <f t="shared" si="23"/>
        <v>650000</v>
      </c>
      <c r="BJ25" s="242">
        <f t="shared" si="24"/>
        <v>1850000</v>
      </c>
      <c r="BK25" s="242">
        <v>650000</v>
      </c>
      <c r="BL25" s="242">
        <f t="shared" si="25"/>
        <v>0</v>
      </c>
      <c r="BM25" s="241"/>
      <c r="BN25" s="242"/>
      <c r="BO25" s="242">
        <f t="shared" si="26"/>
        <v>0</v>
      </c>
      <c r="BP25" s="241"/>
      <c r="BQ25" s="242">
        <v>1850000</v>
      </c>
      <c r="BR25" s="242">
        <f t="shared" si="27"/>
        <v>0</v>
      </c>
      <c r="BS25" s="241"/>
      <c r="BT25" s="527">
        <v>746000</v>
      </c>
    </row>
    <row r="26" spans="1:72" s="244" customFormat="1">
      <c r="A26" s="241">
        <f t="shared" si="7"/>
        <v>20</v>
      </c>
      <c r="B26" s="241">
        <v>1973</v>
      </c>
      <c r="C26" s="241" t="s">
        <v>370</v>
      </c>
      <c r="D26" s="242">
        <v>1800000</v>
      </c>
      <c r="E26" s="242"/>
      <c r="F26" s="242">
        <f>D26-E26</f>
        <v>1800000</v>
      </c>
      <c r="G26" s="242">
        <v>0</v>
      </c>
      <c r="H26" s="242">
        <v>0</v>
      </c>
      <c r="I26" s="242"/>
      <c r="J26" s="242"/>
      <c r="K26" s="242">
        <f>SUM(I26:J26)</f>
        <v>0</v>
      </c>
      <c r="L26" s="242">
        <f>H26+K26</f>
        <v>0</v>
      </c>
      <c r="M26" s="242">
        <f>P26+S26</f>
        <v>0</v>
      </c>
      <c r="N26" s="242">
        <v>600000</v>
      </c>
      <c r="O26" s="242">
        <f>D26-L26-M26-N26</f>
        <v>1200000</v>
      </c>
      <c r="P26" s="242">
        <f>G26-L26</f>
        <v>0</v>
      </c>
      <c r="Q26" s="242"/>
      <c r="R26" s="242"/>
      <c r="S26" s="242">
        <f>SUM(Q26:R26)</f>
        <v>0</v>
      </c>
      <c r="T26" s="242">
        <f>P26-M26+S26</f>
        <v>0</v>
      </c>
      <c r="U26" s="14">
        <f>N26-T26</f>
        <v>600000</v>
      </c>
      <c r="V26" s="242"/>
      <c r="W26" s="242">
        <f>U26-V26-X26-Y26</f>
        <v>600000</v>
      </c>
      <c r="X26" s="242"/>
      <c r="Y26" s="241"/>
      <c r="Z26" s="241"/>
      <c r="AA26" s="241"/>
      <c r="AB26" s="241">
        <f t="shared" si="11"/>
        <v>0</v>
      </c>
      <c r="AC26" s="242"/>
      <c r="AD26" s="242"/>
      <c r="AE26" s="241">
        <f t="shared" si="12"/>
        <v>0</v>
      </c>
      <c r="AF26" s="242"/>
      <c r="AG26" s="242"/>
      <c r="AH26" s="241">
        <f t="shared" si="13"/>
        <v>0</v>
      </c>
      <c r="AI26" s="242">
        <v>300000</v>
      </c>
      <c r="AJ26" s="242"/>
      <c r="AK26" s="242">
        <f t="shared" si="14"/>
        <v>300000</v>
      </c>
      <c r="AL26" s="242"/>
      <c r="AM26" s="242"/>
      <c r="AN26" s="242">
        <f t="shared" si="15"/>
        <v>0</v>
      </c>
      <c r="AO26" s="242"/>
      <c r="AP26" s="242"/>
      <c r="AQ26" s="242">
        <f t="shared" si="16"/>
        <v>0</v>
      </c>
      <c r="AR26" s="242"/>
      <c r="AS26" s="242"/>
      <c r="AT26" s="242">
        <f t="shared" si="17"/>
        <v>0</v>
      </c>
      <c r="AU26" s="242"/>
      <c r="AV26" s="242"/>
      <c r="AW26" s="242">
        <f t="shared" si="18"/>
        <v>0</v>
      </c>
      <c r="AX26" s="242">
        <v>100000</v>
      </c>
      <c r="AY26" s="242"/>
      <c r="AZ26" s="242">
        <f t="shared" si="19"/>
        <v>100000</v>
      </c>
      <c r="BA26" s="242"/>
      <c r="BB26" s="242"/>
      <c r="BC26" s="242">
        <f t="shared" si="20"/>
        <v>0</v>
      </c>
      <c r="BD26" s="242"/>
      <c r="BE26" s="242"/>
      <c r="BF26" s="242">
        <f t="shared" si="21"/>
        <v>0</v>
      </c>
      <c r="BG26" s="242">
        <f t="shared" si="22"/>
        <v>400000</v>
      </c>
      <c r="BH26" s="242">
        <v>200000</v>
      </c>
      <c r="BI26" s="242">
        <f t="shared" si="23"/>
        <v>600000</v>
      </c>
      <c r="BJ26" s="242">
        <f t="shared" si="24"/>
        <v>0</v>
      </c>
      <c r="BK26" s="242"/>
      <c r="BL26" s="242">
        <f t="shared" si="25"/>
        <v>600000</v>
      </c>
      <c r="BM26" s="241"/>
      <c r="BN26" s="242"/>
      <c r="BO26" s="242">
        <f t="shared" si="26"/>
        <v>200000</v>
      </c>
      <c r="BP26" s="241"/>
      <c r="BQ26" s="242"/>
      <c r="BR26" s="242">
        <f t="shared" si="27"/>
        <v>0</v>
      </c>
      <c r="BS26" s="241"/>
      <c r="BT26" s="527">
        <v>742000</v>
      </c>
    </row>
    <row r="27" spans="1:72" s="244" customFormat="1">
      <c r="A27" s="241">
        <f t="shared" si="7"/>
        <v>21</v>
      </c>
      <c r="B27" s="241">
        <v>1974</v>
      </c>
      <c r="C27" s="241" t="s">
        <v>765</v>
      </c>
      <c r="D27" s="242">
        <v>500000</v>
      </c>
      <c r="E27" s="242"/>
      <c r="F27" s="242">
        <f t="shared" si="0"/>
        <v>500000</v>
      </c>
      <c r="G27" s="242">
        <v>0</v>
      </c>
      <c r="H27" s="242">
        <v>0</v>
      </c>
      <c r="I27" s="242"/>
      <c r="J27" s="242"/>
      <c r="K27" s="242">
        <f>SUM(I27:J27)</f>
        <v>0</v>
      </c>
      <c r="L27" s="242">
        <f t="shared" si="1"/>
        <v>0</v>
      </c>
      <c r="M27" s="242">
        <f t="shared" si="9"/>
        <v>0</v>
      </c>
      <c r="N27" s="242">
        <v>500000</v>
      </c>
      <c r="O27" s="242">
        <f t="shared" si="2"/>
        <v>0</v>
      </c>
      <c r="P27" s="242">
        <f t="shared" si="3"/>
        <v>0</v>
      </c>
      <c r="Q27" s="242"/>
      <c r="R27" s="242"/>
      <c r="S27" s="242">
        <f t="shared" si="4"/>
        <v>0</v>
      </c>
      <c r="T27" s="242">
        <f t="shared" si="5"/>
        <v>0</v>
      </c>
      <c r="U27" s="14">
        <f t="shared" si="6"/>
        <v>500000</v>
      </c>
      <c r="V27" s="242">
        <v>500000</v>
      </c>
      <c r="W27" s="242">
        <f t="shared" si="10"/>
        <v>0</v>
      </c>
      <c r="X27" s="242"/>
      <c r="Y27" s="241"/>
      <c r="Z27" s="241"/>
      <c r="AA27" s="241"/>
      <c r="AB27" s="241">
        <f t="shared" si="11"/>
        <v>0</v>
      </c>
      <c r="AC27" s="242"/>
      <c r="AD27" s="242"/>
      <c r="AE27" s="241">
        <f t="shared" si="12"/>
        <v>0</v>
      </c>
      <c r="AF27" s="242"/>
      <c r="AG27" s="242"/>
      <c r="AH27" s="241">
        <f t="shared" si="13"/>
        <v>0</v>
      </c>
      <c r="AI27" s="242">
        <v>200000</v>
      </c>
      <c r="AJ27" s="242"/>
      <c r="AK27" s="242">
        <f t="shared" si="14"/>
        <v>200000</v>
      </c>
      <c r="AL27" s="242"/>
      <c r="AM27" s="242"/>
      <c r="AN27" s="242">
        <f t="shared" si="15"/>
        <v>0</v>
      </c>
      <c r="AO27" s="242"/>
      <c r="AP27" s="242"/>
      <c r="AQ27" s="242">
        <f t="shared" si="16"/>
        <v>0</v>
      </c>
      <c r="AR27" s="242"/>
      <c r="AS27" s="242"/>
      <c r="AT27" s="242">
        <f t="shared" si="17"/>
        <v>0</v>
      </c>
      <c r="AU27" s="242"/>
      <c r="AV27" s="242"/>
      <c r="AW27" s="242">
        <f t="shared" si="18"/>
        <v>0</v>
      </c>
      <c r="AX27" s="242"/>
      <c r="AY27" s="242"/>
      <c r="AZ27" s="242">
        <f t="shared" si="19"/>
        <v>0</v>
      </c>
      <c r="BA27" s="242"/>
      <c r="BB27" s="242"/>
      <c r="BC27" s="242">
        <f t="shared" si="20"/>
        <v>0</v>
      </c>
      <c r="BD27" s="242"/>
      <c r="BE27" s="242"/>
      <c r="BF27" s="242">
        <f t="shared" si="21"/>
        <v>0</v>
      </c>
      <c r="BG27" s="242">
        <f t="shared" si="22"/>
        <v>200000</v>
      </c>
      <c r="BH27" s="242"/>
      <c r="BI27" s="242">
        <f t="shared" si="23"/>
        <v>200000</v>
      </c>
      <c r="BJ27" s="242">
        <f t="shared" si="24"/>
        <v>300000</v>
      </c>
      <c r="BK27" s="242">
        <v>200000</v>
      </c>
      <c r="BL27" s="242">
        <f t="shared" si="25"/>
        <v>0</v>
      </c>
      <c r="BM27" s="241"/>
      <c r="BN27" s="242"/>
      <c r="BO27" s="242">
        <f t="shared" si="26"/>
        <v>0</v>
      </c>
      <c r="BP27" s="241"/>
      <c r="BQ27" s="242">
        <v>300000</v>
      </c>
      <c r="BR27" s="242">
        <f t="shared" si="27"/>
        <v>0</v>
      </c>
      <c r="BS27" s="241"/>
      <c r="BT27" s="527">
        <v>746000</v>
      </c>
    </row>
    <row r="28" spans="1:72" s="250" customFormat="1" ht="15.75">
      <c r="A28" s="248">
        <f>A27</f>
        <v>21</v>
      </c>
      <c r="B28" s="248" t="s">
        <v>82</v>
      </c>
      <c r="C28" s="248" t="s">
        <v>162</v>
      </c>
      <c r="D28" s="249">
        <f t="shared" ref="D28:BS28" si="28">SUM(D7:D27)</f>
        <v>121760000</v>
      </c>
      <c r="E28" s="249">
        <f t="shared" si="28"/>
        <v>93922000</v>
      </c>
      <c r="F28" s="249">
        <f t="shared" si="28"/>
        <v>27838000</v>
      </c>
      <c r="G28" s="249">
        <f t="shared" si="28"/>
        <v>74690000</v>
      </c>
      <c r="H28" s="249">
        <f t="shared" si="28"/>
        <v>66801642.750000007</v>
      </c>
      <c r="I28" s="249">
        <f t="shared" si="28"/>
        <v>6438280.0999999987</v>
      </c>
      <c r="J28" s="249">
        <f t="shared" si="28"/>
        <v>0</v>
      </c>
      <c r="K28" s="249">
        <f t="shared" si="28"/>
        <v>6438280.0999999987</v>
      </c>
      <c r="L28" s="249">
        <f t="shared" si="28"/>
        <v>73239922.849999994</v>
      </c>
      <c r="M28" s="249">
        <f t="shared" si="28"/>
        <v>3170077.1500000018</v>
      </c>
      <c r="N28" s="249">
        <f t="shared" si="28"/>
        <v>14614320</v>
      </c>
      <c r="O28" s="249">
        <f t="shared" si="28"/>
        <v>30735680</v>
      </c>
      <c r="P28" s="249">
        <f t="shared" si="28"/>
        <v>1450077.1500000015</v>
      </c>
      <c r="Q28" s="249">
        <f t="shared" si="28"/>
        <v>1550000</v>
      </c>
      <c r="R28" s="249">
        <f t="shared" si="28"/>
        <v>170000</v>
      </c>
      <c r="S28" s="249">
        <f t="shared" si="28"/>
        <v>1720000</v>
      </c>
      <c r="T28" s="249">
        <f t="shared" si="28"/>
        <v>0</v>
      </c>
      <c r="U28" s="249">
        <f t="shared" si="28"/>
        <v>14614320</v>
      </c>
      <c r="V28" s="249">
        <f t="shared" si="28"/>
        <v>9820000</v>
      </c>
      <c r="W28" s="249">
        <f t="shared" si="28"/>
        <v>4720000</v>
      </c>
      <c r="X28" s="249">
        <f t="shared" si="28"/>
        <v>0</v>
      </c>
      <c r="Y28" s="249">
        <f t="shared" si="28"/>
        <v>74320</v>
      </c>
      <c r="Z28" s="249">
        <f t="shared" si="28"/>
        <v>0</v>
      </c>
      <c r="AA28" s="249">
        <f t="shared" si="28"/>
        <v>0</v>
      </c>
      <c r="AB28" s="249">
        <f t="shared" si="28"/>
        <v>0</v>
      </c>
      <c r="AC28" s="249">
        <f t="shared" si="28"/>
        <v>1824320</v>
      </c>
      <c r="AD28" s="249">
        <f t="shared" si="28"/>
        <v>250000</v>
      </c>
      <c r="AE28" s="249">
        <f t="shared" si="28"/>
        <v>2074320</v>
      </c>
      <c r="AF28" s="249">
        <f t="shared" si="28"/>
        <v>1000000</v>
      </c>
      <c r="AG28" s="249">
        <f t="shared" si="28"/>
        <v>0</v>
      </c>
      <c r="AH28" s="249">
        <f t="shared" si="28"/>
        <v>1000000</v>
      </c>
      <c r="AI28" s="249">
        <f t="shared" si="28"/>
        <v>1800000</v>
      </c>
      <c r="AJ28" s="249">
        <f t="shared" si="28"/>
        <v>900000</v>
      </c>
      <c r="AK28" s="249">
        <f t="shared" si="28"/>
        <v>2700000</v>
      </c>
      <c r="AL28" s="249">
        <f t="shared" si="28"/>
        <v>1200000</v>
      </c>
      <c r="AM28" s="249">
        <f t="shared" si="28"/>
        <v>0</v>
      </c>
      <c r="AN28" s="249">
        <f t="shared" si="28"/>
        <v>1200000</v>
      </c>
      <c r="AO28" s="249">
        <f t="shared" si="28"/>
        <v>200000</v>
      </c>
      <c r="AP28" s="249">
        <f t="shared" si="28"/>
        <v>0</v>
      </c>
      <c r="AQ28" s="249">
        <f t="shared" si="28"/>
        <v>200000</v>
      </c>
      <c r="AR28" s="249">
        <f t="shared" si="28"/>
        <v>1050000</v>
      </c>
      <c r="AS28" s="249">
        <f t="shared" si="28"/>
        <v>0</v>
      </c>
      <c r="AT28" s="249">
        <f t="shared" si="28"/>
        <v>1050000</v>
      </c>
      <c r="AU28" s="249">
        <f t="shared" si="28"/>
        <v>400000</v>
      </c>
      <c r="AV28" s="249">
        <f t="shared" si="28"/>
        <v>0</v>
      </c>
      <c r="AW28" s="249">
        <f t="shared" si="28"/>
        <v>400000</v>
      </c>
      <c r="AX28" s="249">
        <f t="shared" si="28"/>
        <v>2340000</v>
      </c>
      <c r="AY28" s="249">
        <f t="shared" si="28"/>
        <v>0</v>
      </c>
      <c r="AZ28" s="249">
        <f t="shared" si="28"/>
        <v>2340000</v>
      </c>
      <c r="BA28" s="249">
        <f t="shared" si="28"/>
        <v>1180000</v>
      </c>
      <c r="BB28" s="249">
        <f t="shared" si="28"/>
        <v>0</v>
      </c>
      <c r="BC28" s="249">
        <f t="shared" si="28"/>
        <v>1180000</v>
      </c>
      <c r="BD28" s="249">
        <f t="shared" si="28"/>
        <v>0</v>
      </c>
      <c r="BE28" s="249">
        <f t="shared" si="28"/>
        <v>0</v>
      </c>
      <c r="BF28" s="249">
        <f t="shared" si="28"/>
        <v>0</v>
      </c>
      <c r="BG28" s="249">
        <f t="shared" si="28"/>
        <v>12144320</v>
      </c>
      <c r="BH28" s="249">
        <f t="shared" si="28"/>
        <v>200000</v>
      </c>
      <c r="BI28" s="249">
        <f t="shared" si="28"/>
        <v>12344320</v>
      </c>
      <c r="BJ28" s="249">
        <f t="shared" si="28"/>
        <v>2270000</v>
      </c>
      <c r="BK28" s="249">
        <f t="shared" si="28"/>
        <v>7670000</v>
      </c>
      <c r="BL28" s="249">
        <f t="shared" ref="BL28:BQ28" si="29">SUM(BL7:BL27)</f>
        <v>4600000</v>
      </c>
      <c r="BM28" s="249">
        <f t="shared" si="29"/>
        <v>74320</v>
      </c>
      <c r="BN28" s="249">
        <f>SUM(BN7:BN27)</f>
        <v>0</v>
      </c>
      <c r="BO28" s="249">
        <f>SUM(BO7:BO27)</f>
        <v>200000</v>
      </c>
      <c r="BP28" s="249">
        <f>SUM(BP7:BP27)</f>
        <v>0</v>
      </c>
      <c r="BQ28" s="249">
        <f t="shared" si="29"/>
        <v>2150000</v>
      </c>
      <c r="BR28" s="249">
        <f t="shared" si="28"/>
        <v>120000</v>
      </c>
      <c r="BS28" s="249">
        <f t="shared" si="28"/>
        <v>0</v>
      </c>
      <c r="BT28" s="249"/>
    </row>
    <row r="29" spans="1:72" s="250" customFormat="1" ht="15.75">
      <c r="A29" s="248"/>
      <c r="B29" s="248"/>
      <c r="C29" s="248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7"/>
      <c r="V29" s="249"/>
      <c r="W29" s="249"/>
      <c r="X29" s="249"/>
      <c r="Y29" s="249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528"/>
    </row>
    <row r="30" spans="1:72" s="244" customFormat="1" ht="15.75">
      <c r="A30" s="241"/>
      <c r="B30" s="241"/>
      <c r="C30" s="248" t="s">
        <v>186</v>
      </c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>
        <f>P30-M30+R30</f>
        <v>0</v>
      </c>
      <c r="U30" s="14">
        <f t="shared" ref="U30:U68" si="30">N30-T30</f>
        <v>0</v>
      </c>
      <c r="V30" s="242"/>
      <c r="W30" s="242"/>
      <c r="X30" s="242"/>
      <c r="Y30" s="241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527"/>
    </row>
    <row r="31" spans="1:72" s="244" customFormat="1">
      <c r="A31" s="241">
        <v>1</v>
      </c>
      <c r="B31" s="394">
        <v>1492</v>
      </c>
      <c r="C31" s="394" t="s">
        <v>766</v>
      </c>
      <c r="D31" s="242">
        <v>1763529</v>
      </c>
      <c r="E31" s="242">
        <v>1763529</v>
      </c>
      <c r="F31" s="242">
        <f t="shared" ref="F31:F52" si="31">D31-E31</f>
        <v>0</v>
      </c>
      <c r="G31" s="242">
        <v>1763529</v>
      </c>
      <c r="H31" s="242">
        <v>1752569.54</v>
      </c>
      <c r="I31" s="242"/>
      <c r="J31" s="242"/>
      <c r="K31" s="242">
        <f>SUM(I31:J31)</f>
        <v>0</v>
      </c>
      <c r="L31" s="242">
        <f t="shared" ref="L31:L53" si="32">H31+K31</f>
        <v>1752569.54</v>
      </c>
      <c r="M31" s="242">
        <f>P31+S31</f>
        <v>10959.459999999963</v>
      </c>
      <c r="N31" s="242"/>
      <c r="O31" s="242">
        <f t="shared" ref="O31:O53" si="33">D31-L31-M31-N31</f>
        <v>0</v>
      </c>
      <c r="P31" s="242">
        <f t="shared" ref="P31:P53" si="34">G31-L31</f>
        <v>10959.459999999963</v>
      </c>
      <c r="Q31" s="242"/>
      <c r="R31" s="242"/>
      <c r="S31" s="242">
        <f t="shared" ref="S31:S53" si="35">SUM(Q31:R31)</f>
        <v>0</v>
      </c>
      <c r="T31" s="242">
        <f t="shared" ref="T31:T53" si="36">P31-M31+S31</f>
        <v>0</v>
      </c>
      <c r="U31" s="14">
        <f t="shared" si="30"/>
        <v>0</v>
      </c>
      <c r="V31" s="242"/>
      <c r="W31" s="242">
        <f>U31-V31-X31-Y31</f>
        <v>0</v>
      </c>
      <c r="X31" s="242"/>
      <c r="Y31" s="241"/>
      <c r="Z31" s="241"/>
      <c r="AA31" s="241"/>
      <c r="AB31" s="241">
        <f>SUM(Z31:AA31)</f>
        <v>0</v>
      </c>
      <c r="AC31" s="241"/>
      <c r="AD31" s="241"/>
      <c r="AE31" s="241">
        <f>SUM(AC31:AD31)</f>
        <v>0</v>
      </c>
      <c r="AF31" s="241"/>
      <c r="AG31" s="241"/>
      <c r="AH31" s="241">
        <f>SUM(AF31:AG31)</f>
        <v>0</v>
      </c>
      <c r="AI31" s="241"/>
      <c r="AJ31" s="241"/>
      <c r="AK31" s="241">
        <f>SUM(AI31:AJ31)</f>
        <v>0</v>
      </c>
      <c r="AL31" s="241"/>
      <c r="AM31" s="241"/>
      <c r="AN31" s="241">
        <f>SUM(AL31:AM31)</f>
        <v>0</v>
      </c>
      <c r="AO31" s="241"/>
      <c r="AP31" s="241"/>
      <c r="AQ31" s="241">
        <f>SUM(AO31:AP31)</f>
        <v>0</v>
      </c>
      <c r="AR31" s="241"/>
      <c r="AS31" s="241"/>
      <c r="AT31" s="241">
        <f>SUM(AR31:AS31)</f>
        <v>0</v>
      </c>
      <c r="AU31" s="241"/>
      <c r="AV31" s="241"/>
      <c r="AW31" s="241">
        <f>SUM(AU31:AV31)</f>
        <v>0</v>
      </c>
      <c r="AX31" s="241"/>
      <c r="AY31" s="241"/>
      <c r="AZ31" s="241">
        <f>SUM(AX31:AY31)</f>
        <v>0</v>
      </c>
      <c r="BA31" s="241"/>
      <c r="BB31" s="241"/>
      <c r="BC31" s="241">
        <f>SUM(BA31:BB31)</f>
        <v>0</v>
      </c>
      <c r="BD31" s="241"/>
      <c r="BE31" s="241"/>
      <c r="BF31" s="241">
        <f>SUM(BD31:BE31)</f>
        <v>0</v>
      </c>
      <c r="BG31" s="242">
        <f t="shared" ref="BG31:BG53" si="37">BF31+AB31+AE31+AH31+AK31+AN31+AQ31+AT31+AW31+AZ31+BC31</f>
        <v>0</v>
      </c>
      <c r="BH31" s="242"/>
      <c r="BI31" s="242">
        <f>BH31+BG31</f>
        <v>0</v>
      </c>
      <c r="BJ31" s="242">
        <f>U31-BI31</f>
        <v>0</v>
      </c>
      <c r="BK31" s="241"/>
      <c r="BL31" s="242">
        <f>BI31-BK31-BM31</f>
        <v>0</v>
      </c>
      <c r="BM31" s="241"/>
      <c r="BN31" s="242"/>
      <c r="BO31" s="242">
        <f>BH31-BN31-BP31</f>
        <v>0</v>
      </c>
      <c r="BP31" s="241"/>
      <c r="BQ31" s="242"/>
      <c r="BR31" s="242">
        <f>BJ31-BQ31-BS31</f>
        <v>0</v>
      </c>
      <c r="BS31" s="241"/>
      <c r="BT31" s="527">
        <v>747000</v>
      </c>
    </row>
    <row r="32" spans="1:72" s="244" customFormat="1">
      <c r="A32" s="241">
        <f>A31+1</f>
        <v>2</v>
      </c>
      <c r="B32" s="241">
        <v>1630</v>
      </c>
      <c r="C32" s="241" t="s">
        <v>115</v>
      </c>
      <c r="D32" s="242">
        <v>960000</v>
      </c>
      <c r="E32" s="242">
        <v>960000</v>
      </c>
      <c r="F32" s="242">
        <f t="shared" si="31"/>
        <v>0</v>
      </c>
      <c r="G32" s="242">
        <v>80000</v>
      </c>
      <c r="H32" s="242">
        <v>0</v>
      </c>
      <c r="I32" s="242">
        <v>60395</v>
      </c>
      <c r="J32" s="242"/>
      <c r="K32" s="242">
        <f t="shared" ref="K32:K40" si="38">SUM(I32:J32)</f>
        <v>60395</v>
      </c>
      <c r="L32" s="242">
        <f t="shared" si="32"/>
        <v>60395</v>
      </c>
      <c r="M32" s="242">
        <f t="shared" ref="M32:M39" si="39">P32+S32</f>
        <v>19605</v>
      </c>
      <c r="N32" s="242">
        <v>450000</v>
      </c>
      <c r="O32" s="242">
        <f t="shared" si="33"/>
        <v>430000</v>
      </c>
      <c r="P32" s="242">
        <f t="shared" si="34"/>
        <v>19605</v>
      </c>
      <c r="Q32" s="242"/>
      <c r="R32" s="242"/>
      <c r="S32" s="242">
        <f t="shared" si="35"/>
        <v>0</v>
      </c>
      <c r="T32" s="242">
        <f t="shared" si="36"/>
        <v>0</v>
      </c>
      <c r="U32" s="14">
        <f t="shared" si="30"/>
        <v>450000</v>
      </c>
      <c r="V32" s="242"/>
      <c r="W32" s="242">
        <f t="shared" ref="W32:W39" si="40">U32-V32-X32-Y32</f>
        <v>450000</v>
      </c>
      <c r="X32" s="242"/>
      <c r="Y32" s="241"/>
      <c r="Z32" s="242"/>
      <c r="AA32" s="242"/>
      <c r="AB32" s="241">
        <f t="shared" ref="AB32:AB53" si="41">SUM(Z32:AA32)</f>
        <v>0</v>
      </c>
      <c r="AC32" s="242">
        <v>450000</v>
      </c>
      <c r="AD32" s="242"/>
      <c r="AE32" s="242">
        <f t="shared" ref="AE32:AE53" si="42">SUM(AC32:AD32)</f>
        <v>450000</v>
      </c>
      <c r="AF32" s="242"/>
      <c r="AG32" s="242"/>
      <c r="AH32" s="242">
        <f t="shared" ref="AH32:AH53" si="43">SUM(AF32:AG32)</f>
        <v>0</v>
      </c>
      <c r="AI32" s="242"/>
      <c r="AJ32" s="242"/>
      <c r="AK32" s="242">
        <f t="shared" ref="AK32:AK53" si="44">SUM(AI32:AJ32)</f>
        <v>0</v>
      </c>
      <c r="AL32" s="242"/>
      <c r="AM32" s="242"/>
      <c r="AN32" s="242">
        <f t="shared" ref="AN32:AN53" si="45">SUM(AL32:AM32)</f>
        <v>0</v>
      </c>
      <c r="AO32" s="242"/>
      <c r="AP32" s="242"/>
      <c r="AQ32" s="242">
        <f t="shared" ref="AQ32:AQ53" si="46">SUM(AO32:AP32)</f>
        <v>0</v>
      </c>
      <c r="AR32" s="242"/>
      <c r="AS32" s="242"/>
      <c r="AT32" s="242">
        <f t="shared" ref="AT32:AT53" si="47">SUM(AR32:AS32)</f>
        <v>0</v>
      </c>
      <c r="AU32" s="242"/>
      <c r="AV32" s="242"/>
      <c r="AW32" s="242">
        <f t="shared" ref="AW32:AW53" si="48">SUM(AU32:AV32)</f>
        <v>0</v>
      </c>
      <c r="AX32" s="242"/>
      <c r="AY32" s="242"/>
      <c r="AZ32" s="242">
        <f t="shared" ref="AZ32:AZ53" si="49">SUM(AX32:AY32)</f>
        <v>0</v>
      </c>
      <c r="BA32" s="242"/>
      <c r="BB32" s="242"/>
      <c r="BC32" s="242">
        <f t="shared" ref="BC32:BC53" si="50">SUM(BA32:BB32)</f>
        <v>0</v>
      </c>
      <c r="BD32" s="242"/>
      <c r="BE32" s="242"/>
      <c r="BF32" s="242">
        <f t="shared" ref="BF32:BF53" si="51">SUM(BD32:BE32)</f>
        <v>0</v>
      </c>
      <c r="BG32" s="242">
        <f t="shared" si="37"/>
        <v>450000</v>
      </c>
      <c r="BH32" s="242"/>
      <c r="BI32" s="242">
        <f t="shared" ref="BI32:BI53" si="52">BH32+BG32</f>
        <v>450000</v>
      </c>
      <c r="BJ32" s="242">
        <f t="shared" ref="BJ32:BJ53" si="53">U32-BI32</f>
        <v>0</v>
      </c>
      <c r="BK32" s="241"/>
      <c r="BL32" s="242">
        <f t="shared" ref="BL32:BL53" si="54">BI32-BK32-BM32</f>
        <v>450000</v>
      </c>
      <c r="BM32" s="241"/>
      <c r="BN32" s="242"/>
      <c r="BO32" s="242">
        <f t="shared" ref="BO32:BO53" si="55">BH32-BN32-BP32</f>
        <v>0</v>
      </c>
      <c r="BP32" s="241"/>
      <c r="BQ32" s="242"/>
      <c r="BR32" s="242">
        <f t="shared" ref="BR32:BR53" si="56">BJ32-BQ32-BS32</f>
        <v>0</v>
      </c>
      <c r="BS32" s="241"/>
      <c r="BT32" s="527">
        <v>747000</v>
      </c>
    </row>
    <row r="33" spans="1:72" s="244" customFormat="1">
      <c r="A33" s="241">
        <f t="shared" ref="A33:A52" si="57">A32+1</f>
        <v>3</v>
      </c>
      <c r="B33" s="241">
        <v>1634</v>
      </c>
      <c r="C33" s="241" t="s">
        <v>116</v>
      </c>
      <c r="D33" s="242">
        <v>50000</v>
      </c>
      <c r="E33" s="242">
        <v>50000</v>
      </c>
      <c r="F33" s="242">
        <f t="shared" si="31"/>
        <v>0</v>
      </c>
      <c r="G33" s="242">
        <v>50000</v>
      </c>
      <c r="H33" s="242">
        <v>36036</v>
      </c>
      <c r="I33" s="242"/>
      <c r="J33" s="242"/>
      <c r="K33" s="242">
        <f t="shared" si="38"/>
        <v>0</v>
      </c>
      <c r="L33" s="242">
        <f t="shared" si="32"/>
        <v>36036</v>
      </c>
      <c r="M33" s="242">
        <f t="shared" si="39"/>
        <v>13964</v>
      </c>
      <c r="N33" s="242"/>
      <c r="O33" s="242">
        <f t="shared" si="33"/>
        <v>0</v>
      </c>
      <c r="P33" s="242">
        <f t="shared" si="34"/>
        <v>13964</v>
      </c>
      <c r="Q33" s="242"/>
      <c r="R33" s="242"/>
      <c r="S33" s="242">
        <f t="shared" si="35"/>
        <v>0</v>
      </c>
      <c r="T33" s="242">
        <f t="shared" si="36"/>
        <v>0</v>
      </c>
      <c r="U33" s="14">
        <f t="shared" si="30"/>
        <v>0</v>
      </c>
      <c r="V33" s="242"/>
      <c r="W33" s="242">
        <f t="shared" si="40"/>
        <v>0</v>
      </c>
      <c r="X33" s="242"/>
      <c r="Y33" s="241"/>
      <c r="Z33" s="241"/>
      <c r="AA33" s="241"/>
      <c r="AB33" s="241">
        <f t="shared" si="41"/>
        <v>0</v>
      </c>
      <c r="AC33" s="241"/>
      <c r="AD33" s="241"/>
      <c r="AE33" s="241">
        <f t="shared" si="42"/>
        <v>0</v>
      </c>
      <c r="AF33" s="241"/>
      <c r="AG33" s="241"/>
      <c r="AH33" s="241">
        <f t="shared" si="43"/>
        <v>0</v>
      </c>
      <c r="AI33" s="241"/>
      <c r="AJ33" s="241"/>
      <c r="AK33" s="241">
        <f t="shared" si="44"/>
        <v>0</v>
      </c>
      <c r="AL33" s="241"/>
      <c r="AM33" s="241"/>
      <c r="AN33" s="241">
        <f t="shared" si="45"/>
        <v>0</v>
      </c>
      <c r="AO33" s="241"/>
      <c r="AP33" s="241"/>
      <c r="AQ33" s="241">
        <f t="shared" si="46"/>
        <v>0</v>
      </c>
      <c r="AR33" s="241"/>
      <c r="AS33" s="241"/>
      <c r="AT33" s="241">
        <f t="shared" si="47"/>
        <v>0</v>
      </c>
      <c r="AU33" s="241"/>
      <c r="AV33" s="241"/>
      <c r="AW33" s="241">
        <f t="shared" si="48"/>
        <v>0</v>
      </c>
      <c r="AX33" s="241"/>
      <c r="AY33" s="241"/>
      <c r="AZ33" s="241">
        <f t="shared" si="49"/>
        <v>0</v>
      </c>
      <c r="BA33" s="241"/>
      <c r="BB33" s="241"/>
      <c r="BC33" s="241">
        <f t="shared" si="50"/>
        <v>0</v>
      </c>
      <c r="BD33" s="241"/>
      <c r="BE33" s="241"/>
      <c r="BF33" s="241">
        <f t="shared" si="51"/>
        <v>0</v>
      </c>
      <c r="BG33" s="242">
        <f t="shared" si="37"/>
        <v>0</v>
      </c>
      <c r="BH33" s="242"/>
      <c r="BI33" s="242">
        <f t="shared" si="52"/>
        <v>0</v>
      </c>
      <c r="BJ33" s="242">
        <f t="shared" si="53"/>
        <v>0</v>
      </c>
      <c r="BK33" s="241"/>
      <c r="BL33" s="242">
        <f t="shared" si="54"/>
        <v>0</v>
      </c>
      <c r="BM33" s="241"/>
      <c r="BN33" s="242"/>
      <c r="BO33" s="242">
        <f t="shared" si="55"/>
        <v>0</v>
      </c>
      <c r="BP33" s="241"/>
      <c r="BQ33" s="242"/>
      <c r="BR33" s="242">
        <f t="shared" si="56"/>
        <v>0</v>
      </c>
      <c r="BS33" s="241"/>
      <c r="BT33" s="527">
        <v>747000</v>
      </c>
    </row>
    <row r="34" spans="1:72" s="244" customFormat="1">
      <c r="A34" s="241">
        <f t="shared" si="57"/>
        <v>4</v>
      </c>
      <c r="B34" s="241">
        <v>1683</v>
      </c>
      <c r="C34" s="241" t="s">
        <v>117</v>
      </c>
      <c r="D34" s="242">
        <v>2300000</v>
      </c>
      <c r="E34" s="242">
        <v>2300000</v>
      </c>
      <c r="F34" s="242">
        <f t="shared" si="31"/>
        <v>0</v>
      </c>
      <c r="G34" s="242">
        <v>2300000</v>
      </c>
      <c r="H34" s="242">
        <v>2120905.9300000002</v>
      </c>
      <c r="I34" s="242">
        <v>168570.8</v>
      </c>
      <c r="J34" s="242"/>
      <c r="K34" s="242">
        <f t="shared" si="38"/>
        <v>168570.8</v>
      </c>
      <c r="L34" s="242">
        <f t="shared" si="32"/>
        <v>2289476.73</v>
      </c>
      <c r="M34" s="242">
        <f t="shared" si="39"/>
        <v>10523.270000000019</v>
      </c>
      <c r="N34" s="242"/>
      <c r="O34" s="242">
        <f t="shared" si="33"/>
        <v>0</v>
      </c>
      <c r="P34" s="242">
        <f t="shared" si="34"/>
        <v>10523.270000000019</v>
      </c>
      <c r="Q34" s="242"/>
      <c r="R34" s="242"/>
      <c r="S34" s="242">
        <f t="shared" si="35"/>
        <v>0</v>
      </c>
      <c r="T34" s="242">
        <f t="shared" si="36"/>
        <v>0</v>
      </c>
      <c r="U34" s="14">
        <f t="shared" si="30"/>
        <v>0</v>
      </c>
      <c r="V34" s="242"/>
      <c r="W34" s="242">
        <f t="shared" si="40"/>
        <v>0</v>
      </c>
      <c r="X34" s="242"/>
      <c r="Y34" s="241"/>
      <c r="Z34" s="14"/>
      <c r="AA34" s="14"/>
      <c r="AB34" s="241">
        <f t="shared" si="41"/>
        <v>0</v>
      </c>
      <c r="AC34" s="14"/>
      <c r="AD34" s="14"/>
      <c r="AE34" s="241">
        <f t="shared" si="42"/>
        <v>0</v>
      </c>
      <c r="AF34" s="14"/>
      <c r="AG34" s="14"/>
      <c r="AH34" s="241">
        <f t="shared" si="43"/>
        <v>0</v>
      </c>
      <c r="AI34" s="14"/>
      <c r="AJ34" s="14"/>
      <c r="AK34" s="241">
        <f t="shared" si="44"/>
        <v>0</v>
      </c>
      <c r="AL34" s="14"/>
      <c r="AM34" s="14"/>
      <c r="AN34" s="241">
        <f t="shared" si="45"/>
        <v>0</v>
      </c>
      <c r="AO34" s="14"/>
      <c r="AP34" s="14"/>
      <c r="AQ34" s="241">
        <f t="shared" si="46"/>
        <v>0</v>
      </c>
      <c r="AR34" s="14"/>
      <c r="AS34" s="14"/>
      <c r="AT34" s="241">
        <f t="shared" si="47"/>
        <v>0</v>
      </c>
      <c r="AU34" s="14"/>
      <c r="AV34" s="14"/>
      <c r="AW34" s="241">
        <f t="shared" si="48"/>
        <v>0</v>
      </c>
      <c r="AX34" s="14"/>
      <c r="AY34" s="14"/>
      <c r="AZ34" s="241">
        <f t="shared" si="49"/>
        <v>0</v>
      </c>
      <c r="BA34" s="14"/>
      <c r="BB34" s="14"/>
      <c r="BC34" s="241">
        <f t="shared" si="50"/>
        <v>0</v>
      </c>
      <c r="BD34" s="14"/>
      <c r="BE34" s="14"/>
      <c r="BF34" s="241">
        <f t="shared" si="51"/>
        <v>0</v>
      </c>
      <c r="BG34" s="242">
        <f t="shared" si="37"/>
        <v>0</v>
      </c>
      <c r="BH34" s="242"/>
      <c r="BI34" s="242">
        <f t="shared" si="52"/>
        <v>0</v>
      </c>
      <c r="BJ34" s="242">
        <f t="shared" si="53"/>
        <v>0</v>
      </c>
      <c r="BK34" s="241"/>
      <c r="BL34" s="242">
        <f t="shared" si="54"/>
        <v>0</v>
      </c>
      <c r="BM34" s="241"/>
      <c r="BN34" s="242"/>
      <c r="BO34" s="242">
        <f t="shared" si="55"/>
        <v>0</v>
      </c>
      <c r="BP34" s="241"/>
      <c r="BQ34" s="242"/>
      <c r="BR34" s="242">
        <f t="shared" si="56"/>
        <v>0</v>
      </c>
      <c r="BS34" s="241"/>
      <c r="BT34" s="527">
        <v>747000</v>
      </c>
    </row>
    <row r="35" spans="1:72" s="244" customFormat="1">
      <c r="A35" s="241">
        <f t="shared" si="57"/>
        <v>5</v>
      </c>
      <c r="B35" s="241">
        <v>1684</v>
      </c>
      <c r="C35" s="241" t="s">
        <v>118</v>
      </c>
      <c r="D35" s="242">
        <v>400000</v>
      </c>
      <c r="E35" s="242">
        <v>300000</v>
      </c>
      <c r="F35" s="242">
        <f t="shared" si="31"/>
        <v>100000</v>
      </c>
      <c r="G35" s="242">
        <v>200000</v>
      </c>
      <c r="H35" s="242">
        <v>149999.82</v>
      </c>
      <c r="I35" s="242">
        <v>49438.63</v>
      </c>
      <c r="J35" s="242"/>
      <c r="K35" s="242">
        <f t="shared" si="38"/>
        <v>49438.63</v>
      </c>
      <c r="L35" s="242">
        <f t="shared" si="32"/>
        <v>199438.45</v>
      </c>
      <c r="M35" s="242">
        <f t="shared" si="39"/>
        <v>561.54999999998836</v>
      </c>
      <c r="N35" s="242"/>
      <c r="O35" s="242">
        <f t="shared" si="33"/>
        <v>200000</v>
      </c>
      <c r="P35" s="242">
        <f t="shared" si="34"/>
        <v>561.54999999998836</v>
      </c>
      <c r="Q35" s="242"/>
      <c r="R35" s="242"/>
      <c r="S35" s="242">
        <f t="shared" si="35"/>
        <v>0</v>
      </c>
      <c r="T35" s="242">
        <f t="shared" si="36"/>
        <v>0</v>
      </c>
      <c r="U35" s="14">
        <f t="shared" si="30"/>
        <v>0</v>
      </c>
      <c r="V35" s="242"/>
      <c r="W35" s="242">
        <f t="shared" si="40"/>
        <v>0</v>
      </c>
      <c r="X35" s="242"/>
      <c r="Y35" s="241"/>
      <c r="Z35" s="241"/>
      <c r="AA35" s="241"/>
      <c r="AB35" s="241">
        <f t="shared" si="41"/>
        <v>0</v>
      </c>
      <c r="AC35" s="241"/>
      <c r="AD35" s="241"/>
      <c r="AE35" s="241">
        <f t="shared" si="42"/>
        <v>0</v>
      </c>
      <c r="AF35" s="241"/>
      <c r="AG35" s="241"/>
      <c r="AH35" s="241">
        <f t="shared" si="43"/>
        <v>0</v>
      </c>
      <c r="AI35" s="241"/>
      <c r="AJ35" s="241"/>
      <c r="AK35" s="241">
        <f t="shared" si="44"/>
        <v>0</v>
      </c>
      <c r="AL35" s="241"/>
      <c r="AM35" s="241"/>
      <c r="AN35" s="241">
        <f t="shared" si="45"/>
        <v>0</v>
      </c>
      <c r="AO35" s="241"/>
      <c r="AP35" s="241"/>
      <c r="AQ35" s="241">
        <f t="shared" si="46"/>
        <v>0</v>
      </c>
      <c r="AR35" s="241"/>
      <c r="AS35" s="241"/>
      <c r="AT35" s="241">
        <f t="shared" si="47"/>
        <v>0</v>
      </c>
      <c r="AU35" s="241"/>
      <c r="AV35" s="241"/>
      <c r="AW35" s="241">
        <f t="shared" si="48"/>
        <v>0</v>
      </c>
      <c r="AX35" s="241"/>
      <c r="AY35" s="241"/>
      <c r="AZ35" s="241">
        <f t="shared" si="49"/>
        <v>0</v>
      </c>
      <c r="BA35" s="241"/>
      <c r="BB35" s="241"/>
      <c r="BC35" s="241">
        <f t="shared" si="50"/>
        <v>0</v>
      </c>
      <c r="BD35" s="241"/>
      <c r="BE35" s="241"/>
      <c r="BF35" s="241">
        <f t="shared" si="51"/>
        <v>0</v>
      </c>
      <c r="BG35" s="242">
        <f t="shared" si="37"/>
        <v>0</v>
      </c>
      <c r="BH35" s="242"/>
      <c r="BI35" s="242">
        <f t="shared" si="52"/>
        <v>0</v>
      </c>
      <c r="BJ35" s="242">
        <f t="shared" si="53"/>
        <v>0</v>
      </c>
      <c r="BK35" s="241"/>
      <c r="BL35" s="242">
        <f t="shared" si="54"/>
        <v>0</v>
      </c>
      <c r="BM35" s="241"/>
      <c r="BN35" s="242"/>
      <c r="BO35" s="242">
        <f t="shared" si="55"/>
        <v>0</v>
      </c>
      <c r="BP35" s="241"/>
      <c r="BQ35" s="242"/>
      <c r="BR35" s="242">
        <f t="shared" si="56"/>
        <v>0</v>
      </c>
      <c r="BS35" s="241"/>
      <c r="BT35" s="527">
        <v>747000</v>
      </c>
    </row>
    <row r="36" spans="1:72" s="244" customFormat="1">
      <c r="A36" s="241">
        <f t="shared" si="57"/>
        <v>6</v>
      </c>
      <c r="B36" s="241">
        <v>1700</v>
      </c>
      <c r="C36" s="241" t="s">
        <v>412</v>
      </c>
      <c r="D36" s="242">
        <v>72000</v>
      </c>
      <c r="E36" s="242">
        <v>72000</v>
      </c>
      <c r="F36" s="242">
        <f t="shared" si="31"/>
        <v>0</v>
      </c>
      <c r="G36" s="242">
        <v>72000</v>
      </c>
      <c r="H36" s="242">
        <v>56971</v>
      </c>
      <c r="I36" s="242"/>
      <c r="J36" s="242"/>
      <c r="K36" s="242">
        <f t="shared" si="38"/>
        <v>0</v>
      </c>
      <c r="L36" s="242">
        <f t="shared" si="32"/>
        <v>56971</v>
      </c>
      <c r="M36" s="242">
        <f t="shared" si="39"/>
        <v>15029</v>
      </c>
      <c r="N36" s="242"/>
      <c r="O36" s="242">
        <f t="shared" si="33"/>
        <v>0</v>
      </c>
      <c r="P36" s="242">
        <f t="shared" si="34"/>
        <v>15029</v>
      </c>
      <c r="Q36" s="242"/>
      <c r="R36" s="242"/>
      <c r="S36" s="242">
        <f t="shared" si="35"/>
        <v>0</v>
      </c>
      <c r="T36" s="242">
        <f t="shared" si="36"/>
        <v>0</v>
      </c>
      <c r="U36" s="14">
        <f t="shared" si="30"/>
        <v>0</v>
      </c>
      <c r="V36" s="242"/>
      <c r="W36" s="242">
        <f t="shared" si="40"/>
        <v>0</v>
      </c>
      <c r="X36" s="242"/>
      <c r="Y36" s="241"/>
      <c r="Z36" s="242"/>
      <c r="AA36" s="242"/>
      <c r="AB36" s="241">
        <f t="shared" si="41"/>
        <v>0</v>
      </c>
      <c r="AC36" s="242"/>
      <c r="AD36" s="242"/>
      <c r="AE36" s="241">
        <f t="shared" si="42"/>
        <v>0</v>
      </c>
      <c r="AF36" s="242"/>
      <c r="AG36" s="242"/>
      <c r="AH36" s="241">
        <f t="shared" si="43"/>
        <v>0</v>
      </c>
      <c r="AI36" s="242"/>
      <c r="AJ36" s="242"/>
      <c r="AK36" s="241">
        <f t="shared" si="44"/>
        <v>0</v>
      </c>
      <c r="AL36" s="242"/>
      <c r="AM36" s="242"/>
      <c r="AN36" s="241">
        <f t="shared" si="45"/>
        <v>0</v>
      </c>
      <c r="AO36" s="242"/>
      <c r="AP36" s="242"/>
      <c r="AQ36" s="241">
        <f t="shared" si="46"/>
        <v>0</v>
      </c>
      <c r="AR36" s="242"/>
      <c r="AS36" s="242"/>
      <c r="AT36" s="241">
        <f t="shared" si="47"/>
        <v>0</v>
      </c>
      <c r="AU36" s="242"/>
      <c r="AV36" s="242"/>
      <c r="AW36" s="241">
        <f t="shared" si="48"/>
        <v>0</v>
      </c>
      <c r="AX36" s="242"/>
      <c r="AY36" s="242"/>
      <c r="AZ36" s="241">
        <f t="shared" si="49"/>
        <v>0</v>
      </c>
      <c r="BA36" s="242"/>
      <c r="BB36" s="242"/>
      <c r="BC36" s="241">
        <f t="shared" si="50"/>
        <v>0</v>
      </c>
      <c r="BD36" s="242"/>
      <c r="BE36" s="242"/>
      <c r="BF36" s="241">
        <f t="shared" si="51"/>
        <v>0</v>
      </c>
      <c r="BG36" s="242">
        <f t="shared" si="37"/>
        <v>0</v>
      </c>
      <c r="BH36" s="242"/>
      <c r="BI36" s="242">
        <f t="shared" si="52"/>
        <v>0</v>
      </c>
      <c r="BJ36" s="242">
        <f t="shared" si="53"/>
        <v>0</v>
      </c>
      <c r="BK36" s="241"/>
      <c r="BL36" s="242">
        <f t="shared" si="54"/>
        <v>0</v>
      </c>
      <c r="BM36" s="241"/>
      <c r="BN36" s="242"/>
      <c r="BO36" s="242">
        <f t="shared" si="55"/>
        <v>0</v>
      </c>
      <c r="BP36" s="241"/>
      <c r="BQ36" s="242"/>
      <c r="BR36" s="242">
        <f t="shared" si="56"/>
        <v>0</v>
      </c>
      <c r="BS36" s="241"/>
      <c r="BT36" s="527">
        <v>747000</v>
      </c>
    </row>
    <row r="37" spans="1:72" s="244" customFormat="1">
      <c r="A37" s="241">
        <f t="shared" si="57"/>
        <v>7</v>
      </c>
      <c r="B37" s="241">
        <v>1780</v>
      </c>
      <c r="C37" s="241" t="s">
        <v>119</v>
      </c>
      <c r="D37" s="242">
        <v>70000</v>
      </c>
      <c r="E37" s="242">
        <v>70000</v>
      </c>
      <c r="F37" s="242">
        <f t="shared" si="31"/>
        <v>0</v>
      </c>
      <c r="G37" s="242">
        <v>70000</v>
      </c>
      <c r="H37" s="242">
        <v>70000</v>
      </c>
      <c r="I37" s="242"/>
      <c r="J37" s="242"/>
      <c r="K37" s="242">
        <f t="shared" si="38"/>
        <v>0</v>
      </c>
      <c r="L37" s="242">
        <f t="shared" si="32"/>
        <v>70000</v>
      </c>
      <c r="M37" s="242">
        <f t="shared" si="39"/>
        <v>0</v>
      </c>
      <c r="N37" s="242"/>
      <c r="O37" s="242">
        <f t="shared" si="33"/>
        <v>0</v>
      </c>
      <c r="P37" s="242">
        <f t="shared" si="34"/>
        <v>0</v>
      </c>
      <c r="Q37" s="242"/>
      <c r="R37" s="242"/>
      <c r="S37" s="242">
        <f t="shared" si="35"/>
        <v>0</v>
      </c>
      <c r="T37" s="242">
        <f t="shared" si="36"/>
        <v>0</v>
      </c>
      <c r="U37" s="14">
        <f t="shared" si="30"/>
        <v>0</v>
      </c>
      <c r="V37" s="242"/>
      <c r="W37" s="242">
        <f t="shared" si="40"/>
        <v>0</v>
      </c>
      <c r="X37" s="242"/>
      <c r="Y37" s="241"/>
      <c r="Z37" s="241"/>
      <c r="AA37" s="241"/>
      <c r="AB37" s="241">
        <f t="shared" si="41"/>
        <v>0</v>
      </c>
      <c r="AC37" s="241"/>
      <c r="AD37" s="241"/>
      <c r="AE37" s="241">
        <f t="shared" si="42"/>
        <v>0</v>
      </c>
      <c r="AF37" s="241"/>
      <c r="AG37" s="241"/>
      <c r="AH37" s="241">
        <f t="shared" si="43"/>
        <v>0</v>
      </c>
      <c r="AI37" s="241"/>
      <c r="AJ37" s="241"/>
      <c r="AK37" s="241">
        <f t="shared" si="44"/>
        <v>0</v>
      </c>
      <c r="AL37" s="241"/>
      <c r="AM37" s="241"/>
      <c r="AN37" s="241">
        <f t="shared" si="45"/>
        <v>0</v>
      </c>
      <c r="AO37" s="241"/>
      <c r="AP37" s="241"/>
      <c r="AQ37" s="241">
        <f t="shared" si="46"/>
        <v>0</v>
      </c>
      <c r="AR37" s="241"/>
      <c r="AS37" s="241"/>
      <c r="AT37" s="241">
        <f t="shared" si="47"/>
        <v>0</v>
      </c>
      <c r="AU37" s="241"/>
      <c r="AV37" s="241"/>
      <c r="AW37" s="241">
        <f t="shared" si="48"/>
        <v>0</v>
      </c>
      <c r="AX37" s="241"/>
      <c r="AY37" s="241"/>
      <c r="AZ37" s="241">
        <f t="shared" si="49"/>
        <v>0</v>
      </c>
      <c r="BA37" s="241"/>
      <c r="BB37" s="241"/>
      <c r="BC37" s="241">
        <f t="shared" si="50"/>
        <v>0</v>
      </c>
      <c r="BD37" s="241"/>
      <c r="BE37" s="241"/>
      <c r="BF37" s="241">
        <f t="shared" si="51"/>
        <v>0</v>
      </c>
      <c r="BG37" s="242">
        <f t="shared" si="37"/>
        <v>0</v>
      </c>
      <c r="BH37" s="242"/>
      <c r="BI37" s="242">
        <f t="shared" si="52"/>
        <v>0</v>
      </c>
      <c r="BJ37" s="242">
        <f t="shared" si="53"/>
        <v>0</v>
      </c>
      <c r="BK37" s="241"/>
      <c r="BL37" s="242">
        <f t="shared" si="54"/>
        <v>0</v>
      </c>
      <c r="BM37" s="241"/>
      <c r="BN37" s="242"/>
      <c r="BO37" s="242">
        <f t="shared" si="55"/>
        <v>0</v>
      </c>
      <c r="BP37" s="241"/>
      <c r="BQ37" s="242"/>
      <c r="BR37" s="242">
        <f t="shared" si="56"/>
        <v>0</v>
      </c>
      <c r="BS37" s="241"/>
      <c r="BT37" s="527">
        <v>747000</v>
      </c>
    </row>
    <row r="38" spans="1:72" s="244" customFormat="1">
      <c r="A38" s="241">
        <f t="shared" si="57"/>
        <v>8</v>
      </c>
      <c r="B38" s="241">
        <v>1781</v>
      </c>
      <c r="C38" s="241" t="s">
        <v>319</v>
      </c>
      <c r="D38" s="242">
        <v>160000</v>
      </c>
      <c r="E38" s="242">
        <v>160000</v>
      </c>
      <c r="F38" s="242">
        <f t="shared" si="31"/>
        <v>0</v>
      </c>
      <c r="G38" s="242">
        <v>160000</v>
      </c>
      <c r="H38" s="242">
        <v>160000</v>
      </c>
      <c r="I38" s="242"/>
      <c r="J38" s="242"/>
      <c r="K38" s="242">
        <f t="shared" si="38"/>
        <v>0</v>
      </c>
      <c r="L38" s="242">
        <f t="shared" si="32"/>
        <v>160000</v>
      </c>
      <c r="M38" s="242">
        <f t="shared" si="39"/>
        <v>0</v>
      </c>
      <c r="N38" s="242"/>
      <c r="O38" s="242">
        <f t="shared" si="33"/>
        <v>0</v>
      </c>
      <c r="P38" s="242">
        <f t="shared" si="34"/>
        <v>0</v>
      </c>
      <c r="Q38" s="242"/>
      <c r="R38" s="242"/>
      <c r="S38" s="242">
        <f t="shared" si="35"/>
        <v>0</v>
      </c>
      <c r="T38" s="242">
        <f t="shared" si="36"/>
        <v>0</v>
      </c>
      <c r="U38" s="14">
        <f t="shared" si="30"/>
        <v>0</v>
      </c>
      <c r="V38" s="242"/>
      <c r="W38" s="242">
        <f t="shared" si="40"/>
        <v>0</v>
      </c>
      <c r="X38" s="242"/>
      <c r="Y38" s="241"/>
      <c r="Z38" s="241"/>
      <c r="AA38" s="241"/>
      <c r="AB38" s="241">
        <f t="shared" si="41"/>
        <v>0</v>
      </c>
      <c r="AC38" s="241"/>
      <c r="AD38" s="241"/>
      <c r="AE38" s="241">
        <f t="shared" si="42"/>
        <v>0</v>
      </c>
      <c r="AF38" s="241"/>
      <c r="AG38" s="241"/>
      <c r="AH38" s="241">
        <f t="shared" si="43"/>
        <v>0</v>
      </c>
      <c r="AI38" s="241"/>
      <c r="AJ38" s="241"/>
      <c r="AK38" s="241">
        <f t="shared" si="44"/>
        <v>0</v>
      </c>
      <c r="AL38" s="241"/>
      <c r="AM38" s="241"/>
      <c r="AN38" s="241">
        <f t="shared" si="45"/>
        <v>0</v>
      </c>
      <c r="AO38" s="241"/>
      <c r="AP38" s="241"/>
      <c r="AQ38" s="241">
        <f t="shared" si="46"/>
        <v>0</v>
      </c>
      <c r="AR38" s="241"/>
      <c r="AS38" s="241"/>
      <c r="AT38" s="241">
        <f t="shared" si="47"/>
        <v>0</v>
      </c>
      <c r="AU38" s="241"/>
      <c r="AV38" s="241"/>
      <c r="AW38" s="241">
        <f t="shared" si="48"/>
        <v>0</v>
      </c>
      <c r="AX38" s="241"/>
      <c r="AY38" s="241"/>
      <c r="AZ38" s="241">
        <f t="shared" si="49"/>
        <v>0</v>
      </c>
      <c r="BA38" s="241"/>
      <c r="BB38" s="241"/>
      <c r="BC38" s="241">
        <f t="shared" si="50"/>
        <v>0</v>
      </c>
      <c r="BD38" s="241"/>
      <c r="BE38" s="241"/>
      <c r="BF38" s="241">
        <f t="shared" si="51"/>
        <v>0</v>
      </c>
      <c r="BG38" s="242">
        <f t="shared" si="37"/>
        <v>0</v>
      </c>
      <c r="BH38" s="242"/>
      <c r="BI38" s="242">
        <f t="shared" si="52"/>
        <v>0</v>
      </c>
      <c r="BJ38" s="242">
        <f t="shared" si="53"/>
        <v>0</v>
      </c>
      <c r="BK38" s="241"/>
      <c r="BL38" s="242">
        <f t="shared" si="54"/>
        <v>0</v>
      </c>
      <c r="BM38" s="241"/>
      <c r="BN38" s="242"/>
      <c r="BO38" s="242">
        <f t="shared" si="55"/>
        <v>0</v>
      </c>
      <c r="BP38" s="241"/>
      <c r="BQ38" s="242"/>
      <c r="BR38" s="242">
        <f t="shared" si="56"/>
        <v>0</v>
      </c>
      <c r="BS38" s="241"/>
      <c r="BT38" s="527">
        <v>747000</v>
      </c>
    </row>
    <row r="39" spans="1:72" s="244" customFormat="1">
      <c r="A39" s="241">
        <f t="shared" si="57"/>
        <v>9</v>
      </c>
      <c r="B39" s="241">
        <v>1782</v>
      </c>
      <c r="C39" s="241" t="s">
        <v>120</v>
      </c>
      <c r="D39" s="242">
        <v>85000</v>
      </c>
      <c r="E39" s="242">
        <v>85000</v>
      </c>
      <c r="F39" s="242">
        <f t="shared" si="31"/>
        <v>0</v>
      </c>
      <c r="G39" s="242">
        <v>85000</v>
      </c>
      <c r="H39" s="242">
        <v>63962</v>
      </c>
      <c r="I39" s="242">
        <v>21038</v>
      </c>
      <c r="J39" s="242"/>
      <c r="K39" s="242">
        <f t="shared" si="38"/>
        <v>21038</v>
      </c>
      <c r="L39" s="242">
        <f t="shared" si="32"/>
        <v>85000</v>
      </c>
      <c r="M39" s="242">
        <f t="shared" si="39"/>
        <v>0</v>
      </c>
      <c r="N39" s="242"/>
      <c r="O39" s="242">
        <f t="shared" si="33"/>
        <v>0</v>
      </c>
      <c r="P39" s="242">
        <f t="shared" si="34"/>
        <v>0</v>
      </c>
      <c r="Q39" s="242"/>
      <c r="R39" s="242"/>
      <c r="S39" s="242">
        <f t="shared" si="35"/>
        <v>0</v>
      </c>
      <c r="T39" s="242">
        <f t="shared" si="36"/>
        <v>0</v>
      </c>
      <c r="U39" s="14">
        <f t="shared" si="30"/>
        <v>0</v>
      </c>
      <c r="V39" s="242"/>
      <c r="W39" s="242">
        <f t="shared" si="40"/>
        <v>0</v>
      </c>
      <c r="X39" s="242"/>
      <c r="Y39" s="241"/>
      <c r="Z39" s="242"/>
      <c r="AA39" s="242"/>
      <c r="AB39" s="241">
        <f t="shared" si="41"/>
        <v>0</v>
      </c>
      <c r="AC39" s="242"/>
      <c r="AD39" s="242"/>
      <c r="AE39" s="241">
        <f t="shared" si="42"/>
        <v>0</v>
      </c>
      <c r="AF39" s="242"/>
      <c r="AG39" s="242"/>
      <c r="AH39" s="241">
        <f t="shared" si="43"/>
        <v>0</v>
      </c>
      <c r="AI39" s="242"/>
      <c r="AJ39" s="242"/>
      <c r="AK39" s="241">
        <f t="shared" si="44"/>
        <v>0</v>
      </c>
      <c r="AL39" s="242"/>
      <c r="AM39" s="242"/>
      <c r="AN39" s="241">
        <f t="shared" si="45"/>
        <v>0</v>
      </c>
      <c r="AO39" s="242"/>
      <c r="AP39" s="242"/>
      <c r="AQ39" s="241">
        <f t="shared" si="46"/>
        <v>0</v>
      </c>
      <c r="AR39" s="242"/>
      <c r="AS39" s="242"/>
      <c r="AT39" s="241">
        <f t="shared" si="47"/>
        <v>0</v>
      </c>
      <c r="AU39" s="242"/>
      <c r="AV39" s="242"/>
      <c r="AW39" s="241">
        <f t="shared" si="48"/>
        <v>0</v>
      </c>
      <c r="AX39" s="242"/>
      <c r="AY39" s="242"/>
      <c r="AZ39" s="241">
        <f t="shared" si="49"/>
        <v>0</v>
      </c>
      <c r="BA39" s="242"/>
      <c r="BB39" s="242"/>
      <c r="BC39" s="241">
        <f t="shared" si="50"/>
        <v>0</v>
      </c>
      <c r="BD39" s="242"/>
      <c r="BE39" s="242"/>
      <c r="BF39" s="241">
        <f t="shared" si="51"/>
        <v>0</v>
      </c>
      <c r="BG39" s="242">
        <f t="shared" si="37"/>
        <v>0</v>
      </c>
      <c r="BH39" s="242"/>
      <c r="BI39" s="242">
        <f t="shared" si="52"/>
        <v>0</v>
      </c>
      <c r="BJ39" s="242">
        <f t="shared" si="53"/>
        <v>0</v>
      </c>
      <c r="BK39" s="241"/>
      <c r="BL39" s="242">
        <f t="shared" si="54"/>
        <v>0</v>
      </c>
      <c r="BM39" s="241"/>
      <c r="BN39" s="242"/>
      <c r="BO39" s="242">
        <f t="shared" si="55"/>
        <v>0</v>
      </c>
      <c r="BP39" s="241"/>
      <c r="BQ39" s="242"/>
      <c r="BR39" s="242">
        <f t="shared" si="56"/>
        <v>0</v>
      </c>
      <c r="BS39" s="241"/>
      <c r="BT39" s="527">
        <v>747000</v>
      </c>
    </row>
    <row r="40" spans="1:72" s="244" customFormat="1">
      <c r="A40" s="241">
        <f t="shared" si="57"/>
        <v>10</v>
      </c>
      <c r="B40" s="241">
        <v>1783</v>
      </c>
      <c r="C40" s="241" t="s">
        <v>320</v>
      </c>
      <c r="D40" s="242">
        <v>127000</v>
      </c>
      <c r="E40" s="242">
        <v>127000</v>
      </c>
      <c r="F40" s="242">
        <f t="shared" si="31"/>
        <v>0</v>
      </c>
      <c r="G40" s="242">
        <v>127000</v>
      </c>
      <c r="H40" s="242">
        <v>116947.8</v>
      </c>
      <c r="I40" s="242"/>
      <c r="J40" s="242"/>
      <c r="K40" s="242">
        <f t="shared" si="38"/>
        <v>0</v>
      </c>
      <c r="L40" s="242">
        <f t="shared" si="32"/>
        <v>116947.8</v>
      </c>
      <c r="M40" s="242">
        <f>P40+S40</f>
        <v>10052.199999999997</v>
      </c>
      <c r="N40" s="242"/>
      <c r="O40" s="242">
        <f t="shared" si="33"/>
        <v>0</v>
      </c>
      <c r="P40" s="242">
        <f t="shared" si="34"/>
        <v>10052.199999999997</v>
      </c>
      <c r="Q40" s="242"/>
      <c r="R40" s="242"/>
      <c r="S40" s="242">
        <f t="shared" si="35"/>
        <v>0</v>
      </c>
      <c r="T40" s="242">
        <f t="shared" si="36"/>
        <v>0</v>
      </c>
      <c r="U40" s="14">
        <f t="shared" si="30"/>
        <v>0</v>
      </c>
      <c r="V40" s="242"/>
      <c r="W40" s="242">
        <f>U40-V40-X40-Y40</f>
        <v>0</v>
      </c>
      <c r="X40" s="242"/>
      <c r="Y40" s="241"/>
      <c r="Z40" s="241"/>
      <c r="AA40" s="241"/>
      <c r="AB40" s="241">
        <f t="shared" si="41"/>
        <v>0</v>
      </c>
      <c r="AC40" s="241"/>
      <c r="AD40" s="241"/>
      <c r="AE40" s="241">
        <f t="shared" si="42"/>
        <v>0</v>
      </c>
      <c r="AF40" s="241"/>
      <c r="AG40" s="241"/>
      <c r="AH40" s="241">
        <f t="shared" si="43"/>
        <v>0</v>
      </c>
      <c r="AI40" s="241"/>
      <c r="AJ40" s="241"/>
      <c r="AK40" s="241">
        <f t="shared" si="44"/>
        <v>0</v>
      </c>
      <c r="AL40" s="241"/>
      <c r="AM40" s="241"/>
      <c r="AN40" s="241">
        <f t="shared" si="45"/>
        <v>0</v>
      </c>
      <c r="AO40" s="241"/>
      <c r="AP40" s="241"/>
      <c r="AQ40" s="241">
        <f t="shared" si="46"/>
        <v>0</v>
      </c>
      <c r="AR40" s="241"/>
      <c r="AS40" s="241"/>
      <c r="AT40" s="241">
        <f t="shared" si="47"/>
        <v>0</v>
      </c>
      <c r="AU40" s="241"/>
      <c r="AV40" s="241"/>
      <c r="AW40" s="241">
        <f t="shared" si="48"/>
        <v>0</v>
      </c>
      <c r="AX40" s="241"/>
      <c r="AY40" s="241"/>
      <c r="AZ40" s="241">
        <f t="shared" si="49"/>
        <v>0</v>
      </c>
      <c r="BA40" s="241"/>
      <c r="BB40" s="241"/>
      <c r="BC40" s="241">
        <f t="shared" si="50"/>
        <v>0</v>
      </c>
      <c r="BD40" s="241"/>
      <c r="BE40" s="241"/>
      <c r="BF40" s="241">
        <f t="shared" si="51"/>
        <v>0</v>
      </c>
      <c r="BG40" s="242">
        <f t="shared" si="37"/>
        <v>0</v>
      </c>
      <c r="BH40" s="242"/>
      <c r="BI40" s="242">
        <f t="shared" si="52"/>
        <v>0</v>
      </c>
      <c r="BJ40" s="242">
        <f t="shared" si="53"/>
        <v>0</v>
      </c>
      <c r="BK40" s="241"/>
      <c r="BL40" s="242">
        <f t="shared" si="54"/>
        <v>0</v>
      </c>
      <c r="BM40" s="241"/>
      <c r="BN40" s="242"/>
      <c r="BO40" s="242">
        <f t="shared" si="55"/>
        <v>0</v>
      </c>
      <c r="BP40" s="241"/>
      <c r="BQ40" s="242"/>
      <c r="BR40" s="242">
        <f t="shared" si="56"/>
        <v>0</v>
      </c>
      <c r="BS40" s="241"/>
      <c r="BT40" s="527">
        <v>747000</v>
      </c>
    </row>
    <row r="41" spans="1:72" s="244" customFormat="1">
      <c r="A41" s="241">
        <f t="shared" si="57"/>
        <v>11</v>
      </c>
      <c r="B41" s="241">
        <v>1862</v>
      </c>
      <c r="C41" s="241" t="s">
        <v>767</v>
      </c>
      <c r="D41" s="242">
        <f>3000000-800000</f>
        <v>2200000</v>
      </c>
      <c r="E41" s="242">
        <v>3000000</v>
      </c>
      <c r="F41" s="242">
        <f t="shared" si="31"/>
        <v>-800000</v>
      </c>
      <c r="G41" s="242">
        <v>1000000</v>
      </c>
      <c r="H41" s="242">
        <v>465311.18</v>
      </c>
      <c r="I41" s="242">
        <v>414789.56</v>
      </c>
      <c r="J41" s="242">
        <v>0.2</v>
      </c>
      <c r="K41" s="242">
        <f t="shared" ref="K41:K53" si="58">SUM(I41:J41)</f>
        <v>414789.76</v>
      </c>
      <c r="L41" s="242">
        <f t="shared" si="32"/>
        <v>880100.94</v>
      </c>
      <c r="M41" s="242">
        <f t="shared" ref="M41:M53" si="59">P41+S41</f>
        <v>119899.06000000006</v>
      </c>
      <c r="N41" s="242">
        <v>1200000</v>
      </c>
      <c r="O41" s="242">
        <f t="shared" si="33"/>
        <v>0</v>
      </c>
      <c r="P41" s="242">
        <f t="shared" si="34"/>
        <v>119899.06000000006</v>
      </c>
      <c r="Q41" s="242"/>
      <c r="R41" s="242"/>
      <c r="S41" s="242">
        <f t="shared" si="35"/>
        <v>0</v>
      </c>
      <c r="T41" s="242">
        <f t="shared" si="36"/>
        <v>0</v>
      </c>
      <c r="U41" s="14">
        <f t="shared" si="30"/>
        <v>1200000</v>
      </c>
      <c r="V41" s="242"/>
      <c r="W41" s="242">
        <f t="shared" ref="W41:W53" si="60">U41-V41-X41-Y41</f>
        <v>1200000</v>
      </c>
      <c r="X41" s="242"/>
      <c r="Y41" s="241"/>
      <c r="Z41" s="242"/>
      <c r="AA41" s="242"/>
      <c r="AB41" s="241">
        <f t="shared" si="41"/>
        <v>0</v>
      </c>
      <c r="AC41" s="242">
        <v>700000</v>
      </c>
      <c r="AD41" s="242"/>
      <c r="AE41" s="242">
        <f t="shared" si="42"/>
        <v>700000</v>
      </c>
      <c r="AF41" s="242"/>
      <c r="AG41" s="242"/>
      <c r="AH41" s="242">
        <f t="shared" si="43"/>
        <v>0</v>
      </c>
      <c r="AI41" s="242">
        <v>250000</v>
      </c>
      <c r="AJ41" s="242"/>
      <c r="AK41" s="242">
        <f t="shared" si="44"/>
        <v>250000</v>
      </c>
      <c r="AL41" s="242">
        <v>250000</v>
      </c>
      <c r="AM41" s="242"/>
      <c r="AN41" s="242">
        <f t="shared" si="45"/>
        <v>250000</v>
      </c>
      <c r="AO41" s="242"/>
      <c r="AP41" s="242"/>
      <c r="AQ41" s="242">
        <f t="shared" si="46"/>
        <v>0</v>
      </c>
      <c r="AR41" s="242"/>
      <c r="AS41" s="242"/>
      <c r="AT41" s="242">
        <f t="shared" si="47"/>
        <v>0</v>
      </c>
      <c r="AU41" s="242"/>
      <c r="AV41" s="242"/>
      <c r="AW41" s="242">
        <f t="shared" si="48"/>
        <v>0</v>
      </c>
      <c r="AX41" s="242"/>
      <c r="AY41" s="242"/>
      <c r="AZ41" s="242">
        <f t="shared" si="49"/>
        <v>0</v>
      </c>
      <c r="BA41" s="242"/>
      <c r="BB41" s="242"/>
      <c r="BC41" s="242">
        <f t="shared" si="50"/>
        <v>0</v>
      </c>
      <c r="BD41" s="242"/>
      <c r="BE41" s="242"/>
      <c r="BF41" s="242">
        <f t="shared" si="51"/>
        <v>0</v>
      </c>
      <c r="BG41" s="242">
        <f t="shared" si="37"/>
        <v>1200000</v>
      </c>
      <c r="BH41" s="242"/>
      <c r="BI41" s="242">
        <f t="shared" si="52"/>
        <v>1200000</v>
      </c>
      <c r="BJ41" s="242">
        <f t="shared" si="53"/>
        <v>0</v>
      </c>
      <c r="BK41" s="241"/>
      <c r="BL41" s="242">
        <f t="shared" si="54"/>
        <v>1200000</v>
      </c>
      <c r="BM41" s="241"/>
      <c r="BN41" s="242"/>
      <c r="BO41" s="242">
        <f t="shared" si="55"/>
        <v>0</v>
      </c>
      <c r="BP41" s="241"/>
      <c r="BQ41" s="242"/>
      <c r="BR41" s="242">
        <f t="shared" si="56"/>
        <v>0</v>
      </c>
      <c r="BS41" s="241"/>
      <c r="BT41" s="527">
        <v>747000</v>
      </c>
    </row>
    <row r="42" spans="1:72" s="244" customFormat="1">
      <c r="A42" s="241">
        <f t="shared" si="57"/>
        <v>12</v>
      </c>
      <c r="B42" s="241">
        <v>1863</v>
      </c>
      <c r="C42" s="241" t="s">
        <v>321</v>
      </c>
      <c r="D42" s="242">
        <v>70000</v>
      </c>
      <c r="E42" s="242">
        <v>70000</v>
      </c>
      <c r="F42" s="242">
        <f t="shared" si="31"/>
        <v>0</v>
      </c>
      <c r="G42" s="242">
        <v>70000</v>
      </c>
      <c r="H42" s="242">
        <v>0</v>
      </c>
      <c r="I42" s="242">
        <v>59286.5</v>
      </c>
      <c r="J42" s="242"/>
      <c r="K42" s="242">
        <f t="shared" si="58"/>
        <v>59286.5</v>
      </c>
      <c r="L42" s="242">
        <f t="shared" si="32"/>
        <v>59286.5</v>
      </c>
      <c r="M42" s="242">
        <f t="shared" si="59"/>
        <v>10713.5</v>
      </c>
      <c r="N42" s="242"/>
      <c r="O42" s="242">
        <f t="shared" si="33"/>
        <v>0</v>
      </c>
      <c r="P42" s="242">
        <f t="shared" si="34"/>
        <v>10713.5</v>
      </c>
      <c r="Q42" s="242"/>
      <c r="R42" s="242"/>
      <c r="S42" s="242">
        <f t="shared" si="35"/>
        <v>0</v>
      </c>
      <c r="T42" s="242">
        <f t="shared" si="36"/>
        <v>0</v>
      </c>
      <c r="U42" s="14">
        <f t="shared" si="30"/>
        <v>0</v>
      </c>
      <c r="V42" s="242"/>
      <c r="W42" s="242">
        <f t="shared" si="60"/>
        <v>0</v>
      </c>
      <c r="X42" s="242"/>
      <c r="Y42" s="241"/>
      <c r="Z42" s="242"/>
      <c r="AA42" s="242"/>
      <c r="AB42" s="241">
        <f t="shared" si="41"/>
        <v>0</v>
      </c>
      <c r="AC42" s="242"/>
      <c r="AD42" s="242"/>
      <c r="AE42" s="241">
        <f t="shared" si="42"/>
        <v>0</v>
      </c>
      <c r="AF42" s="242"/>
      <c r="AG42" s="242"/>
      <c r="AH42" s="241">
        <f t="shared" si="43"/>
        <v>0</v>
      </c>
      <c r="AI42" s="242"/>
      <c r="AJ42" s="242"/>
      <c r="AK42" s="241">
        <f t="shared" si="44"/>
        <v>0</v>
      </c>
      <c r="AL42" s="242"/>
      <c r="AM42" s="242"/>
      <c r="AN42" s="241">
        <f t="shared" si="45"/>
        <v>0</v>
      </c>
      <c r="AO42" s="242"/>
      <c r="AP42" s="242"/>
      <c r="AQ42" s="241">
        <f t="shared" si="46"/>
        <v>0</v>
      </c>
      <c r="AR42" s="242"/>
      <c r="AS42" s="242"/>
      <c r="AT42" s="241">
        <f t="shared" si="47"/>
        <v>0</v>
      </c>
      <c r="AU42" s="242"/>
      <c r="AV42" s="242"/>
      <c r="AW42" s="241">
        <f t="shared" si="48"/>
        <v>0</v>
      </c>
      <c r="AX42" s="242"/>
      <c r="AY42" s="242"/>
      <c r="AZ42" s="241">
        <f t="shared" si="49"/>
        <v>0</v>
      </c>
      <c r="BA42" s="242"/>
      <c r="BB42" s="242"/>
      <c r="BC42" s="241">
        <f t="shared" si="50"/>
        <v>0</v>
      </c>
      <c r="BD42" s="242"/>
      <c r="BE42" s="242"/>
      <c r="BF42" s="241">
        <f t="shared" si="51"/>
        <v>0</v>
      </c>
      <c r="BG42" s="242">
        <f t="shared" si="37"/>
        <v>0</v>
      </c>
      <c r="BH42" s="242"/>
      <c r="BI42" s="242">
        <f t="shared" si="52"/>
        <v>0</v>
      </c>
      <c r="BJ42" s="242">
        <f t="shared" si="53"/>
        <v>0</v>
      </c>
      <c r="BK42" s="241"/>
      <c r="BL42" s="242">
        <f t="shared" si="54"/>
        <v>0</v>
      </c>
      <c r="BM42" s="241"/>
      <c r="BN42" s="242"/>
      <c r="BO42" s="242">
        <f t="shared" si="55"/>
        <v>0</v>
      </c>
      <c r="BP42" s="241"/>
      <c r="BQ42" s="242"/>
      <c r="BR42" s="242">
        <f t="shared" si="56"/>
        <v>0</v>
      </c>
      <c r="BS42" s="241"/>
      <c r="BT42" s="527">
        <v>747000</v>
      </c>
    </row>
    <row r="43" spans="1:72" s="244" customFormat="1">
      <c r="A43" s="241">
        <f t="shared" si="57"/>
        <v>13</v>
      </c>
      <c r="B43" s="241">
        <v>1864</v>
      </c>
      <c r="C43" s="241" t="s">
        <v>322</v>
      </c>
      <c r="D43" s="242">
        <v>1500000</v>
      </c>
      <c r="E43" s="242">
        <v>1500000</v>
      </c>
      <c r="F43" s="242">
        <f t="shared" si="31"/>
        <v>0</v>
      </c>
      <c r="G43" s="242">
        <v>100000</v>
      </c>
      <c r="H43" s="242">
        <v>0</v>
      </c>
      <c r="I43" s="242">
        <v>57304.54</v>
      </c>
      <c r="J43" s="242"/>
      <c r="K43" s="242">
        <f t="shared" si="58"/>
        <v>57304.54</v>
      </c>
      <c r="L43" s="242">
        <f t="shared" si="32"/>
        <v>57304.54</v>
      </c>
      <c r="M43" s="242">
        <f t="shared" si="59"/>
        <v>42695.46</v>
      </c>
      <c r="N43" s="242"/>
      <c r="O43" s="242">
        <f t="shared" si="33"/>
        <v>1400000</v>
      </c>
      <c r="P43" s="242">
        <f t="shared" si="34"/>
        <v>42695.46</v>
      </c>
      <c r="Q43" s="242"/>
      <c r="R43" s="242"/>
      <c r="S43" s="242">
        <f t="shared" si="35"/>
        <v>0</v>
      </c>
      <c r="T43" s="242">
        <f t="shared" si="36"/>
        <v>0</v>
      </c>
      <c r="U43" s="14">
        <f t="shared" si="30"/>
        <v>0</v>
      </c>
      <c r="V43" s="242"/>
      <c r="W43" s="242">
        <f t="shared" si="60"/>
        <v>0</v>
      </c>
      <c r="X43" s="242"/>
      <c r="Y43" s="241"/>
      <c r="Z43" s="242"/>
      <c r="AA43" s="242"/>
      <c r="AB43" s="241">
        <f t="shared" si="41"/>
        <v>0</v>
      </c>
      <c r="AC43" s="242"/>
      <c r="AD43" s="242"/>
      <c r="AE43" s="241">
        <f t="shared" si="42"/>
        <v>0</v>
      </c>
      <c r="AF43" s="242"/>
      <c r="AG43" s="242"/>
      <c r="AH43" s="241">
        <f t="shared" si="43"/>
        <v>0</v>
      </c>
      <c r="AI43" s="242"/>
      <c r="AJ43" s="242"/>
      <c r="AK43" s="241">
        <f t="shared" si="44"/>
        <v>0</v>
      </c>
      <c r="AL43" s="242"/>
      <c r="AM43" s="242"/>
      <c r="AN43" s="241">
        <f t="shared" si="45"/>
        <v>0</v>
      </c>
      <c r="AO43" s="242"/>
      <c r="AP43" s="242"/>
      <c r="AQ43" s="241">
        <f t="shared" si="46"/>
        <v>0</v>
      </c>
      <c r="AR43" s="242"/>
      <c r="AS43" s="242"/>
      <c r="AT43" s="241">
        <f t="shared" si="47"/>
        <v>0</v>
      </c>
      <c r="AU43" s="242"/>
      <c r="AV43" s="242"/>
      <c r="AW43" s="241">
        <f t="shared" si="48"/>
        <v>0</v>
      </c>
      <c r="AX43" s="242"/>
      <c r="AY43" s="242"/>
      <c r="AZ43" s="241">
        <f t="shared" si="49"/>
        <v>0</v>
      </c>
      <c r="BA43" s="242"/>
      <c r="BB43" s="242"/>
      <c r="BC43" s="241">
        <f t="shared" si="50"/>
        <v>0</v>
      </c>
      <c r="BD43" s="242"/>
      <c r="BE43" s="242"/>
      <c r="BF43" s="241">
        <f t="shared" si="51"/>
        <v>0</v>
      </c>
      <c r="BG43" s="242">
        <f t="shared" si="37"/>
        <v>0</v>
      </c>
      <c r="BH43" s="242"/>
      <c r="BI43" s="242">
        <f t="shared" si="52"/>
        <v>0</v>
      </c>
      <c r="BJ43" s="242">
        <f t="shared" si="53"/>
        <v>0</v>
      </c>
      <c r="BK43" s="241"/>
      <c r="BL43" s="242">
        <f t="shared" si="54"/>
        <v>0</v>
      </c>
      <c r="BM43" s="241"/>
      <c r="BN43" s="242"/>
      <c r="BO43" s="242">
        <f t="shared" si="55"/>
        <v>0</v>
      </c>
      <c r="BP43" s="241"/>
      <c r="BQ43" s="242"/>
      <c r="BR43" s="242">
        <f t="shared" si="56"/>
        <v>0</v>
      </c>
      <c r="BS43" s="241"/>
      <c r="BT43" s="527">
        <v>747000</v>
      </c>
    </row>
    <row r="44" spans="1:72" s="244" customFormat="1">
      <c r="A44" s="241">
        <f t="shared" si="57"/>
        <v>14</v>
      </c>
      <c r="B44" s="394">
        <v>1865</v>
      </c>
      <c r="C44" s="394" t="s">
        <v>895</v>
      </c>
      <c r="D44" s="242">
        <v>600000</v>
      </c>
      <c r="E44" s="242">
        <v>600000</v>
      </c>
      <c r="F44" s="242">
        <f t="shared" si="31"/>
        <v>0</v>
      </c>
      <c r="G44" s="242">
        <v>600000</v>
      </c>
      <c r="H44" s="242">
        <v>2918.8</v>
      </c>
      <c r="I44" s="242">
        <v>442455</v>
      </c>
      <c r="J44" s="242"/>
      <c r="K44" s="242">
        <f t="shared" si="58"/>
        <v>442455</v>
      </c>
      <c r="L44" s="242">
        <f t="shared" si="32"/>
        <v>445373.8</v>
      </c>
      <c r="M44" s="242">
        <f t="shared" si="59"/>
        <v>154626.20000000001</v>
      </c>
      <c r="N44" s="242"/>
      <c r="O44" s="242">
        <f t="shared" si="33"/>
        <v>0</v>
      </c>
      <c r="P44" s="242">
        <f t="shared" si="34"/>
        <v>154626.20000000001</v>
      </c>
      <c r="Q44" s="242"/>
      <c r="R44" s="242"/>
      <c r="S44" s="242">
        <f t="shared" si="35"/>
        <v>0</v>
      </c>
      <c r="T44" s="242">
        <f t="shared" si="36"/>
        <v>0</v>
      </c>
      <c r="U44" s="14">
        <f t="shared" si="30"/>
        <v>0</v>
      </c>
      <c r="V44" s="242"/>
      <c r="W44" s="242">
        <f t="shared" si="60"/>
        <v>0</v>
      </c>
      <c r="X44" s="242"/>
      <c r="Y44" s="241"/>
      <c r="Z44" s="241"/>
      <c r="AA44" s="241"/>
      <c r="AB44" s="241">
        <f t="shared" si="41"/>
        <v>0</v>
      </c>
      <c r="AC44" s="241"/>
      <c r="AD44" s="241"/>
      <c r="AE44" s="241">
        <f t="shared" si="42"/>
        <v>0</v>
      </c>
      <c r="AF44" s="241"/>
      <c r="AG44" s="241"/>
      <c r="AH44" s="241">
        <f t="shared" si="43"/>
        <v>0</v>
      </c>
      <c r="AI44" s="241"/>
      <c r="AJ44" s="241"/>
      <c r="AK44" s="241">
        <f t="shared" si="44"/>
        <v>0</v>
      </c>
      <c r="AL44" s="241"/>
      <c r="AM44" s="241"/>
      <c r="AN44" s="241">
        <f t="shared" si="45"/>
        <v>0</v>
      </c>
      <c r="AO44" s="241"/>
      <c r="AP44" s="241"/>
      <c r="AQ44" s="241">
        <f t="shared" si="46"/>
        <v>0</v>
      </c>
      <c r="AR44" s="241"/>
      <c r="AS44" s="241"/>
      <c r="AT44" s="241">
        <f t="shared" si="47"/>
        <v>0</v>
      </c>
      <c r="AU44" s="241"/>
      <c r="AV44" s="241"/>
      <c r="AW44" s="241">
        <f t="shared" si="48"/>
        <v>0</v>
      </c>
      <c r="AX44" s="241"/>
      <c r="AY44" s="241"/>
      <c r="AZ44" s="241">
        <f t="shared" si="49"/>
        <v>0</v>
      </c>
      <c r="BA44" s="241"/>
      <c r="BB44" s="241"/>
      <c r="BC44" s="241">
        <f t="shared" si="50"/>
        <v>0</v>
      </c>
      <c r="BD44" s="241"/>
      <c r="BE44" s="241"/>
      <c r="BF44" s="241">
        <f t="shared" si="51"/>
        <v>0</v>
      </c>
      <c r="BG44" s="242">
        <f t="shared" si="37"/>
        <v>0</v>
      </c>
      <c r="BH44" s="242"/>
      <c r="BI44" s="242">
        <f t="shared" si="52"/>
        <v>0</v>
      </c>
      <c r="BJ44" s="242">
        <f t="shared" si="53"/>
        <v>0</v>
      </c>
      <c r="BK44" s="241"/>
      <c r="BL44" s="242">
        <f t="shared" si="54"/>
        <v>0</v>
      </c>
      <c r="BM44" s="241"/>
      <c r="BN44" s="242"/>
      <c r="BO44" s="242">
        <f t="shared" si="55"/>
        <v>0</v>
      </c>
      <c r="BP44" s="241"/>
      <c r="BQ44" s="242"/>
      <c r="BR44" s="242">
        <f t="shared" si="56"/>
        <v>0</v>
      </c>
      <c r="BS44" s="241"/>
      <c r="BT44" s="527">
        <v>747000</v>
      </c>
    </row>
    <row r="45" spans="1:72" s="244" customFormat="1">
      <c r="A45" s="241">
        <f t="shared" si="57"/>
        <v>15</v>
      </c>
      <c r="B45" s="241">
        <v>1876</v>
      </c>
      <c r="C45" s="241" t="s">
        <v>323</v>
      </c>
      <c r="D45" s="242">
        <v>30000</v>
      </c>
      <c r="E45" s="242">
        <v>30000</v>
      </c>
      <c r="F45" s="242">
        <f t="shared" si="31"/>
        <v>0</v>
      </c>
      <c r="G45" s="242">
        <v>30000</v>
      </c>
      <c r="H45" s="242">
        <v>29999.97</v>
      </c>
      <c r="I45" s="242"/>
      <c r="J45" s="242"/>
      <c r="K45" s="242">
        <f t="shared" si="58"/>
        <v>0</v>
      </c>
      <c r="L45" s="242">
        <f t="shared" si="32"/>
        <v>29999.97</v>
      </c>
      <c r="M45" s="242">
        <f t="shared" si="59"/>
        <v>2.9999999998835847E-2</v>
      </c>
      <c r="N45" s="242"/>
      <c r="O45" s="242">
        <f t="shared" si="33"/>
        <v>0</v>
      </c>
      <c r="P45" s="242">
        <f t="shared" si="34"/>
        <v>2.9999999998835847E-2</v>
      </c>
      <c r="Q45" s="242"/>
      <c r="R45" s="242"/>
      <c r="S45" s="242">
        <f t="shared" si="35"/>
        <v>0</v>
      </c>
      <c r="T45" s="242">
        <f t="shared" si="36"/>
        <v>0</v>
      </c>
      <c r="U45" s="14">
        <f t="shared" si="30"/>
        <v>0</v>
      </c>
      <c r="V45" s="242"/>
      <c r="W45" s="242">
        <f t="shared" si="60"/>
        <v>0</v>
      </c>
      <c r="X45" s="242"/>
      <c r="Y45" s="241"/>
      <c r="Z45" s="13"/>
      <c r="AA45" s="13"/>
      <c r="AB45" s="241">
        <f t="shared" si="41"/>
        <v>0</v>
      </c>
      <c r="AC45" s="13"/>
      <c r="AD45" s="13"/>
      <c r="AE45" s="241">
        <f t="shared" si="42"/>
        <v>0</v>
      </c>
      <c r="AF45" s="13"/>
      <c r="AG45" s="13"/>
      <c r="AH45" s="241">
        <f t="shared" si="43"/>
        <v>0</v>
      </c>
      <c r="AI45" s="13"/>
      <c r="AJ45" s="13"/>
      <c r="AK45" s="241">
        <f t="shared" si="44"/>
        <v>0</v>
      </c>
      <c r="AL45" s="13"/>
      <c r="AM45" s="13"/>
      <c r="AN45" s="241">
        <f t="shared" si="45"/>
        <v>0</v>
      </c>
      <c r="AO45" s="13"/>
      <c r="AP45" s="13"/>
      <c r="AQ45" s="241">
        <f t="shared" si="46"/>
        <v>0</v>
      </c>
      <c r="AR45" s="13"/>
      <c r="AS45" s="13"/>
      <c r="AT45" s="241">
        <f t="shared" si="47"/>
        <v>0</v>
      </c>
      <c r="AU45" s="13"/>
      <c r="AV45" s="13"/>
      <c r="AW45" s="241">
        <f t="shared" si="48"/>
        <v>0</v>
      </c>
      <c r="AX45" s="13"/>
      <c r="AY45" s="13"/>
      <c r="AZ45" s="241">
        <f t="shared" si="49"/>
        <v>0</v>
      </c>
      <c r="BA45" s="13"/>
      <c r="BB45" s="13"/>
      <c r="BC45" s="241">
        <f t="shared" si="50"/>
        <v>0</v>
      </c>
      <c r="BD45" s="13"/>
      <c r="BE45" s="13"/>
      <c r="BF45" s="241">
        <f t="shared" si="51"/>
        <v>0</v>
      </c>
      <c r="BG45" s="242">
        <f t="shared" si="37"/>
        <v>0</v>
      </c>
      <c r="BH45" s="242"/>
      <c r="BI45" s="242">
        <f t="shared" si="52"/>
        <v>0</v>
      </c>
      <c r="BJ45" s="242">
        <f t="shared" si="53"/>
        <v>0</v>
      </c>
      <c r="BK45" s="241"/>
      <c r="BL45" s="242">
        <f t="shared" si="54"/>
        <v>0</v>
      </c>
      <c r="BM45" s="241"/>
      <c r="BN45" s="242"/>
      <c r="BO45" s="242">
        <f t="shared" si="55"/>
        <v>0</v>
      </c>
      <c r="BP45" s="241"/>
      <c r="BQ45" s="242"/>
      <c r="BR45" s="242">
        <f t="shared" si="56"/>
        <v>0</v>
      </c>
      <c r="BS45" s="241"/>
      <c r="BT45" s="527">
        <v>747000</v>
      </c>
    </row>
    <row r="46" spans="1:72" s="244" customFormat="1">
      <c r="A46" s="241">
        <f t="shared" si="57"/>
        <v>16</v>
      </c>
      <c r="B46" s="241">
        <v>1877</v>
      </c>
      <c r="C46" s="241" t="s">
        <v>324</v>
      </c>
      <c r="D46" s="242">
        <v>85000</v>
      </c>
      <c r="E46" s="242">
        <v>85000</v>
      </c>
      <c r="F46" s="242">
        <f t="shared" si="31"/>
        <v>0</v>
      </c>
      <c r="G46" s="242">
        <v>85000</v>
      </c>
      <c r="H46" s="242">
        <v>75703</v>
      </c>
      <c r="I46" s="242"/>
      <c r="J46" s="242"/>
      <c r="K46" s="242">
        <f t="shared" si="58"/>
        <v>0</v>
      </c>
      <c r="L46" s="242">
        <f t="shared" si="32"/>
        <v>75703</v>
      </c>
      <c r="M46" s="242">
        <f t="shared" si="59"/>
        <v>9297</v>
      </c>
      <c r="N46" s="242"/>
      <c r="O46" s="242">
        <f t="shared" si="33"/>
        <v>0</v>
      </c>
      <c r="P46" s="242">
        <f t="shared" si="34"/>
        <v>9297</v>
      </c>
      <c r="Q46" s="242"/>
      <c r="R46" s="242"/>
      <c r="S46" s="242">
        <f t="shared" si="35"/>
        <v>0</v>
      </c>
      <c r="T46" s="242">
        <f t="shared" si="36"/>
        <v>0</v>
      </c>
      <c r="U46" s="14">
        <f t="shared" si="30"/>
        <v>0</v>
      </c>
      <c r="V46" s="242"/>
      <c r="W46" s="242">
        <f t="shared" si="60"/>
        <v>0</v>
      </c>
      <c r="X46" s="242"/>
      <c r="Y46" s="241"/>
      <c r="Z46" s="242"/>
      <c r="AA46" s="242"/>
      <c r="AB46" s="241">
        <f t="shared" si="41"/>
        <v>0</v>
      </c>
      <c r="AC46" s="242"/>
      <c r="AD46" s="242"/>
      <c r="AE46" s="241">
        <f t="shared" si="42"/>
        <v>0</v>
      </c>
      <c r="AF46" s="242"/>
      <c r="AG46" s="242"/>
      <c r="AH46" s="241">
        <f t="shared" si="43"/>
        <v>0</v>
      </c>
      <c r="AI46" s="242"/>
      <c r="AJ46" s="242"/>
      <c r="AK46" s="241">
        <f t="shared" si="44"/>
        <v>0</v>
      </c>
      <c r="AL46" s="242"/>
      <c r="AM46" s="242"/>
      <c r="AN46" s="241">
        <f t="shared" si="45"/>
        <v>0</v>
      </c>
      <c r="AO46" s="242"/>
      <c r="AP46" s="242"/>
      <c r="AQ46" s="241">
        <f t="shared" si="46"/>
        <v>0</v>
      </c>
      <c r="AR46" s="242"/>
      <c r="AS46" s="242"/>
      <c r="AT46" s="241">
        <f t="shared" si="47"/>
        <v>0</v>
      </c>
      <c r="AU46" s="242"/>
      <c r="AV46" s="242"/>
      <c r="AW46" s="241">
        <f t="shared" si="48"/>
        <v>0</v>
      </c>
      <c r="AX46" s="242"/>
      <c r="AY46" s="242"/>
      <c r="AZ46" s="241">
        <f t="shared" si="49"/>
        <v>0</v>
      </c>
      <c r="BA46" s="242"/>
      <c r="BB46" s="242"/>
      <c r="BC46" s="241">
        <f t="shared" si="50"/>
        <v>0</v>
      </c>
      <c r="BD46" s="242"/>
      <c r="BE46" s="242"/>
      <c r="BF46" s="241">
        <f t="shared" si="51"/>
        <v>0</v>
      </c>
      <c r="BG46" s="242">
        <f t="shared" si="37"/>
        <v>0</v>
      </c>
      <c r="BH46" s="242"/>
      <c r="BI46" s="242">
        <f t="shared" si="52"/>
        <v>0</v>
      </c>
      <c r="BJ46" s="242">
        <f t="shared" si="53"/>
        <v>0</v>
      </c>
      <c r="BK46" s="241"/>
      <c r="BL46" s="242">
        <f t="shared" si="54"/>
        <v>0</v>
      </c>
      <c r="BM46" s="241"/>
      <c r="BN46" s="242"/>
      <c r="BO46" s="242">
        <f t="shared" si="55"/>
        <v>0</v>
      </c>
      <c r="BP46" s="241"/>
      <c r="BQ46" s="242"/>
      <c r="BR46" s="242">
        <f t="shared" si="56"/>
        <v>0</v>
      </c>
      <c r="BS46" s="241"/>
      <c r="BT46" s="527">
        <v>747000</v>
      </c>
    </row>
    <row r="47" spans="1:72" s="244" customFormat="1">
      <c r="A47" s="241">
        <f t="shared" si="57"/>
        <v>17</v>
      </c>
      <c r="B47" s="241">
        <v>1878</v>
      </c>
      <c r="C47" s="241" t="s">
        <v>325</v>
      </c>
      <c r="D47" s="242">
        <v>20000</v>
      </c>
      <c r="E47" s="242">
        <v>20000</v>
      </c>
      <c r="F47" s="242">
        <f t="shared" si="31"/>
        <v>0</v>
      </c>
      <c r="G47" s="242">
        <v>20000</v>
      </c>
      <c r="H47" s="242">
        <v>19999.990000000002</v>
      </c>
      <c r="I47" s="242"/>
      <c r="J47" s="242"/>
      <c r="K47" s="242">
        <f t="shared" si="58"/>
        <v>0</v>
      </c>
      <c r="L47" s="242">
        <f t="shared" si="32"/>
        <v>19999.990000000002</v>
      </c>
      <c r="M47" s="242">
        <f t="shared" si="59"/>
        <v>9.9999999983992893E-3</v>
      </c>
      <c r="N47" s="242"/>
      <c r="O47" s="242">
        <f t="shared" si="33"/>
        <v>0</v>
      </c>
      <c r="P47" s="242">
        <f t="shared" si="34"/>
        <v>9.9999999983992893E-3</v>
      </c>
      <c r="Q47" s="242"/>
      <c r="R47" s="242"/>
      <c r="S47" s="242">
        <f t="shared" si="35"/>
        <v>0</v>
      </c>
      <c r="T47" s="242">
        <f t="shared" si="36"/>
        <v>0</v>
      </c>
      <c r="U47" s="14">
        <f t="shared" si="30"/>
        <v>0</v>
      </c>
      <c r="V47" s="242"/>
      <c r="W47" s="242">
        <f t="shared" si="60"/>
        <v>0</v>
      </c>
      <c r="X47" s="242"/>
      <c r="Y47" s="241"/>
      <c r="Z47" s="242"/>
      <c r="AA47" s="242"/>
      <c r="AB47" s="241">
        <f t="shared" si="41"/>
        <v>0</v>
      </c>
      <c r="AC47" s="242"/>
      <c r="AD47" s="242"/>
      <c r="AE47" s="241">
        <f t="shared" si="42"/>
        <v>0</v>
      </c>
      <c r="AF47" s="242"/>
      <c r="AG47" s="242"/>
      <c r="AH47" s="241">
        <f t="shared" si="43"/>
        <v>0</v>
      </c>
      <c r="AI47" s="242"/>
      <c r="AJ47" s="242"/>
      <c r="AK47" s="241">
        <f t="shared" si="44"/>
        <v>0</v>
      </c>
      <c r="AL47" s="242"/>
      <c r="AM47" s="242"/>
      <c r="AN47" s="241">
        <f t="shared" si="45"/>
        <v>0</v>
      </c>
      <c r="AO47" s="242"/>
      <c r="AP47" s="242"/>
      <c r="AQ47" s="241">
        <f t="shared" si="46"/>
        <v>0</v>
      </c>
      <c r="AR47" s="242"/>
      <c r="AS47" s="242"/>
      <c r="AT47" s="241">
        <f t="shared" si="47"/>
        <v>0</v>
      </c>
      <c r="AU47" s="242"/>
      <c r="AV47" s="242"/>
      <c r="AW47" s="241">
        <f t="shared" si="48"/>
        <v>0</v>
      </c>
      <c r="AX47" s="242"/>
      <c r="AY47" s="242"/>
      <c r="AZ47" s="241">
        <f t="shared" si="49"/>
        <v>0</v>
      </c>
      <c r="BA47" s="242"/>
      <c r="BB47" s="242"/>
      <c r="BC47" s="241">
        <f t="shared" si="50"/>
        <v>0</v>
      </c>
      <c r="BD47" s="242"/>
      <c r="BE47" s="242"/>
      <c r="BF47" s="241">
        <f t="shared" si="51"/>
        <v>0</v>
      </c>
      <c r="BG47" s="242">
        <f t="shared" si="37"/>
        <v>0</v>
      </c>
      <c r="BH47" s="242"/>
      <c r="BI47" s="242">
        <f t="shared" si="52"/>
        <v>0</v>
      </c>
      <c r="BJ47" s="242">
        <f t="shared" si="53"/>
        <v>0</v>
      </c>
      <c r="BK47" s="241"/>
      <c r="BL47" s="242">
        <f t="shared" si="54"/>
        <v>0</v>
      </c>
      <c r="BM47" s="241"/>
      <c r="BN47" s="242"/>
      <c r="BO47" s="242">
        <f t="shared" si="55"/>
        <v>0</v>
      </c>
      <c r="BP47" s="241"/>
      <c r="BQ47" s="242"/>
      <c r="BR47" s="242">
        <f t="shared" si="56"/>
        <v>0</v>
      </c>
      <c r="BS47" s="241"/>
      <c r="BT47" s="527">
        <v>747000</v>
      </c>
    </row>
    <row r="48" spans="1:72" s="244" customFormat="1">
      <c r="A48" s="241">
        <f t="shared" si="57"/>
        <v>18</v>
      </c>
      <c r="B48" s="241">
        <v>1879</v>
      </c>
      <c r="C48" s="241" t="s">
        <v>326</v>
      </c>
      <c r="D48" s="242">
        <v>48000</v>
      </c>
      <c r="E48" s="242">
        <v>48000</v>
      </c>
      <c r="F48" s="242">
        <f t="shared" si="31"/>
        <v>0</v>
      </c>
      <c r="G48" s="242">
        <v>48000</v>
      </c>
      <c r="H48" s="242">
        <v>20576.37</v>
      </c>
      <c r="I48" s="242"/>
      <c r="J48" s="242"/>
      <c r="K48" s="242">
        <f t="shared" si="58"/>
        <v>0</v>
      </c>
      <c r="L48" s="242">
        <f t="shared" si="32"/>
        <v>20576.37</v>
      </c>
      <c r="M48" s="242">
        <f t="shared" si="59"/>
        <v>27423.63</v>
      </c>
      <c r="N48" s="242"/>
      <c r="O48" s="242">
        <f t="shared" si="33"/>
        <v>0</v>
      </c>
      <c r="P48" s="242">
        <f t="shared" si="34"/>
        <v>27423.63</v>
      </c>
      <c r="Q48" s="242"/>
      <c r="R48" s="242"/>
      <c r="S48" s="242">
        <f t="shared" si="35"/>
        <v>0</v>
      </c>
      <c r="T48" s="242">
        <f t="shared" si="36"/>
        <v>0</v>
      </c>
      <c r="U48" s="14">
        <f t="shared" si="30"/>
        <v>0</v>
      </c>
      <c r="V48" s="242"/>
      <c r="W48" s="242">
        <f t="shared" si="60"/>
        <v>0</v>
      </c>
      <c r="X48" s="242"/>
      <c r="Y48" s="241"/>
      <c r="Z48" s="242"/>
      <c r="AA48" s="242"/>
      <c r="AB48" s="241">
        <f t="shared" si="41"/>
        <v>0</v>
      </c>
      <c r="AC48" s="242"/>
      <c r="AD48" s="242"/>
      <c r="AE48" s="241">
        <f t="shared" si="42"/>
        <v>0</v>
      </c>
      <c r="AF48" s="242"/>
      <c r="AG48" s="242"/>
      <c r="AH48" s="241">
        <f t="shared" si="43"/>
        <v>0</v>
      </c>
      <c r="AI48" s="242"/>
      <c r="AJ48" s="242"/>
      <c r="AK48" s="241">
        <f t="shared" si="44"/>
        <v>0</v>
      </c>
      <c r="AL48" s="242"/>
      <c r="AM48" s="242"/>
      <c r="AN48" s="241">
        <f t="shared" si="45"/>
        <v>0</v>
      </c>
      <c r="AO48" s="242"/>
      <c r="AP48" s="242"/>
      <c r="AQ48" s="241">
        <f t="shared" si="46"/>
        <v>0</v>
      </c>
      <c r="AR48" s="242"/>
      <c r="AS48" s="242"/>
      <c r="AT48" s="241">
        <f t="shared" si="47"/>
        <v>0</v>
      </c>
      <c r="AU48" s="242"/>
      <c r="AV48" s="242"/>
      <c r="AW48" s="241">
        <f t="shared" si="48"/>
        <v>0</v>
      </c>
      <c r="AX48" s="242"/>
      <c r="AY48" s="242"/>
      <c r="AZ48" s="241">
        <f t="shared" si="49"/>
        <v>0</v>
      </c>
      <c r="BA48" s="242"/>
      <c r="BB48" s="242"/>
      <c r="BC48" s="241">
        <f t="shared" si="50"/>
        <v>0</v>
      </c>
      <c r="BD48" s="242"/>
      <c r="BE48" s="242"/>
      <c r="BF48" s="241">
        <f t="shared" si="51"/>
        <v>0</v>
      </c>
      <c r="BG48" s="242">
        <f t="shared" si="37"/>
        <v>0</v>
      </c>
      <c r="BH48" s="242"/>
      <c r="BI48" s="242">
        <f t="shared" si="52"/>
        <v>0</v>
      </c>
      <c r="BJ48" s="242">
        <f t="shared" si="53"/>
        <v>0</v>
      </c>
      <c r="BK48" s="241"/>
      <c r="BL48" s="242">
        <f t="shared" si="54"/>
        <v>0</v>
      </c>
      <c r="BM48" s="241"/>
      <c r="BN48" s="242"/>
      <c r="BO48" s="242">
        <f t="shared" si="55"/>
        <v>0</v>
      </c>
      <c r="BP48" s="241"/>
      <c r="BQ48" s="242"/>
      <c r="BR48" s="242">
        <f t="shared" si="56"/>
        <v>0</v>
      </c>
      <c r="BS48" s="241"/>
      <c r="BT48" s="527">
        <v>747000</v>
      </c>
    </row>
    <row r="49" spans="1:72" s="244" customFormat="1">
      <c r="A49" s="241">
        <f t="shared" si="57"/>
        <v>19</v>
      </c>
      <c r="B49" s="241">
        <v>1880</v>
      </c>
      <c r="C49" s="241" t="s">
        <v>327</v>
      </c>
      <c r="D49" s="242">
        <v>85000</v>
      </c>
      <c r="E49" s="242">
        <v>85000</v>
      </c>
      <c r="F49" s="242">
        <f t="shared" si="31"/>
        <v>0</v>
      </c>
      <c r="G49" s="242">
        <v>85000</v>
      </c>
      <c r="H49" s="242">
        <v>0</v>
      </c>
      <c r="I49" s="242">
        <v>85000</v>
      </c>
      <c r="J49" s="242"/>
      <c r="K49" s="242">
        <f t="shared" si="58"/>
        <v>85000</v>
      </c>
      <c r="L49" s="242">
        <f t="shared" si="32"/>
        <v>85000</v>
      </c>
      <c r="M49" s="242">
        <f t="shared" si="59"/>
        <v>0</v>
      </c>
      <c r="N49" s="242"/>
      <c r="O49" s="242">
        <f t="shared" si="33"/>
        <v>0</v>
      </c>
      <c r="P49" s="242">
        <f t="shared" si="34"/>
        <v>0</v>
      </c>
      <c r="Q49" s="242"/>
      <c r="R49" s="242"/>
      <c r="S49" s="242">
        <f t="shared" si="35"/>
        <v>0</v>
      </c>
      <c r="T49" s="242">
        <f t="shared" si="36"/>
        <v>0</v>
      </c>
      <c r="U49" s="14">
        <f t="shared" si="30"/>
        <v>0</v>
      </c>
      <c r="V49" s="242"/>
      <c r="W49" s="242">
        <f t="shared" si="60"/>
        <v>0</v>
      </c>
      <c r="X49" s="242"/>
      <c r="Y49" s="241"/>
      <c r="Z49" s="242"/>
      <c r="AA49" s="242"/>
      <c r="AB49" s="241">
        <f t="shared" si="41"/>
        <v>0</v>
      </c>
      <c r="AC49" s="242"/>
      <c r="AD49" s="242"/>
      <c r="AE49" s="241">
        <f t="shared" si="42"/>
        <v>0</v>
      </c>
      <c r="AF49" s="242"/>
      <c r="AG49" s="242"/>
      <c r="AH49" s="241">
        <f t="shared" si="43"/>
        <v>0</v>
      </c>
      <c r="AI49" s="242"/>
      <c r="AJ49" s="242"/>
      <c r="AK49" s="241">
        <f t="shared" si="44"/>
        <v>0</v>
      </c>
      <c r="AL49" s="242"/>
      <c r="AM49" s="242"/>
      <c r="AN49" s="241">
        <f t="shared" si="45"/>
        <v>0</v>
      </c>
      <c r="AO49" s="242"/>
      <c r="AP49" s="242"/>
      <c r="AQ49" s="241">
        <f t="shared" si="46"/>
        <v>0</v>
      </c>
      <c r="AR49" s="242"/>
      <c r="AS49" s="242"/>
      <c r="AT49" s="241">
        <f t="shared" si="47"/>
        <v>0</v>
      </c>
      <c r="AU49" s="242"/>
      <c r="AV49" s="242"/>
      <c r="AW49" s="241">
        <f t="shared" si="48"/>
        <v>0</v>
      </c>
      <c r="AX49" s="242"/>
      <c r="AY49" s="242"/>
      <c r="AZ49" s="241">
        <f t="shared" si="49"/>
        <v>0</v>
      </c>
      <c r="BA49" s="242"/>
      <c r="BB49" s="242"/>
      <c r="BC49" s="241">
        <f t="shared" si="50"/>
        <v>0</v>
      </c>
      <c r="BD49" s="242"/>
      <c r="BE49" s="242"/>
      <c r="BF49" s="241">
        <f t="shared" si="51"/>
        <v>0</v>
      </c>
      <c r="BG49" s="242">
        <f t="shared" si="37"/>
        <v>0</v>
      </c>
      <c r="BH49" s="242"/>
      <c r="BI49" s="242">
        <f t="shared" si="52"/>
        <v>0</v>
      </c>
      <c r="BJ49" s="242">
        <f t="shared" si="53"/>
        <v>0</v>
      </c>
      <c r="BK49" s="241"/>
      <c r="BL49" s="242">
        <f t="shared" si="54"/>
        <v>0</v>
      </c>
      <c r="BM49" s="241"/>
      <c r="BN49" s="242"/>
      <c r="BO49" s="242">
        <f t="shared" si="55"/>
        <v>0</v>
      </c>
      <c r="BP49" s="241"/>
      <c r="BQ49" s="242"/>
      <c r="BR49" s="242">
        <f t="shared" si="56"/>
        <v>0</v>
      </c>
      <c r="BS49" s="241"/>
      <c r="BT49" s="527">
        <v>747000</v>
      </c>
    </row>
    <row r="50" spans="1:72" s="244" customFormat="1">
      <c r="A50" s="241">
        <f t="shared" si="57"/>
        <v>20</v>
      </c>
      <c r="B50" s="241">
        <v>1881</v>
      </c>
      <c r="C50" s="241" t="s">
        <v>320</v>
      </c>
      <c r="D50" s="242">
        <v>100000</v>
      </c>
      <c r="E50" s="242">
        <v>100000</v>
      </c>
      <c r="F50" s="242">
        <f t="shared" si="31"/>
        <v>0</v>
      </c>
      <c r="G50" s="242">
        <v>100000</v>
      </c>
      <c r="H50" s="242">
        <v>0</v>
      </c>
      <c r="I50" s="242"/>
      <c r="J50" s="242"/>
      <c r="K50" s="242">
        <f t="shared" si="58"/>
        <v>0</v>
      </c>
      <c r="L50" s="242">
        <f t="shared" si="32"/>
        <v>0</v>
      </c>
      <c r="M50" s="242">
        <f t="shared" si="59"/>
        <v>100000</v>
      </c>
      <c r="N50" s="242"/>
      <c r="O50" s="242">
        <f t="shared" si="33"/>
        <v>0</v>
      </c>
      <c r="P50" s="242">
        <f t="shared" si="34"/>
        <v>100000</v>
      </c>
      <c r="Q50" s="242"/>
      <c r="R50" s="242"/>
      <c r="S50" s="242">
        <f t="shared" si="35"/>
        <v>0</v>
      </c>
      <c r="T50" s="242">
        <f t="shared" si="36"/>
        <v>0</v>
      </c>
      <c r="U50" s="14">
        <f t="shared" si="30"/>
        <v>0</v>
      </c>
      <c r="V50" s="242"/>
      <c r="W50" s="242">
        <f t="shared" si="60"/>
        <v>0</v>
      </c>
      <c r="X50" s="242"/>
      <c r="Y50" s="241"/>
      <c r="Z50" s="242"/>
      <c r="AA50" s="242"/>
      <c r="AB50" s="241">
        <f t="shared" si="41"/>
        <v>0</v>
      </c>
      <c r="AC50" s="242"/>
      <c r="AD50" s="242"/>
      <c r="AE50" s="241">
        <f t="shared" si="42"/>
        <v>0</v>
      </c>
      <c r="AF50" s="242"/>
      <c r="AG50" s="242"/>
      <c r="AH50" s="241">
        <f t="shared" si="43"/>
        <v>0</v>
      </c>
      <c r="AI50" s="242"/>
      <c r="AJ50" s="242"/>
      <c r="AK50" s="241">
        <f t="shared" si="44"/>
        <v>0</v>
      </c>
      <c r="AL50" s="242"/>
      <c r="AM50" s="242"/>
      <c r="AN50" s="241">
        <f t="shared" si="45"/>
        <v>0</v>
      </c>
      <c r="AO50" s="242"/>
      <c r="AP50" s="242"/>
      <c r="AQ50" s="241">
        <f t="shared" si="46"/>
        <v>0</v>
      </c>
      <c r="AR50" s="242"/>
      <c r="AS50" s="242"/>
      <c r="AT50" s="241">
        <f t="shared" si="47"/>
        <v>0</v>
      </c>
      <c r="AU50" s="242"/>
      <c r="AV50" s="242"/>
      <c r="AW50" s="241">
        <f t="shared" si="48"/>
        <v>0</v>
      </c>
      <c r="AX50" s="242"/>
      <c r="AY50" s="242"/>
      <c r="AZ50" s="241">
        <f t="shared" si="49"/>
        <v>0</v>
      </c>
      <c r="BA50" s="242"/>
      <c r="BB50" s="242"/>
      <c r="BC50" s="241">
        <f t="shared" si="50"/>
        <v>0</v>
      </c>
      <c r="BD50" s="242"/>
      <c r="BE50" s="242"/>
      <c r="BF50" s="241">
        <f t="shared" si="51"/>
        <v>0</v>
      </c>
      <c r="BG50" s="242">
        <f t="shared" si="37"/>
        <v>0</v>
      </c>
      <c r="BH50" s="242"/>
      <c r="BI50" s="242">
        <f t="shared" si="52"/>
        <v>0</v>
      </c>
      <c r="BJ50" s="242">
        <f t="shared" si="53"/>
        <v>0</v>
      </c>
      <c r="BK50" s="241"/>
      <c r="BL50" s="242">
        <f t="shared" si="54"/>
        <v>0</v>
      </c>
      <c r="BM50" s="241"/>
      <c r="BN50" s="242"/>
      <c r="BO50" s="242">
        <f t="shared" si="55"/>
        <v>0</v>
      </c>
      <c r="BP50" s="241"/>
      <c r="BQ50" s="242"/>
      <c r="BR50" s="242">
        <f t="shared" si="56"/>
        <v>0</v>
      </c>
      <c r="BS50" s="241"/>
      <c r="BT50" s="527">
        <v>747000</v>
      </c>
    </row>
    <row r="51" spans="1:72" s="244" customFormat="1">
      <c r="A51" s="241">
        <f t="shared" si="57"/>
        <v>21</v>
      </c>
      <c r="B51" s="241">
        <v>1923</v>
      </c>
      <c r="C51" s="241" t="s">
        <v>328</v>
      </c>
      <c r="D51" s="242">
        <v>350000</v>
      </c>
      <c r="E51" s="242">
        <v>350000</v>
      </c>
      <c r="F51" s="242">
        <f t="shared" si="31"/>
        <v>0</v>
      </c>
      <c r="G51" s="242">
        <v>350000</v>
      </c>
      <c r="H51" s="242">
        <v>74529</v>
      </c>
      <c r="I51" s="242">
        <v>229489.54</v>
      </c>
      <c r="J51" s="242"/>
      <c r="K51" s="242">
        <f t="shared" si="58"/>
        <v>229489.54</v>
      </c>
      <c r="L51" s="242">
        <f t="shared" si="32"/>
        <v>304018.54000000004</v>
      </c>
      <c r="M51" s="242">
        <f t="shared" si="59"/>
        <v>45981.459999999963</v>
      </c>
      <c r="N51" s="242"/>
      <c r="O51" s="242">
        <f t="shared" si="33"/>
        <v>0</v>
      </c>
      <c r="P51" s="242">
        <f t="shared" si="34"/>
        <v>45981.459999999963</v>
      </c>
      <c r="Q51" s="242"/>
      <c r="R51" s="242"/>
      <c r="S51" s="242">
        <f t="shared" si="35"/>
        <v>0</v>
      </c>
      <c r="T51" s="242">
        <f t="shared" si="36"/>
        <v>0</v>
      </c>
      <c r="U51" s="14">
        <f t="shared" si="30"/>
        <v>0</v>
      </c>
      <c r="V51" s="242"/>
      <c r="W51" s="242">
        <f t="shared" si="60"/>
        <v>0</v>
      </c>
      <c r="X51" s="242"/>
      <c r="Y51" s="241"/>
      <c r="Z51" s="242"/>
      <c r="AA51" s="242"/>
      <c r="AB51" s="241">
        <f t="shared" si="41"/>
        <v>0</v>
      </c>
      <c r="AC51" s="242"/>
      <c r="AD51" s="242"/>
      <c r="AE51" s="241">
        <f t="shared" si="42"/>
        <v>0</v>
      </c>
      <c r="AF51" s="242"/>
      <c r="AG51" s="242"/>
      <c r="AH51" s="241">
        <f t="shared" si="43"/>
        <v>0</v>
      </c>
      <c r="AI51" s="242"/>
      <c r="AJ51" s="242"/>
      <c r="AK51" s="241">
        <f t="shared" si="44"/>
        <v>0</v>
      </c>
      <c r="AL51" s="242"/>
      <c r="AM51" s="242"/>
      <c r="AN51" s="241">
        <f t="shared" si="45"/>
        <v>0</v>
      </c>
      <c r="AO51" s="242"/>
      <c r="AP51" s="242"/>
      <c r="AQ51" s="241">
        <f t="shared" si="46"/>
        <v>0</v>
      </c>
      <c r="AR51" s="242"/>
      <c r="AS51" s="242"/>
      <c r="AT51" s="241">
        <f t="shared" si="47"/>
        <v>0</v>
      </c>
      <c r="AU51" s="242"/>
      <c r="AV51" s="242"/>
      <c r="AW51" s="241">
        <f t="shared" si="48"/>
        <v>0</v>
      </c>
      <c r="AX51" s="242"/>
      <c r="AY51" s="242"/>
      <c r="AZ51" s="241">
        <f t="shared" si="49"/>
        <v>0</v>
      </c>
      <c r="BA51" s="242"/>
      <c r="BB51" s="242"/>
      <c r="BC51" s="241">
        <f t="shared" si="50"/>
        <v>0</v>
      </c>
      <c r="BD51" s="242"/>
      <c r="BE51" s="242"/>
      <c r="BF51" s="241">
        <f t="shared" si="51"/>
        <v>0</v>
      </c>
      <c r="BG51" s="242">
        <f t="shared" si="37"/>
        <v>0</v>
      </c>
      <c r="BH51" s="242"/>
      <c r="BI51" s="242">
        <f t="shared" si="52"/>
        <v>0</v>
      </c>
      <c r="BJ51" s="242">
        <f t="shared" si="53"/>
        <v>0</v>
      </c>
      <c r="BK51" s="241"/>
      <c r="BL51" s="242">
        <f t="shared" si="54"/>
        <v>0</v>
      </c>
      <c r="BM51" s="241"/>
      <c r="BN51" s="242"/>
      <c r="BO51" s="242">
        <f t="shared" si="55"/>
        <v>0</v>
      </c>
      <c r="BP51" s="241"/>
      <c r="BQ51" s="242"/>
      <c r="BR51" s="242">
        <f t="shared" si="56"/>
        <v>0</v>
      </c>
      <c r="BS51" s="241"/>
      <c r="BT51" s="527">
        <v>747000</v>
      </c>
    </row>
    <row r="52" spans="1:72" s="244" customFormat="1">
      <c r="A52" s="241">
        <f t="shared" si="57"/>
        <v>22</v>
      </c>
      <c r="B52" s="241">
        <v>1928</v>
      </c>
      <c r="C52" s="241" t="s">
        <v>371</v>
      </c>
      <c r="D52" s="242">
        <v>100000</v>
      </c>
      <c r="E52" s="242">
        <v>100000</v>
      </c>
      <c r="F52" s="242">
        <f t="shared" si="31"/>
        <v>0</v>
      </c>
      <c r="G52" s="242">
        <v>100000</v>
      </c>
      <c r="H52" s="242">
        <v>0</v>
      </c>
      <c r="I52" s="242"/>
      <c r="J52" s="242"/>
      <c r="K52" s="242">
        <f t="shared" si="58"/>
        <v>0</v>
      </c>
      <c r="L52" s="242">
        <f t="shared" si="32"/>
        <v>0</v>
      </c>
      <c r="M52" s="242">
        <f t="shared" si="59"/>
        <v>100000</v>
      </c>
      <c r="N52" s="242"/>
      <c r="O52" s="242">
        <f t="shared" si="33"/>
        <v>0</v>
      </c>
      <c r="P52" s="242">
        <f t="shared" si="34"/>
        <v>100000</v>
      </c>
      <c r="Q52" s="242"/>
      <c r="R52" s="242"/>
      <c r="S52" s="242">
        <f t="shared" si="35"/>
        <v>0</v>
      </c>
      <c r="T52" s="242">
        <f t="shared" si="36"/>
        <v>0</v>
      </c>
      <c r="U52" s="14">
        <f t="shared" si="30"/>
        <v>0</v>
      </c>
      <c r="V52" s="242"/>
      <c r="W52" s="242">
        <f t="shared" si="60"/>
        <v>0</v>
      </c>
      <c r="X52" s="242"/>
      <c r="Y52" s="241"/>
      <c r="Z52" s="241"/>
      <c r="AA52" s="241"/>
      <c r="AB52" s="241">
        <f t="shared" si="41"/>
        <v>0</v>
      </c>
      <c r="AC52" s="241"/>
      <c r="AD52" s="241"/>
      <c r="AE52" s="241">
        <f t="shared" si="42"/>
        <v>0</v>
      </c>
      <c r="AF52" s="241"/>
      <c r="AG52" s="241"/>
      <c r="AH52" s="241">
        <f t="shared" si="43"/>
        <v>0</v>
      </c>
      <c r="AI52" s="241"/>
      <c r="AJ52" s="241"/>
      <c r="AK52" s="241">
        <f t="shared" si="44"/>
        <v>0</v>
      </c>
      <c r="AL52" s="241"/>
      <c r="AM52" s="241"/>
      <c r="AN52" s="241">
        <f t="shared" si="45"/>
        <v>0</v>
      </c>
      <c r="AO52" s="241"/>
      <c r="AP52" s="241"/>
      <c r="AQ52" s="241">
        <f t="shared" si="46"/>
        <v>0</v>
      </c>
      <c r="AR52" s="241"/>
      <c r="AS52" s="241"/>
      <c r="AT52" s="241">
        <f t="shared" si="47"/>
        <v>0</v>
      </c>
      <c r="AU52" s="241"/>
      <c r="AV52" s="241"/>
      <c r="AW52" s="241">
        <f t="shared" si="48"/>
        <v>0</v>
      </c>
      <c r="AX52" s="241"/>
      <c r="AY52" s="241"/>
      <c r="AZ52" s="241">
        <f t="shared" si="49"/>
        <v>0</v>
      </c>
      <c r="BA52" s="241"/>
      <c r="BB52" s="241"/>
      <c r="BC52" s="241">
        <f t="shared" si="50"/>
        <v>0</v>
      </c>
      <c r="BD52" s="241"/>
      <c r="BE52" s="241"/>
      <c r="BF52" s="241">
        <f t="shared" si="51"/>
        <v>0</v>
      </c>
      <c r="BG52" s="242">
        <f t="shared" si="37"/>
        <v>0</v>
      </c>
      <c r="BH52" s="242"/>
      <c r="BI52" s="242">
        <f t="shared" si="52"/>
        <v>0</v>
      </c>
      <c r="BJ52" s="242">
        <f t="shared" si="53"/>
        <v>0</v>
      </c>
      <c r="BK52" s="241"/>
      <c r="BL52" s="242">
        <f t="shared" si="54"/>
        <v>0</v>
      </c>
      <c r="BM52" s="241"/>
      <c r="BN52" s="242"/>
      <c r="BO52" s="242">
        <f t="shared" si="55"/>
        <v>0</v>
      </c>
      <c r="BP52" s="241"/>
      <c r="BQ52" s="242"/>
      <c r="BR52" s="242">
        <f t="shared" si="56"/>
        <v>0</v>
      </c>
      <c r="BS52" s="241"/>
      <c r="BT52" s="527">
        <v>747000</v>
      </c>
    </row>
    <row r="53" spans="1:72" s="244" customFormat="1">
      <c r="A53" s="241"/>
      <c r="B53" s="241"/>
      <c r="C53" s="241"/>
      <c r="D53" s="242"/>
      <c r="E53" s="242"/>
      <c r="F53" s="242"/>
      <c r="G53" s="242"/>
      <c r="H53" s="242"/>
      <c r="I53" s="242"/>
      <c r="J53" s="242"/>
      <c r="K53" s="242">
        <f t="shared" si="58"/>
        <v>0</v>
      </c>
      <c r="L53" s="242">
        <f t="shared" si="32"/>
        <v>0</v>
      </c>
      <c r="M53" s="242">
        <f t="shared" si="59"/>
        <v>0</v>
      </c>
      <c r="N53" s="242"/>
      <c r="O53" s="242">
        <f t="shared" si="33"/>
        <v>0</v>
      </c>
      <c r="P53" s="242">
        <f t="shared" si="34"/>
        <v>0</v>
      </c>
      <c r="Q53" s="242"/>
      <c r="R53" s="242"/>
      <c r="S53" s="242">
        <f t="shared" si="35"/>
        <v>0</v>
      </c>
      <c r="T53" s="242">
        <f t="shared" si="36"/>
        <v>0</v>
      </c>
      <c r="U53" s="14">
        <f t="shared" si="30"/>
        <v>0</v>
      </c>
      <c r="V53" s="242"/>
      <c r="W53" s="242">
        <f t="shared" si="60"/>
        <v>0</v>
      </c>
      <c r="X53" s="242"/>
      <c r="Y53" s="241"/>
      <c r="Z53" s="241"/>
      <c r="AA53" s="241"/>
      <c r="AB53" s="241">
        <f t="shared" si="41"/>
        <v>0</v>
      </c>
      <c r="AC53" s="241"/>
      <c r="AD53" s="241"/>
      <c r="AE53" s="241">
        <f t="shared" si="42"/>
        <v>0</v>
      </c>
      <c r="AF53" s="241"/>
      <c r="AG53" s="241"/>
      <c r="AH53" s="241">
        <f t="shared" si="43"/>
        <v>0</v>
      </c>
      <c r="AI53" s="241"/>
      <c r="AJ53" s="241"/>
      <c r="AK53" s="241">
        <f t="shared" si="44"/>
        <v>0</v>
      </c>
      <c r="AL53" s="241"/>
      <c r="AM53" s="241"/>
      <c r="AN53" s="241">
        <f t="shared" si="45"/>
        <v>0</v>
      </c>
      <c r="AO53" s="241"/>
      <c r="AP53" s="241"/>
      <c r="AQ53" s="241">
        <f t="shared" si="46"/>
        <v>0</v>
      </c>
      <c r="AR53" s="241"/>
      <c r="AS53" s="241"/>
      <c r="AT53" s="241">
        <f t="shared" si="47"/>
        <v>0</v>
      </c>
      <c r="AU53" s="241"/>
      <c r="AV53" s="241"/>
      <c r="AW53" s="241">
        <f t="shared" si="48"/>
        <v>0</v>
      </c>
      <c r="AX53" s="241"/>
      <c r="AY53" s="241"/>
      <c r="AZ53" s="241">
        <f t="shared" si="49"/>
        <v>0</v>
      </c>
      <c r="BA53" s="241"/>
      <c r="BB53" s="241"/>
      <c r="BC53" s="241">
        <f t="shared" si="50"/>
        <v>0</v>
      </c>
      <c r="BD53" s="241"/>
      <c r="BE53" s="241"/>
      <c r="BF53" s="241">
        <f t="shared" si="51"/>
        <v>0</v>
      </c>
      <c r="BG53" s="242">
        <f t="shared" si="37"/>
        <v>0</v>
      </c>
      <c r="BH53" s="242"/>
      <c r="BI53" s="242">
        <f t="shared" si="52"/>
        <v>0</v>
      </c>
      <c r="BJ53" s="242">
        <f t="shared" si="53"/>
        <v>0</v>
      </c>
      <c r="BK53" s="241"/>
      <c r="BL53" s="242">
        <f t="shared" si="54"/>
        <v>0</v>
      </c>
      <c r="BM53" s="241"/>
      <c r="BN53" s="242"/>
      <c r="BO53" s="242">
        <f t="shared" si="55"/>
        <v>0</v>
      </c>
      <c r="BP53" s="241"/>
      <c r="BQ53" s="242"/>
      <c r="BR53" s="242">
        <f t="shared" si="56"/>
        <v>0</v>
      </c>
      <c r="BS53" s="241"/>
      <c r="BT53" s="527"/>
    </row>
    <row r="54" spans="1:72" s="250" customFormat="1" ht="15.75">
      <c r="A54" s="248">
        <f>A52</f>
        <v>22</v>
      </c>
      <c r="B54" s="248" t="s">
        <v>82</v>
      </c>
      <c r="C54" s="248" t="s">
        <v>121</v>
      </c>
      <c r="D54" s="249">
        <f t="shared" ref="D54:BK54" si="61">SUM(D31:D53)</f>
        <v>11175529</v>
      </c>
      <c r="E54" s="249">
        <f t="shared" si="61"/>
        <v>11875529</v>
      </c>
      <c r="F54" s="249">
        <f t="shared" si="61"/>
        <v>-700000</v>
      </c>
      <c r="G54" s="249">
        <f t="shared" si="61"/>
        <v>7495529</v>
      </c>
      <c r="H54" s="249">
        <f t="shared" si="61"/>
        <v>5216430.3999999994</v>
      </c>
      <c r="I54" s="249">
        <f t="shared" si="61"/>
        <v>1587767.57</v>
      </c>
      <c r="J54" s="249">
        <f t="shared" si="61"/>
        <v>0.2</v>
      </c>
      <c r="K54" s="249">
        <f t="shared" si="61"/>
        <v>1587767.77</v>
      </c>
      <c r="L54" s="249">
        <f t="shared" si="61"/>
        <v>6804198.169999999</v>
      </c>
      <c r="M54" s="249">
        <f t="shared" si="61"/>
        <v>691330.83000000007</v>
      </c>
      <c r="N54" s="249">
        <f t="shared" si="61"/>
        <v>1650000</v>
      </c>
      <c r="O54" s="249">
        <f t="shared" si="61"/>
        <v>2030000</v>
      </c>
      <c r="P54" s="249">
        <f t="shared" si="61"/>
        <v>691330.83000000007</v>
      </c>
      <c r="Q54" s="249">
        <f t="shared" si="61"/>
        <v>0</v>
      </c>
      <c r="R54" s="249">
        <f t="shared" si="61"/>
        <v>0</v>
      </c>
      <c r="S54" s="249">
        <f t="shared" si="61"/>
        <v>0</v>
      </c>
      <c r="T54" s="249">
        <f t="shared" si="61"/>
        <v>0</v>
      </c>
      <c r="U54" s="27">
        <f t="shared" si="61"/>
        <v>1650000</v>
      </c>
      <c r="V54" s="249">
        <f t="shared" si="61"/>
        <v>0</v>
      </c>
      <c r="W54" s="249">
        <f t="shared" si="61"/>
        <v>1650000</v>
      </c>
      <c r="X54" s="249">
        <f t="shared" si="61"/>
        <v>0</v>
      </c>
      <c r="Y54" s="249">
        <f t="shared" si="61"/>
        <v>0</v>
      </c>
      <c r="Z54" s="249">
        <f t="shared" si="61"/>
        <v>0</v>
      </c>
      <c r="AA54" s="249">
        <f t="shared" si="61"/>
        <v>0</v>
      </c>
      <c r="AB54" s="249">
        <f t="shared" si="61"/>
        <v>0</v>
      </c>
      <c r="AC54" s="249">
        <f t="shared" si="61"/>
        <v>1150000</v>
      </c>
      <c r="AD54" s="249">
        <f t="shared" si="61"/>
        <v>0</v>
      </c>
      <c r="AE54" s="249">
        <f t="shared" si="61"/>
        <v>1150000</v>
      </c>
      <c r="AF54" s="249">
        <f t="shared" si="61"/>
        <v>0</v>
      </c>
      <c r="AG54" s="249">
        <f t="shared" si="61"/>
        <v>0</v>
      </c>
      <c r="AH54" s="249">
        <f t="shared" si="61"/>
        <v>0</v>
      </c>
      <c r="AI54" s="249">
        <f t="shared" si="61"/>
        <v>250000</v>
      </c>
      <c r="AJ54" s="249">
        <f t="shared" si="61"/>
        <v>0</v>
      </c>
      <c r="AK54" s="249">
        <f t="shared" si="61"/>
        <v>250000</v>
      </c>
      <c r="AL54" s="249">
        <f t="shared" si="61"/>
        <v>250000</v>
      </c>
      <c r="AM54" s="249">
        <f t="shared" si="61"/>
        <v>0</v>
      </c>
      <c r="AN54" s="249">
        <f t="shared" si="61"/>
        <v>250000</v>
      </c>
      <c r="AO54" s="249">
        <f t="shared" si="61"/>
        <v>0</v>
      </c>
      <c r="AP54" s="249">
        <f t="shared" si="61"/>
        <v>0</v>
      </c>
      <c r="AQ54" s="249">
        <f t="shared" si="61"/>
        <v>0</v>
      </c>
      <c r="AR54" s="249">
        <f t="shared" si="61"/>
        <v>0</v>
      </c>
      <c r="AS54" s="249">
        <f t="shared" si="61"/>
        <v>0</v>
      </c>
      <c r="AT54" s="249">
        <f t="shared" si="61"/>
        <v>0</v>
      </c>
      <c r="AU54" s="249">
        <f t="shared" si="61"/>
        <v>0</v>
      </c>
      <c r="AV54" s="249">
        <f t="shared" si="61"/>
        <v>0</v>
      </c>
      <c r="AW54" s="249">
        <f t="shared" si="61"/>
        <v>0</v>
      </c>
      <c r="AX54" s="249">
        <f t="shared" si="61"/>
        <v>0</v>
      </c>
      <c r="AY54" s="249">
        <f t="shared" si="61"/>
        <v>0</v>
      </c>
      <c r="AZ54" s="249">
        <f t="shared" si="61"/>
        <v>0</v>
      </c>
      <c r="BA54" s="249">
        <f t="shared" si="61"/>
        <v>0</v>
      </c>
      <c r="BB54" s="249">
        <f t="shared" si="61"/>
        <v>0</v>
      </c>
      <c r="BC54" s="249">
        <f t="shared" si="61"/>
        <v>0</v>
      </c>
      <c r="BD54" s="249">
        <f t="shared" si="61"/>
        <v>0</v>
      </c>
      <c r="BE54" s="249">
        <f t="shared" si="61"/>
        <v>0</v>
      </c>
      <c r="BF54" s="249">
        <f t="shared" si="61"/>
        <v>0</v>
      </c>
      <c r="BG54" s="249">
        <f t="shared" si="61"/>
        <v>1650000</v>
      </c>
      <c r="BH54" s="249">
        <f t="shared" si="61"/>
        <v>0</v>
      </c>
      <c r="BI54" s="249">
        <f t="shared" si="61"/>
        <v>1650000</v>
      </c>
      <c r="BJ54" s="249">
        <f t="shared" si="61"/>
        <v>0</v>
      </c>
      <c r="BK54" s="249">
        <f t="shared" si="61"/>
        <v>0</v>
      </c>
      <c r="BL54" s="249">
        <f t="shared" ref="BL54:BS54" si="62">SUM(BL31:BL53)</f>
        <v>1650000</v>
      </c>
      <c r="BM54" s="249">
        <f t="shared" si="62"/>
        <v>0</v>
      </c>
      <c r="BN54" s="249">
        <f t="shared" si="62"/>
        <v>0</v>
      </c>
      <c r="BO54" s="249">
        <f t="shared" si="62"/>
        <v>0</v>
      </c>
      <c r="BP54" s="249">
        <f t="shared" si="62"/>
        <v>0</v>
      </c>
      <c r="BQ54" s="249">
        <f t="shared" si="62"/>
        <v>0</v>
      </c>
      <c r="BR54" s="249">
        <f t="shared" si="62"/>
        <v>0</v>
      </c>
      <c r="BS54" s="249">
        <f t="shared" si="62"/>
        <v>0</v>
      </c>
      <c r="BT54" s="528"/>
    </row>
    <row r="55" spans="1:72" s="244" customFormat="1">
      <c r="A55" s="241"/>
      <c r="B55" s="241"/>
      <c r="C55" s="241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>
        <f>D55-L55-M55-N55</f>
        <v>0</v>
      </c>
      <c r="P55" s="242"/>
      <c r="Q55" s="242"/>
      <c r="R55" s="242"/>
      <c r="S55" s="242"/>
      <c r="T55" s="242"/>
      <c r="U55" s="14">
        <f t="shared" si="30"/>
        <v>0</v>
      </c>
      <c r="V55" s="242"/>
      <c r="W55" s="242"/>
      <c r="X55" s="242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527"/>
    </row>
    <row r="56" spans="1:72" s="244" customFormat="1" ht="15.75">
      <c r="A56" s="241"/>
      <c r="B56" s="241"/>
      <c r="C56" s="248" t="s">
        <v>188</v>
      </c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>
        <f>D56-L56-M56-N56</f>
        <v>0</v>
      </c>
      <c r="P56" s="242"/>
      <c r="Q56" s="242"/>
      <c r="R56" s="242"/>
      <c r="S56" s="242"/>
      <c r="T56" s="242">
        <f>P56-M56+R56</f>
        <v>0</v>
      </c>
      <c r="U56" s="14">
        <f t="shared" si="30"/>
        <v>0</v>
      </c>
      <c r="V56" s="242"/>
      <c r="W56" s="242"/>
      <c r="X56" s="242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527"/>
    </row>
    <row r="57" spans="1:72" s="244" customFormat="1">
      <c r="A57" s="241">
        <v>1</v>
      </c>
      <c r="B57" s="241">
        <v>135</v>
      </c>
      <c r="C57" s="241" t="s">
        <v>127</v>
      </c>
      <c r="D57" s="242">
        <f>5082000-500000</f>
        <v>4582000</v>
      </c>
      <c r="E57" s="242">
        <v>4582000</v>
      </c>
      <c r="F57" s="242">
        <f>D57-E57</f>
        <v>0</v>
      </c>
      <c r="G57" s="242">
        <v>4582000</v>
      </c>
      <c r="H57" s="242">
        <v>1051854.73</v>
      </c>
      <c r="I57" s="242">
        <v>80671.5</v>
      </c>
      <c r="J57" s="242"/>
      <c r="K57" s="242">
        <f>SUM(I57:J57)</f>
        <v>80671.5</v>
      </c>
      <c r="L57" s="242">
        <f t="shared" ref="L57:L65" si="63">H57+K57</f>
        <v>1132526.23</v>
      </c>
      <c r="M57" s="242">
        <f>P57+S57-3349000</f>
        <v>100473.77000000002</v>
      </c>
      <c r="N57" s="242"/>
      <c r="O57" s="242">
        <f t="shared" ref="O57:O65" si="64">D57-L57-M57-N57</f>
        <v>3349000</v>
      </c>
      <c r="P57" s="242">
        <f t="shared" ref="P57:P65" si="65">G57-L57</f>
        <v>3449473.77</v>
      </c>
      <c r="Q57" s="242"/>
      <c r="R57" s="242"/>
      <c r="S57" s="242">
        <f t="shared" ref="S57:S65" si="66">SUM(Q57:R57)</f>
        <v>0</v>
      </c>
      <c r="T57" s="242">
        <f t="shared" ref="T57:T65" si="67">P57-M57+S57</f>
        <v>3349000</v>
      </c>
      <c r="U57" s="14">
        <f t="shared" si="30"/>
        <v>-3349000</v>
      </c>
      <c r="V57" s="242">
        <v>-3349000</v>
      </c>
      <c r="W57" s="242">
        <f t="shared" ref="W57:W65" si="68">U57-V57-X57-Y57</f>
        <v>0</v>
      </c>
      <c r="X57" s="242"/>
      <c r="Y57" s="241"/>
      <c r="Z57" s="242"/>
      <c r="AA57" s="242">
        <v>-3349000</v>
      </c>
      <c r="AB57" s="242">
        <f>SUM(Z57:AA57)</f>
        <v>-3349000</v>
      </c>
      <c r="AC57" s="242"/>
      <c r="AD57" s="242"/>
      <c r="AE57" s="242">
        <f>SUM(AC57:AD57)</f>
        <v>0</v>
      </c>
      <c r="AF57" s="242"/>
      <c r="AG57" s="242"/>
      <c r="AH57" s="242">
        <f>SUM(AF57:AG57)</f>
        <v>0</v>
      </c>
      <c r="AI57" s="242"/>
      <c r="AJ57" s="242"/>
      <c r="AK57" s="242">
        <f>SUM(AI57:AJ57)</f>
        <v>0</v>
      </c>
      <c r="AL57" s="242"/>
      <c r="AM57" s="242"/>
      <c r="AN57" s="242">
        <f>SUM(AL57:AM57)</f>
        <v>0</v>
      </c>
      <c r="AO57" s="242"/>
      <c r="AP57" s="242"/>
      <c r="AQ57" s="242">
        <f>SUM(AO57:AP57)</f>
        <v>0</v>
      </c>
      <c r="AR57" s="242"/>
      <c r="AS57" s="242"/>
      <c r="AT57" s="242">
        <f>SUM(AR57:AS57)</f>
        <v>0</v>
      </c>
      <c r="AU57" s="242"/>
      <c r="AV57" s="242"/>
      <c r="AW57" s="242">
        <f>SUM(AU57:AV57)</f>
        <v>0</v>
      </c>
      <c r="AX57" s="242"/>
      <c r="AY57" s="242"/>
      <c r="AZ57" s="242">
        <f>SUM(AX57:AY57)</f>
        <v>0</v>
      </c>
      <c r="BA57" s="242"/>
      <c r="BB57" s="242"/>
      <c r="BC57" s="242">
        <f>SUM(BA57:BB57)</f>
        <v>0</v>
      </c>
      <c r="BD57" s="242"/>
      <c r="BE57" s="242"/>
      <c r="BF57" s="242">
        <f>SUM(BD57:BE57)</f>
        <v>0</v>
      </c>
      <c r="BG57" s="242">
        <f t="shared" ref="BG57:BG66" si="69">BF57+AB57+AE57+AH57+AK57+AN57+AQ57+AT57+AW57+AZ57+BC57</f>
        <v>-3349000</v>
      </c>
      <c r="BH57" s="242"/>
      <c r="BI57" s="242">
        <f>BH57+BG57</f>
        <v>-3349000</v>
      </c>
      <c r="BJ57" s="242">
        <f>U57-BI57</f>
        <v>0</v>
      </c>
      <c r="BK57" s="242">
        <v>-3349000</v>
      </c>
      <c r="BL57" s="242">
        <f>BI57-BK57-BM57</f>
        <v>0</v>
      </c>
      <c r="BM57" s="241"/>
      <c r="BN57" s="242"/>
      <c r="BO57" s="242">
        <f>BH57-BN57-BP57</f>
        <v>0</v>
      </c>
      <c r="BP57" s="241"/>
      <c r="BQ57" s="242"/>
      <c r="BR57" s="242">
        <f>BJ57-BQ57-BS57</f>
        <v>0</v>
      </c>
      <c r="BS57" s="241"/>
      <c r="BT57" s="527">
        <v>747000</v>
      </c>
    </row>
    <row r="58" spans="1:72" s="244" customFormat="1">
      <c r="A58" s="241">
        <f>A57+1</f>
        <v>2</v>
      </c>
      <c r="B58" s="241">
        <v>1134</v>
      </c>
      <c r="C58" s="241" t="s">
        <v>128</v>
      </c>
      <c r="D58" s="242">
        <f>2735000-200000</f>
        <v>2535000</v>
      </c>
      <c r="E58" s="242">
        <v>2535000</v>
      </c>
      <c r="F58" s="242">
        <f t="shared" ref="F58:F65" si="70">D58-E58</f>
        <v>0</v>
      </c>
      <c r="G58" s="242">
        <v>2295000</v>
      </c>
      <c r="H58" s="242">
        <v>2180073.67</v>
      </c>
      <c r="I58" s="242">
        <v>62960.160000000003</v>
      </c>
      <c r="J58" s="242"/>
      <c r="K58" s="242">
        <f t="shared" ref="K58:K65" si="71">SUM(I58:J58)</f>
        <v>62960.160000000003</v>
      </c>
      <c r="L58" s="242">
        <f t="shared" si="63"/>
        <v>2243033.83</v>
      </c>
      <c r="M58" s="242">
        <f t="shared" ref="M58:M65" si="72">P58+S58</f>
        <v>51966.169999999925</v>
      </c>
      <c r="N58" s="242">
        <v>200000</v>
      </c>
      <c r="O58" s="242">
        <f t="shared" si="64"/>
        <v>40000</v>
      </c>
      <c r="P58" s="242">
        <f t="shared" si="65"/>
        <v>51966.169999999925</v>
      </c>
      <c r="Q58" s="242"/>
      <c r="R58" s="242"/>
      <c r="S58" s="242">
        <f t="shared" si="66"/>
        <v>0</v>
      </c>
      <c r="T58" s="242">
        <f t="shared" si="67"/>
        <v>0</v>
      </c>
      <c r="U58" s="14">
        <f t="shared" si="30"/>
        <v>200000</v>
      </c>
      <c r="V58" s="242">
        <v>200000</v>
      </c>
      <c r="W58" s="242">
        <f t="shared" si="68"/>
        <v>0</v>
      </c>
      <c r="X58" s="242"/>
      <c r="Y58" s="241"/>
      <c r="Z58" s="242"/>
      <c r="AA58" s="242"/>
      <c r="AB58" s="242">
        <f t="shared" ref="AB58:AB66" si="73">SUM(Z58:AA58)</f>
        <v>0</v>
      </c>
      <c r="AC58" s="242">
        <v>100000</v>
      </c>
      <c r="AD58" s="242"/>
      <c r="AE58" s="242">
        <f t="shared" ref="AE58:AE66" si="74">SUM(AC58:AD58)</f>
        <v>100000</v>
      </c>
      <c r="AF58" s="242"/>
      <c r="AG58" s="242"/>
      <c r="AH58" s="242">
        <f t="shared" ref="AH58:AH66" si="75">SUM(AF58:AG58)</f>
        <v>0</v>
      </c>
      <c r="AI58" s="242"/>
      <c r="AJ58" s="242"/>
      <c r="AK58" s="242">
        <f t="shared" ref="AK58:AK66" si="76">SUM(AI58:AJ58)</f>
        <v>0</v>
      </c>
      <c r="AL58" s="242"/>
      <c r="AM58" s="242"/>
      <c r="AN58" s="242">
        <f t="shared" ref="AN58:AN66" si="77">SUM(AL58:AM58)</f>
        <v>0</v>
      </c>
      <c r="AO58" s="242"/>
      <c r="AP58" s="242"/>
      <c r="AQ58" s="242">
        <f t="shared" ref="AQ58:AQ66" si="78">SUM(AO58:AP58)</f>
        <v>0</v>
      </c>
      <c r="AR58" s="242"/>
      <c r="AS58" s="242"/>
      <c r="AT58" s="242">
        <f t="shared" ref="AT58:AT66" si="79">SUM(AR58:AS58)</f>
        <v>0</v>
      </c>
      <c r="AU58" s="242"/>
      <c r="AV58" s="242"/>
      <c r="AW58" s="242">
        <f t="shared" ref="AW58:AW66" si="80">SUM(AU58:AV58)</f>
        <v>0</v>
      </c>
      <c r="AX58" s="242"/>
      <c r="AY58" s="242"/>
      <c r="AZ58" s="242">
        <f t="shared" ref="AZ58:AZ66" si="81">SUM(AX58:AY58)</f>
        <v>0</v>
      </c>
      <c r="BA58" s="242">
        <v>100000</v>
      </c>
      <c r="BB58" s="242"/>
      <c r="BC58" s="242">
        <f t="shared" ref="BC58:BC66" si="82">SUM(BA58:BB58)</f>
        <v>100000</v>
      </c>
      <c r="BD58" s="242"/>
      <c r="BE58" s="242"/>
      <c r="BF58" s="242">
        <f t="shared" ref="BF58:BF66" si="83">SUM(BD58:BE58)</f>
        <v>0</v>
      </c>
      <c r="BG58" s="242">
        <f t="shared" si="69"/>
        <v>200000</v>
      </c>
      <c r="BH58" s="242"/>
      <c r="BI58" s="242">
        <f t="shared" ref="BI58:BI66" si="84">BH58+BG58</f>
        <v>200000</v>
      </c>
      <c r="BJ58" s="242">
        <f t="shared" ref="BJ58:BJ66" si="85">U58-BI58</f>
        <v>0</v>
      </c>
      <c r="BK58" s="242">
        <v>200000</v>
      </c>
      <c r="BL58" s="242">
        <f t="shared" ref="BL58:BL66" si="86">BI58-BK58-BM58</f>
        <v>0</v>
      </c>
      <c r="BM58" s="241"/>
      <c r="BN58" s="242"/>
      <c r="BO58" s="242">
        <f t="shared" ref="BO58:BO66" si="87">BH58-BN58-BP58</f>
        <v>0</v>
      </c>
      <c r="BP58" s="241"/>
      <c r="BQ58" s="242"/>
      <c r="BR58" s="242">
        <f t="shared" ref="BR58:BR66" si="88">BJ58-BQ58-BS58</f>
        <v>0</v>
      </c>
      <c r="BS58" s="241"/>
      <c r="BT58" s="527">
        <v>746000</v>
      </c>
    </row>
    <row r="59" spans="1:72" s="244" customFormat="1">
      <c r="A59" s="241">
        <f t="shared" ref="A59:A66" si="89">A58+1</f>
        <v>3</v>
      </c>
      <c r="B59" s="241">
        <v>1345</v>
      </c>
      <c r="C59" s="241" t="s">
        <v>129</v>
      </c>
      <c r="D59" s="242">
        <v>1739000</v>
      </c>
      <c r="E59" s="242">
        <v>1739000</v>
      </c>
      <c r="F59" s="242">
        <f t="shared" si="70"/>
        <v>0</v>
      </c>
      <c r="G59" s="242">
        <v>740000</v>
      </c>
      <c r="H59" s="242">
        <v>636032.25</v>
      </c>
      <c r="I59" s="242">
        <v>60689.83</v>
      </c>
      <c r="J59" s="242"/>
      <c r="K59" s="242">
        <f t="shared" si="71"/>
        <v>60689.83</v>
      </c>
      <c r="L59" s="242">
        <f t="shared" si="63"/>
        <v>696722.08</v>
      </c>
      <c r="M59" s="242">
        <f t="shared" si="72"/>
        <v>68277.920000000042</v>
      </c>
      <c r="N59" s="242"/>
      <c r="O59" s="242">
        <f t="shared" si="64"/>
        <v>974000</v>
      </c>
      <c r="P59" s="242">
        <f t="shared" si="65"/>
        <v>43277.920000000042</v>
      </c>
      <c r="Q59" s="484">
        <v>25000</v>
      </c>
      <c r="R59" s="242"/>
      <c r="S59" s="242">
        <f t="shared" si="66"/>
        <v>25000</v>
      </c>
      <c r="T59" s="242">
        <f t="shared" si="67"/>
        <v>0</v>
      </c>
      <c r="U59" s="14">
        <f t="shared" si="30"/>
        <v>0</v>
      </c>
      <c r="V59" s="242"/>
      <c r="W59" s="242">
        <f t="shared" si="68"/>
        <v>0</v>
      </c>
      <c r="X59" s="242"/>
      <c r="Y59" s="241"/>
      <c r="Z59" s="242"/>
      <c r="AA59" s="242"/>
      <c r="AB59" s="242">
        <f t="shared" si="73"/>
        <v>0</v>
      </c>
      <c r="AC59" s="242"/>
      <c r="AD59" s="242"/>
      <c r="AE59" s="242">
        <f t="shared" si="74"/>
        <v>0</v>
      </c>
      <c r="AF59" s="242"/>
      <c r="AG59" s="242"/>
      <c r="AH59" s="242">
        <f t="shared" si="75"/>
        <v>0</v>
      </c>
      <c r="AI59" s="242"/>
      <c r="AJ59" s="242"/>
      <c r="AK59" s="242">
        <f t="shared" si="76"/>
        <v>0</v>
      </c>
      <c r="AL59" s="242"/>
      <c r="AM59" s="242"/>
      <c r="AN59" s="242">
        <f t="shared" si="77"/>
        <v>0</v>
      </c>
      <c r="AO59" s="242"/>
      <c r="AP59" s="242"/>
      <c r="AQ59" s="242">
        <f t="shared" si="78"/>
        <v>0</v>
      </c>
      <c r="AR59" s="242"/>
      <c r="AS59" s="242"/>
      <c r="AT59" s="242">
        <f t="shared" si="79"/>
        <v>0</v>
      </c>
      <c r="AU59" s="242"/>
      <c r="AV59" s="242"/>
      <c r="AW59" s="242">
        <f t="shared" si="80"/>
        <v>0</v>
      </c>
      <c r="AX59" s="242"/>
      <c r="AY59" s="242"/>
      <c r="AZ59" s="242">
        <f t="shared" si="81"/>
        <v>0</v>
      </c>
      <c r="BA59" s="242"/>
      <c r="BB59" s="242"/>
      <c r="BC59" s="242">
        <f t="shared" si="82"/>
        <v>0</v>
      </c>
      <c r="BD59" s="242"/>
      <c r="BE59" s="242"/>
      <c r="BF59" s="242">
        <f t="shared" si="83"/>
        <v>0</v>
      </c>
      <c r="BG59" s="242">
        <f t="shared" si="69"/>
        <v>0</v>
      </c>
      <c r="BH59" s="242"/>
      <c r="BI59" s="242">
        <f t="shared" si="84"/>
        <v>0</v>
      </c>
      <c r="BJ59" s="242">
        <f t="shared" si="85"/>
        <v>0</v>
      </c>
      <c r="BK59" s="242"/>
      <c r="BL59" s="242">
        <f t="shared" si="86"/>
        <v>0</v>
      </c>
      <c r="BM59" s="241"/>
      <c r="BN59" s="242"/>
      <c r="BO59" s="242">
        <f t="shared" si="87"/>
        <v>0</v>
      </c>
      <c r="BP59" s="241"/>
      <c r="BQ59" s="242"/>
      <c r="BR59" s="242">
        <f t="shared" si="88"/>
        <v>0</v>
      </c>
      <c r="BS59" s="241"/>
      <c r="BT59" s="527">
        <v>870000</v>
      </c>
    </row>
    <row r="60" spans="1:72" s="244" customFormat="1">
      <c r="A60" s="241">
        <f t="shared" si="89"/>
        <v>4</v>
      </c>
      <c r="B60" s="241">
        <v>1566</v>
      </c>
      <c r="C60" s="241" t="s">
        <v>130</v>
      </c>
      <c r="D60" s="242">
        <f>1200000-500000</f>
        <v>700000</v>
      </c>
      <c r="E60" s="242">
        <v>1200000</v>
      </c>
      <c r="F60" s="242">
        <f t="shared" si="70"/>
        <v>-500000</v>
      </c>
      <c r="G60" s="242">
        <v>700000</v>
      </c>
      <c r="H60" s="242">
        <v>663998.76</v>
      </c>
      <c r="I60" s="242">
        <v>34266.300000000003</v>
      </c>
      <c r="J60" s="242"/>
      <c r="K60" s="242">
        <f t="shared" si="71"/>
        <v>34266.300000000003</v>
      </c>
      <c r="L60" s="242">
        <f t="shared" si="63"/>
        <v>698265.06</v>
      </c>
      <c r="M60" s="242">
        <f t="shared" si="72"/>
        <v>1734.9399999999441</v>
      </c>
      <c r="N60" s="242"/>
      <c r="O60" s="242">
        <f t="shared" si="64"/>
        <v>0</v>
      </c>
      <c r="P60" s="242">
        <f t="shared" si="65"/>
        <v>1734.9399999999441</v>
      </c>
      <c r="Q60" s="242"/>
      <c r="R60" s="242"/>
      <c r="S60" s="242">
        <f t="shared" si="66"/>
        <v>0</v>
      </c>
      <c r="T60" s="242">
        <f t="shared" si="67"/>
        <v>0</v>
      </c>
      <c r="U60" s="14">
        <f t="shared" si="30"/>
        <v>0</v>
      </c>
      <c r="V60" s="242"/>
      <c r="W60" s="242">
        <f t="shared" si="68"/>
        <v>0</v>
      </c>
      <c r="X60" s="242"/>
      <c r="Y60" s="241"/>
      <c r="Z60" s="242"/>
      <c r="AA60" s="242"/>
      <c r="AB60" s="242">
        <f t="shared" si="73"/>
        <v>0</v>
      </c>
      <c r="AC60" s="242"/>
      <c r="AD60" s="242"/>
      <c r="AE60" s="242">
        <f t="shared" si="74"/>
        <v>0</v>
      </c>
      <c r="AF60" s="242"/>
      <c r="AG60" s="242"/>
      <c r="AH60" s="242">
        <f t="shared" si="75"/>
        <v>0</v>
      </c>
      <c r="AI60" s="242"/>
      <c r="AJ60" s="242"/>
      <c r="AK60" s="242">
        <f t="shared" si="76"/>
        <v>0</v>
      </c>
      <c r="AL60" s="242"/>
      <c r="AM60" s="242"/>
      <c r="AN60" s="242">
        <f t="shared" si="77"/>
        <v>0</v>
      </c>
      <c r="AO60" s="242"/>
      <c r="AP60" s="242"/>
      <c r="AQ60" s="242">
        <f t="shared" si="78"/>
        <v>0</v>
      </c>
      <c r="AR60" s="242"/>
      <c r="AS60" s="242"/>
      <c r="AT60" s="242">
        <f t="shared" si="79"/>
        <v>0</v>
      </c>
      <c r="AU60" s="242"/>
      <c r="AV60" s="242"/>
      <c r="AW60" s="242">
        <f t="shared" si="80"/>
        <v>0</v>
      </c>
      <c r="AX60" s="242"/>
      <c r="AY60" s="242"/>
      <c r="AZ60" s="242">
        <f t="shared" si="81"/>
        <v>0</v>
      </c>
      <c r="BA60" s="242"/>
      <c r="BB60" s="242"/>
      <c r="BC60" s="242">
        <f t="shared" si="82"/>
        <v>0</v>
      </c>
      <c r="BD60" s="242"/>
      <c r="BE60" s="242"/>
      <c r="BF60" s="242">
        <f t="shared" si="83"/>
        <v>0</v>
      </c>
      <c r="BG60" s="242">
        <f t="shared" si="69"/>
        <v>0</v>
      </c>
      <c r="BH60" s="242"/>
      <c r="BI60" s="242">
        <f t="shared" si="84"/>
        <v>0</v>
      </c>
      <c r="BJ60" s="242">
        <f t="shared" si="85"/>
        <v>0</v>
      </c>
      <c r="BK60" s="242"/>
      <c r="BL60" s="242">
        <f t="shared" si="86"/>
        <v>0</v>
      </c>
      <c r="BM60" s="241"/>
      <c r="BN60" s="242"/>
      <c r="BO60" s="242">
        <f t="shared" si="87"/>
        <v>0</v>
      </c>
      <c r="BP60" s="241"/>
      <c r="BQ60" s="242"/>
      <c r="BR60" s="242">
        <f t="shared" si="88"/>
        <v>0</v>
      </c>
      <c r="BS60" s="241"/>
      <c r="BT60" s="527">
        <v>870000</v>
      </c>
    </row>
    <row r="61" spans="1:72" s="244" customFormat="1">
      <c r="A61" s="241">
        <f t="shared" si="89"/>
        <v>5</v>
      </c>
      <c r="B61" s="241">
        <v>1579</v>
      </c>
      <c r="C61" s="241" t="s">
        <v>131</v>
      </c>
      <c r="D61" s="242">
        <f>280000-110000</f>
        <v>170000</v>
      </c>
      <c r="E61" s="242">
        <v>280000</v>
      </c>
      <c r="F61" s="242">
        <f t="shared" si="70"/>
        <v>-110000</v>
      </c>
      <c r="G61" s="242">
        <v>170000</v>
      </c>
      <c r="H61" s="242">
        <v>135082.65</v>
      </c>
      <c r="I61" s="242">
        <v>11559.6</v>
      </c>
      <c r="J61" s="242"/>
      <c r="K61" s="242">
        <f t="shared" si="71"/>
        <v>11559.6</v>
      </c>
      <c r="L61" s="242">
        <f t="shared" si="63"/>
        <v>146642.25</v>
      </c>
      <c r="M61" s="242">
        <f t="shared" si="72"/>
        <v>23357.75</v>
      </c>
      <c r="N61" s="242"/>
      <c r="O61" s="242">
        <f t="shared" si="64"/>
        <v>0</v>
      </c>
      <c r="P61" s="242">
        <f t="shared" si="65"/>
        <v>23357.75</v>
      </c>
      <c r="Q61" s="242"/>
      <c r="R61" s="242"/>
      <c r="S61" s="242">
        <f t="shared" si="66"/>
        <v>0</v>
      </c>
      <c r="T61" s="242">
        <f t="shared" si="67"/>
        <v>0</v>
      </c>
      <c r="U61" s="14">
        <f t="shared" si="30"/>
        <v>0</v>
      </c>
      <c r="V61" s="242"/>
      <c r="W61" s="242">
        <f t="shared" si="68"/>
        <v>0</v>
      </c>
      <c r="X61" s="242"/>
      <c r="Y61" s="241"/>
      <c r="Z61" s="242"/>
      <c r="AA61" s="242"/>
      <c r="AB61" s="242">
        <f t="shared" si="73"/>
        <v>0</v>
      </c>
      <c r="AC61" s="242"/>
      <c r="AD61" s="242"/>
      <c r="AE61" s="242">
        <f t="shared" si="74"/>
        <v>0</v>
      </c>
      <c r="AF61" s="242"/>
      <c r="AG61" s="242"/>
      <c r="AH61" s="242">
        <f t="shared" si="75"/>
        <v>0</v>
      </c>
      <c r="AI61" s="242"/>
      <c r="AJ61" s="242"/>
      <c r="AK61" s="242">
        <f t="shared" si="76"/>
        <v>0</v>
      </c>
      <c r="AL61" s="242"/>
      <c r="AM61" s="242"/>
      <c r="AN61" s="242">
        <f t="shared" si="77"/>
        <v>0</v>
      </c>
      <c r="AO61" s="242"/>
      <c r="AP61" s="242"/>
      <c r="AQ61" s="242">
        <f t="shared" si="78"/>
        <v>0</v>
      </c>
      <c r="AR61" s="242"/>
      <c r="AS61" s="242"/>
      <c r="AT61" s="242">
        <f t="shared" si="79"/>
        <v>0</v>
      </c>
      <c r="AU61" s="242"/>
      <c r="AV61" s="242"/>
      <c r="AW61" s="242">
        <f t="shared" si="80"/>
        <v>0</v>
      </c>
      <c r="AX61" s="242"/>
      <c r="AY61" s="242"/>
      <c r="AZ61" s="242">
        <f t="shared" si="81"/>
        <v>0</v>
      </c>
      <c r="BA61" s="242"/>
      <c r="BB61" s="242"/>
      <c r="BC61" s="242">
        <f t="shared" si="82"/>
        <v>0</v>
      </c>
      <c r="BD61" s="242"/>
      <c r="BE61" s="242"/>
      <c r="BF61" s="242">
        <f t="shared" si="83"/>
        <v>0</v>
      </c>
      <c r="BG61" s="242">
        <f t="shared" si="69"/>
        <v>0</v>
      </c>
      <c r="BH61" s="242"/>
      <c r="BI61" s="242">
        <f t="shared" si="84"/>
        <v>0</v>
      </c>
      <c r="BJ61" s="242">
        <f t="shared" si="85"/>
        <v>0</v>
      </c>
      <c r="BK61" s="242"/>
      <c r="BL61" s="242">
        <f t="shared" si="86"/>
        <v>0</v>
      </c>
      <c r="BM61" s="241"/>
      <c r="BN61" s="242"/>
      <c r="BO61" s="242">
        <f t="shared" si="87"/>
        <v>0</v>
      </c>
      <c r="BP61" s="241"/>
      <c r="BQ61" s="242"/>
      <c r="BR61" s="242">
        <f t="shared" si="88"/>
        <v>0</v>
      </c>
      <c r="BS61" s="241"/>
      <c r="BT61" s="527">
        <v>870000</v>
      </c>
    </row>
    <row r="62" spans="1:72" s="244" customFormat="1">
      <c r="A62" s="241">
        <f t="shared" si="89"/>
        <v>6</v>
      </c>
      <c r="B62" s="241">
        <v>1598</v>
      </c>
      <c r="C62" s="241" t="s">
        <v>132</v>
      </c>
      <c r="D62" s="242">
        <f>372000-87500</f>
        <v>284500</v>
      </c>
      <c r="E62" s="242">
        <v>284500</v>
      </c>
      <c r="F62" s="242">
        <f t="shared" si="70"/>
        <v>0</v>
      </c>
      <c r="G62" s="242">
        <v>284500</v>
      </c>
      <c r="H62" s="242">
        <v>95476.64</v>
      </c>
      <c r="I62" s="242">
        <v>64931.5</v>
      </c>
      <c r="J62" s="242"/>
      <c r="K62" s="242">
        <f t="shared" si="71"/>
        <v>64931.5</v>
      </c>
      <c r="L62" s="242">
        <f t="shared" si="63"/>
        <v>160408.14000000001</v>
      </c>
      <c r="M62" s="242">
        <f t="shared" si="72"/>
        <v>124091.85999999999</v>
      </c>
      <c r="N62" s="242"/>
      <c r="O62" s="242">
        <f t="shared" si="64"/>
        <v>0</v>
      </c>
      <c r="P62" s="242">
        <f t="shared" si="65"/>
        <v>124091.85999999999</v>
      </c>
      <c r="Q62" s="242"/>
      <c r="R62" s="242"/>
      <c r="S62" s="242">
        <f t="shared" si="66"/>
        <v>0</v>
      </c>
      <c r="T62" s="242">
        <f t="shared" si="67"/>
        <v>0</v>
      </c>
      <c r="U62" s="14">
        <f t="shared" si="30"/>
        <v>0</v>
      </c>
      <c r="V62" s="242"/>
      <c r="W62" s="242">
        <f t="shared" si="68"/>
        <v>0</v>
      </c>
      <c r="X62" s="242"/>
      <c r="Y62" s="241"/>
      <c r="Z62" s="242"/>
      <c r="AA62" s="242"/>
      <c r="AB62" s="242">
        <f t="shared" si="73"/>
        <v>0</v>
      </c>
      <c r="AC62" s="242"/>
      <c r="AD62" s="242"/>
      <c r="AE62" s="242">
        <f t="shared" si="74"/>
        <v>0</v>
      </c>
      <c r="AF62" s="242"/>
      <c r="AG62" s="242"/>
      <c r="AH62" s="242">
        <f t="shared" si="75"/>
        <v>0</v>
      </c>
      <c r="AI62" s="242"/>
      <c r="AJ62" s="242"/>
      <c r="AK62" s="242">
        <f t="shared" si="76"/>
        <v>0</v>
      </c>
      <c r="AL62" s="242"/>
      <c r="AM62" s="242"/>
      <c r="AN62" s="242">
        <f t="shared" si="77"/>
        <v>0</v>
      </c>
      <c r="AO62" s="242"/>
      <c r="AP62" s="242"/>
      <c r="AQ62" s="242">
        <f t="shared" si="78"/>
        <v>0</v>
      </c>
      <c r="AR62" s="242"/>
      <c r="AS62" s="242"/>
      <c r="AT62" s="242">
        <f t="shared" si="79"/>
        <v>0</v>
      </c>
      <c r="AU62" s="242"/>
      <c r="AV62" s="242"/>
      <c r="AW62" s="242">
        <f t="shared" si="80"/>
        <v>0</v>
      </c>
      <c r="AX62" s="242"/>
      <c r="AY62" s="242"/>
      <c r="AZ62" s="242">
        <f t="shared" si="81"/>
        <v>0</v>
      </c>
      <c r="BA62" s="242"/>
      <c r="BB62" s="242"/>
      <c r="BC62" s="242">
        <f t="shared" si="82"/>
        <v>0</v>
      </c>
      <c r="BD62" s="242"/>
      <c r="BE62" s="242"/>
      <c r="BF62" s="242">
        <f t="shared" si="83"/>
        <v>0</v>
      </c>
      <c r="BG62" s="242">
        <f t="shared" si="69"/>
        <v>0</v>
      </c>
      <c r="BH62" s="242"/>
      <c r="BI62" s="242">
        <f t="shared" si="84"/>
        <v>0</v>
      </c>
      <c r="BJ62" s="242">
        <f t="shared" si="85"/>
        <v>0</v>
      </c>
      <c r="BK62" s="242"/>
      <c r="BL62" s="242">
        <f t="shared" si="86"/>
        <v>0</v>
      </c>
      <c r="BM62" s="241"/>
      <c r="BN62" s="242"/>
      <c r="BO62" s="242">
        <f t="shared" si="87"/>
        <v>0</v>
      </c>
      <c r="BP62" s="241"/>
      <c r="BQ62" s="242"/>
      <c r="BR62" s="242">
        <f t="shared" si="88"/>
        <v>0</v>
      </c>
      <c r="BS62" s="241"/>
      <c r="BT62" s="527">
        <v>870000</v>
      </c>
    </row>
    <row r="63" spans="1:72" s="244" customFormat="1">
      <c r="A63" s="241">
        <f t="shared" si="89"/>
        <v>7</v>
      </c>
      <c r="B63" s="241">
        <v>1685</v>
      </c>
      <c r="C63" s="241" t="s">
        <v>133</v>
      </c>
      <c r="D63" s="242">
        <v>180000</v>
      </c>
      <c r="E63" s="242">
        <v>180000</v>
      </c>
      <c r="F63" s="242">
        <f t="shared" si="70"/>
        <v>0</v>
      </c>
      <c r="G63" s="242">
        <v>180000</v>
      </c>
      <c r="H63" s="242">
        <v>87165</v>
      </c>
      <c r="I63" s="242"/>
      <c r="J63" s="242"/>
      <c r="K63" s="242">
        <f t="shared" si="71"/>
        <v>0</v>
      </c>
      <c r="L63" s="242">
        <f t="shared" si="63"/>
        <v>87165</v>
      </c>
      <c r="M63" s="242">
        <f t="shared" si="72"/>
        <v>92835</v>
      </c>
      <c r="N63" s="242"/>
      <c r="O63" s="242">
        <f t="shared" si="64"/>
        <v>0</v>
      </c>
      <c r="P63" s="242">
        <f t="shared" si="65"/>
        <v>92835</v>
      </c>
      <c r="Q63" s="242"/>
      <c r="R63" s="242"/>
      <c r="S63" s="242">
        <f t="shared" si="66"/>
        <v>0</v>
      </c>
      <c r="T63" s="242">
        <f t="shared" si="67"/>
        <v>0</v>
      </c>
      <c r="U63" s="14">
        <f t="shared" si="30"/>
        <v>0</v>
      </c>
      <c r="V63" s="242"/>
      <c r="W63" s="242">
        <f t="shared" si="68"/>
        <v>0</v>
      </c>
      <c r="X63" s="242"/>
      <c r="Y63" s="241"/>
      <c r="Z63" s="242"/>
      <c r="AA63" s="242"/>
      <c r="AB63" s="242">
        <f t="shared" si="73"/>
        <v>0</v>
      </c>
      <c r="AC63" s="242"/>
      <c r="AD63" s="242"/>
      <c r="AE63" s="242">
        <f t="shared" si="74"/>
        <v>0</v>
      </c>
      <c r="AF63" s="242"/>
      <c r="AG63" s="242"/>
      <c r="AH63" s="242">
        <f t="shared" si="75"/>
        <v>0</v>
      </c>
      <c r="AI63" s="242"/>
      <c r="AJ63" s="242"/>
      <c r="AK63" s="242">
        <f t="shared" si="76"/>
        <v>0</v>
      </c>
      <c r="AL63" s="242"/>
      <c r="AM63" s="242"/>
      <c r="AN63" s="242">
        <f t="shared" si="77"/>
        <v>0</v>
      </c>
      <c r="AO63" s="242"/>
      <c r="AP63" s="242"/>
      <c r="AQ63" s="242">
        <f t="shared" si="78"/>
        <v>0</v>
      </c>
      <c r="AR63" s="242"/>
      <c r="AS63" s="242"/>
      <c r="AT63" s="242">
        <f t="shared" si="79"/>
        <v>0</v>
      </c>
      <c r="AU63" s="242"/>
      <c r="AV63" s="242"/>
      <c r="AW63" s="242">
        <f t="shared" si="80"/>
        <v>0</v>
      </c>
      <c r="AX63" s="242"/>
      <c r="AY63" s="242"/>
      <c r="AZ63" s="242">
        <f t="shared" si="81"/>
        <v>0</v>
      </c>
      <c r="BA63" s="242"/>
      <c r="BB63" s="242"/>
      <c r="BC63" s="242">
        <f t="shared" si="82"/>
        <v>0</v>
      </c>
      <c r="BD63" s="242"/>
      <c r="BE63" s="242"/>
      <c r="BF63" s="242">
        <f t="shared" si="83"/>
        <v>0</v>
      </c>
      <c r="BG63" s="242">
        <f t="shared" si="69"/>
        <v>0</v>
      </c>
      <c r="BH63" s="242"/>
      <c r="BI63" s="242">
        <f t="shared" si="84"/>
        <v>0</v>
      </c>
      <c r="BJ63" s="242">
        <f t="shared" si="85"/>
        <v>0</v>
      </c>
      <c r="BK63" s="242"/>
      <c r="BL63" s="242">
        <f t="shared" si="86"/>
        <v>0</v>
      </c>
      <c r="BM63" s="241"/>
      <c r="BN63" s="242"/>
      <c r="BO63" s="242">
        <f t="shared" si="87"/>
        <v>0</v>
      </c>
      <c r="BP63" s="241"/>
      <c r="BQ63" s="242"/>
      <c r="BR63" s="242">
        <f t="shared" si="88"/>
        <v>0</v>
      </c>
      <c r="BS63" s="241"/>
      <c r="BT63" s="527">
        <v>870000</v>
      </c>
    </row>
    <row r="64" spans="1:72" s="244" customFormat="1">
      <c r="A64" s="241">
        <f t="shared" si="89"/>
        <v>8</v>
      </c>
      <c r="B64" s="241">
        <v>1831</v>
      </c>
      <c r="C64" s="241" t="s">
        <v>314</v>
      </c>
      <c r="D64" s="242">
        <v>146059</v>
      </c>
      <c r="E64" s="242">
        <v>146059</v>
      </c>
      <c r="F64" s="242">
        <f>D64-E64</f>
        <v>0</v>
      </c>
      <c r="G64" s="242">
        <v>50000</v>
      </c>
      <c r="H64" s="242">
        <v>38025</v>
      </c>
      <c r="I64" s="242"/>
      <c r="J64" s="242"/>
      <c r="K64" s="242">
        <f>SUM(I64:J64)</f>
        <v>0</v>
      </c>
      <c r="L64" s="242">
        <f>H64+K64</f>
        <v>38025</v>
      </c>
      <c r="M64" s="242">
        <f>P64+S64</f>
        <v>11975</v>
      </c>
      <c r="N64" s="242">
        <v>96059</v>
      </c>
      <c r="O64" s="242">
        <f>D64-L64-M64-N64</f>
        <v>0</v>
      </c>
      <c r="P64" s="242">
        <f>G64-L64</f>
        <v>11975</v>
      </c>
      <c r="Q64" s="242"/>
      <c r="R64" s="242"/>
      <c r="S64" s="242">
        <f>SUM(Q64:R64)</f>
        <v>0</v>
      </c>
      <c r="T64" s="242">
        <f>P64-M64+S64</f>
        <v>0</v>
      </c>
      <c r="U64" s="14">
        <f>N64-T64</f>
        <v>96059</v>
      </c>
      <c r="V64" s="242"/>
      <c r="W64" s="242">
        <f>U64-V64-X64-Y64</f>
        <v>0</v>
      </c>
      <c r="X64" s="242"/>
      <c r="Y64" s="242">
        <v>96059</v>
      </c>
      <c r="Z64" s="242"/>
      <c r="AA64" s="242"/>
      <c r="AB64" s="242">
        <f t="shared" si="73"/>
        <v>0</v>
      </c>
      <c r="AC64" s="242"/>
      <c r="AD64" s="242"/>
      <c r="AE64" s="242">
        <f t="shared" si="74"/>
        <v>0</v>
      </c>
      <c r="AF64" s="242"/>
      <c r="AG64" s="242"/>
      <c r="AH64" s="242">
        <f t="shared" si="75"/>
        <v>0</v>
      </c>
      <c r="AI64" s="242"/>
      <c r="AJ64" s="242"/>
      <c r="AK64" s="242">
        <f t="shared" si="76"/>
        <v>0</v>
      </c>
      <c r="AL64" s="242"/>
      <c r="AM64" s="242"/>
      <c r="AN64" s="242">
        <f t="shared" si="77"/>
        <v>0</v>
      </c>
      <c r="AO64" s="242"/>
      <c r="AP64" s="242"/>
      <c r="AQ64" s="242">
        <f t="shared" si="78"/>
        <v>0</v>
      </c>
      <c r="AR64" s="242"/>
      <c r="AS64" s="242"/>
      <c r="AT64" s="242">
        <f t="shared" si="79"/>
        <v>0</v>
      </c>
      <c r="AU64" s="242"/>
      <c r="AV64" s="242"/>
      <c r="AW64" s="242">
        <f t="shared" si="80"/>
        <v>0</v>
      </c>
      <c r="AX64" s="242"/>
      <c r="AY64" s="242"/>
      <c r="AZ64" s="242">
        <f t="shared" si="81"/>
        <v>0</v>
      </c>
      <c r="BA64" s="242"/>
      <c r="BB64" s="242"/>
      <c r="BC64" s="242">
        <f t="shared" si="82"/>
        <v>0</v>
      </c>
      <c r="BD64" s="242"/>
      <c r="BE64" s="242"/>
      <c r="BF64" s="242">
        <f t="shared" si="83"/>
        <v>0</v>
      </c>
      <c r="BG64" s="242">
        <f t="shared" si="69"/>
        <v>0</v>
      </c>
      <c r="BH64" s="242">
        <v>35001</v>
      </c>
      <c r="BI64" s="242">
        <f t="shared" si="84"/>
        <v>35001</v>
      </c>
      <c r="BJ64" s="242">
        <f t="shared" si="85"/>
        <v>61058</v>
      </c>
      <c r="BK64" s="242"/>
      <c r="BL64" s="242">
        <f t="shared" si="86"/>
        <v>35001</v>
      </c>
      <c r="BM64" s="241"/>
      <c r="BN64" s="242"/>
      <c r="BO64" s="242">
        <f t="shared" si="87"/>
        <v>35001</v>
      </c>
      <c r="BP64" s="241"/>
      <c r="BQ64" s="242"/>
      <c r="BR64" s="242">
        <f t="shared" si="88"/>
        <v>0</v>
      </c>
      <c r="BS64" s="242">
        <f>96059-35001</f>
        <v>61058</v>
      </c>
      <c r="BT64" s="527">
        <v>870000</v>
      </c>
    </row>
    <row r="65" spans="1:72" s="244" customFormat="1">
      <c r="A65" s="241">
        <f t="shared" si="89"/>
        <v>9</v>
      </c>
      <c r="B65" s="241">
        <v>1866</v>
      </c>
      <c r="C65" s="241" t="s">
        <v>329</v>
      </c>
      <c r="D65" s="242">
        <v>300000</v>
      </c>
      <c r="E65" s="242">
        <v>300000</v>
      </c>
      <c r="F65" s="242">
        <f t="shared" si="70"/>
        <v>0</v>
      </c>
      <c r="G65" s="242">
        <v>50000</v>
      </c>
      <c r="H65" s="242">
        <v>0</v>
      </c>
      <c r="I65" s="242">
        <v>30029.81</v>
      </c>
      <c r="J65" s="242"/>
      <c r="K65" s="242">
        <f t="shared" si="71"/>
        <v>30029.81</v>
      </c>
      <c r="L65" s="242">
        <f t="shared" si="63"/>
        <v>30029.81</v>
      </c>
      <c r="M65" s="242">
        <f t="shared" si="72"/>
        <v>19970.189999999999</v>
      </c>
      <c r="N65" s="242">
        <v>100000</v>
      </c>
      <c r="O65" s="242">
        <f t="shared" si="64"/>
        <v>150000</v>
      </c>
      <c r="P65" s="242">
        <f t="shared" si="65"/>
        <v>19970.189999999999</v>
      </c>
      <c r="Q65" s="242"/>
      <c r="R65" s="242"/>
      <c r="S65" s="242">
        <f t="shared" si="66"/>
        <v>0</v>
      </c>
      <c r="T65" s="242">
        <f t="shared" si="67"/>
        <v>0</v>
      </c>
      <c r="U65" s="14">
        <f t="shared" si="30"/>
        <v>100000</v>
      </c>
      <c r="V65" s="242"/>
      <c r="W65" s="242">
        <f t="shared" si="68"/>
        <v>100000</v>
      </c>
      <c r="X65" s="242"/>
      <c r="Y65" s="241"/>
      <c r="Z65" s="242"/>
      <c r="AA65" s="242"/>
      <c r="AB65" s="242">
        <f t="shared" si="73"/>
        <v>0</v>
      </c>
      <c r="AC65" s="242">
        <v>50000</v>
      </c>
      <c r="AD65" s="242"/>
      <c r="AE65" s="242">
        <f t="shared" si="74"/>
        <v>50000</v>
      </c>
      <c r="AF65" s="242"/>
      <c r="AG65" s="242"/>
      <c r="AH65" s="242">
        <f t="shared" si="75"/>
        <v>0</v>
      </c>
      <c r="AI65" s="242"/>
      <c r="AJ65" s="242"/>
      <c r="AK65" s="242">
        <f t="shared" si="76"/>
        <v>0</v>
      </c>
      <c r="AL65" s="242"/>
      <c r="AM65" s="242"/>
      <c r="AN65" s="242">
        <f t="shared" si="77"/>
        <v>0</v>
      </c>
      <c r="AO65" s="242"/>
      <c r="AP65" s="242"/>
      <c r="AQ65" s="242">
        <f t="shared" si="78"/>
        <v>0</v>
      </c>
      <c r="AR65" s="242"/>
      <c r="AS65" s="242"/>
      <c r="AT65" s="242">
        <f t="shared" si="79"/>
        <v>0</v>
      </c>
      <c r="AU65" s="242"/>
      <c r="AV65" s="242"/>
      <c r="AW65" s="242">
        <f t="shared" si="80"/>
        <v>0</v>
      </c>
      <c r="AX65" s="242"/>
      <c r="AY65" s="242"/>
      <c r="AZ65" s="242">
        <f t="shared" si="81"/>
        <v>0</v>
      </c>
      <c r="BA65" s="242">
        <v>50000</v>
      </c>
      <c r="BB65" s="242"/>
      <c r="BC65" s="242">
        <f t="shared" si="82"/>
        <v>50000</v>
      </c>
      <c r="BD65" s="242"/>
      <c r="BE65" s="242"/>
      <c r="BF65" s="242">
        <f t="shared" si="83"/>
        <v>0</v>
      </c>
      <c r="BG65" s="242">
        <f t="shared" si="69"/>
        <v>100000</v>
      </c>
      <c r="BH65" s="242"/>
      <c r="BI65" s="242">
        <f t="shared" si="84"/>
        <v>100000</v>
      </c>
      <c r="BJ65" s="242">
        <f t="shared" si="85"/>
        <v>0</v>
      </c>
      <c r="BK65" s="242"/>
      <c r="BL65" s="242">
        <f t="shared" si="86"/>
        <v>100000</v>
      </c>
      <c r="BM65" s="241"/>
      <c r="BN65" s="242"/>
      <c r="BO65" s="242">
        <f t="shared" si="87"/>
        <v>0</v>
      </c>
      <c r="BP65" s="241"/>
      <c r="BQ65" s="242"/>
      <c r="BR65" s="242">
        <f t="shared" si="88"/>
        <v>0</v>
      </c>
      <c r="BS65" s="241"/>
      <c r="BT65" s="527">
        <v>870000</v>
      </c>
    </row>
    <row r="66" spans="1:72" s="244" customFormat="1">
      <c r="A66" s="241">
        <f t="shared" si="89"/>
        <v>10</v>
      </c>
      <c r="B66" s="241">
        <v>1922</v>
      </c>
      <c r="C66" s="241" t="s">
        <v>317</v>
      </c>
      <c r="D66" s="242">
        <v>330000</v>
      </c>
      <c r="E66" s="242">
        <v>330000</v>
      </c>
      <c r="F66" s="242">
        <f>D66-E66</f>
        <v>0</v>
      </c>
      <c r="G66" s="242">
        <v>0</v>
      </c>
      <c r="H66" s="242">
        <v>0</v>
      </c>
      <c r="I66" s="242"/>
      <c r="J66" s="242"/>
      <c r="K66" s="242">
        <f>SUM(I66:J66)</f>
        <v>0</v>
      </c>
      <c r="L66" s="242">
        <f>H66+K66</f>
        <v>0</v>
      </c>
      <c r="M66" s="242">
        <f>P66+S66</f>
        <v>0</v>
      </c>
      <c r="N66" s="242">
        <v>100000</v>
      </c>
      <c r="O66" s="242">
        <f>D66-L66-M66-N66</f>
        <v>230000</v>
      </c>
      <c r="P66" s="242">
        <f>G66-L66</f>
        <v>0</v>
      </c>
      <c r="Q66" s="242"/>
      <c r="R66" s="242"/>
      <c r="S66" s="242">
        <f>SUM(Q66:R66)</f>
        <v>0</v>
      </c>
      <c r="T66" s="242">
        <f>P66-M66+S66</f>
        <v>0</v>
      </c>
      <c r="U66" s="14">
        <f>N66-T66</f>
        <v>100000</v>
      </c>
      <c r="V66" s="242"/>
      <c r="W66" s="242">
        <f>U66-V66-X66-Y66</f>
        <v>100000</v>
      </c>
      <c r="X66" s="242"/>
      <c r="Y66" s="241"/>
      <c r="Z66" s="242"/>
      <c r="AA66" s="242"/>
      <c r="AB66" s="242">
        <f t="shared" si="73"/>
        <v>0</v>
      </c>
      <c r="AC66" s="242">
        <v>50000</v>
      </c>
      <c r="AD66" s="242"/>
      <c r="AE66" s="242">
        <f t="shared" si="74"/>
        <v>50000</v>
      </c>
      <c r="AF66" s="242"/>
      <c r="AG66" s="242"/>
      <c r="AH66" s="242">
        <f t="shared" si="75"/>
        <v>0</v>
      </c>
      <c r="AI66" s="242"/>
      <c r="AJ66" s="242"/>
      <c r="AK66" s="242">
        <f t="shared" si="76"/>
        <v>0</v>
      </c>
      <c r="AL66" s="242"/>
      <c r="AM66" s="242"/>
      <c r="AN66" s="242">
        <f t="shared" si="77"/>
        <v>0</v>
      </c>
      <c r="AO66" s="242"/>
      <c r="AP66" s="242"/>
      <c r="AQ66" s="242">
        <f t="shared" si="78"/>
        <v>0</v>
      </c>
      <c r="AR66" s="242"/>
      <c r="AS66" s="242"/>
      <c r="AT66" s="242">
        <f t="shared" si="79"/>
        <v>0</v>
      </c>
      <c r="AU66" s="242"/>
      <c r="AV66" s="242"/>
      <c r="AW66" s="242">
        <f t="shared" si="80"/>
        <v>0</v>
      </c>
      <c r="AX66" s="242"/>
      <c r="AY66" s="242"/>
      <c r="AZ66" s="242">
        <f t="shared" si="81"/>
        <v>0</v>
      </c>
      <c r="BA66" s="242">
        <v>50000</v>
      </c>
      <c r="BB66" s="242"/>
      <c r="BC66" s="242">
        <f t="shared" si="82"/>
        <v>50000</v>
      </c>
      <c r="BD66" s="242"/>
      <c r="BE66" s="242"/>
      <c r="BF66" s="242">
        <f t="shared" si="83"/>
        <v>0</v>
      </c>
      <c r="BG66" s="242">
        <f t="shared" si="69"/>
        <v>100000</v>
      </c>
      <c r="BH66" s="242"/>
      <c r="BI66" s="242">
        <f t="shared" si="84"/>
        <v>100000</v>
      </c>
      <c r="BJ66" s="242">
        <f t="shared" si="85"/>
        <v>0</v>
      </c>
      <c r="BK66" s="242"/>
      <c r="BL66" s="242">
        <f t="shared" si="86"/>
        <v>100000</v>
      </c>
      <c r="BM66" s="241"/>
      <c r="BN66" s="242"/>
      <c r="BO66" s="242">
        <f t="shared" si="87"/>
        <v>0</v>
      </c>
      <c r="BP66" s="241"/>
      <c r="BQ66" s="242"/>
      <c r="BR66" s="242">
        <f t="shared" si="88"/>
        <v>0</v>
      </c>
      <c r="BS66" s="241"/>
      <c r="BT66" s="527">
        <v>870000</v>
      </c>
    </row>
    <row r="67" spans="1:72" s="250" customFormat="1" ht="15.75">
      <c r="A67" s="248">
        <f>A66</f>
        <v>10</v>
      </c>
      <c r="B67" s="248" t="s">
        <v>82</v>
      </c>
      <c r="C67" s="248" t="s">
        <v>134</v>
      </c>
      <c r="D67" s="249">
        <f t="shared" ref="D67:Y67" si="90">SUM(D57:D66)</f>
        <v>10966559</v>
      </c>
      <c r="E67" s="249">
        <f t="shared" si="90"/>
        <v>11576559</v>
      </c>
      <c r="F67" s="249">
        <f t="shared" si="90"/>
        <v>-610000</v>
      </c>
      <c r="G67" s="249">
        <f t="shared" si="90"/>
        <v>9051500</v>
      </c>
      <c r="H67" s="249">
        <f t="shared" si="90"/>
        <v>4887708.7</v>
      </c>
      <c r="I67" s="249">
        <f t="shared" si="90"/>
        <v>345108.7</v>
      </c>
      <c r="J67" s="249">
        <f t="shared" si="90"/>
        <v>0</v>
      </c>
      <c r="K67" s="249">
        <f t="shared" si="90"/>
        <v>345108.7</v>
      </c>
      <c r="L67" s="249">
        <f t="shared" si="90"/>
        <v>5232817.3999999994</v>
      </c>
      <c r="M67" s="249">
        <f t="shared" si="90"/>
        <v>494682.59999999992</v>
      </c>
      <c r="N67" s="249">
        <f t="shared" si="90"/>
        <v>496059</v>
      </c>
      <c r="O67" s="249">
        <f t="shared" si="90"/>
        <v>4743000</v>
      </c>
      <c r="P67" s="249">
        <f t="shared" si="90"/>
        <v>3818682.5999999996</v>
      </c>
      <c r="Q67" s="249">
        <f t="shared" si="90"/>
        <v>25000</v>
      </c>
      <c r="R67" s="249">
        <f t="shared" si="90"/>
        <v>0</v>
      </c>
      <c r="S67" s="249">
        <f t="shared" si="90"/>
        <v>25000</v>
      </c>
      <c r="T67" s="249">
        <f t="shared" si="90"/>
        <v>3349000</v>
      </c>
      <c r="U67" s="249">
        <f t="shared" si="90"/>
        <v>-2852941</v>
      </c>
      <c r="V67" s="249">
        <f t="shared" si="90"/>
        <v>-3149000</v>
      </c>
      <c r="W67" s="249">
        <f t="shared" si="90"/>
        <v>200000</v>
      </c>
      <c r="X67" s="249">
        <f t="shared" si="90"/>
        <v>0</v>
      </c>
      <c r="Y67" s="249">
        <f t="shared" si="90"/>
        <v>96059</v>
      </c>
      <c r="Z67" s="249">
        <f t="shared" ref="Z67:BK67" si="91">SUM(Z57:Z66)</f>
        <v>0</v>
      </c>
      <c r="AA67" s="249">
        <f t="shared" si="91"/>
        <v>-3349000</v>
      </c>
      <c r="AB67" s="249">
        <f t="shared" si="91"/>
        <v>-3349000</v>
      </c>
      <c r="AC67" s="249">
        <f t="shared" si="91"/>
        <v>200000</v>
      </c>
      <c r="AD67" s="249">
        <f t="shared" si="91"/>
        <v>0</v>
      </c>
      <c r="AE67" s="249">
        <f t="shared" si="91"/>
        <v>200000</v>
      </c>
      <c r="AF67" s="249">
        <f t="shared" si="91"/>
        <v>0</v>
      </c>
      <c r="AG67" s="249">
        <f t="shared" si="91"/>
        <v>0</v>
      </c>
      <c r="AH67" s="249">
        <f t="shared" si="91"/>
        <v>0</v>
      </c>
      <c r="AI67" s="249">
        <f t="shared" si="91"/>
        <v>0</v>
      </c>
      <c r="AJ67" s="249">
        <f t="shared" si="91"/>
        <v>0</v>
      </c>
      <c r="AK67" s="249">
        <f t="shared" si="91"/>
        <v>0</v>
      </c>
      <c r="AL67" s="249">
        <f t="shared" si="91"/>
        <v>0</v>
      </c>
      <c r="AM67" s="249">
        <f t="shared" si="91"/>
        <v>0</v>
      </c>
      <c r="AN67" s="249">
        <f t="shared" si="91"/>
        <v>0</v>
      </c>
      <c r="AO67" s="249">
        <f t="shared" si="91"/>
        <v>0</v>
      </c>
      <c r="AP67" s="249">
        <f t="shared" si="91"/>
        <v>0</v>
      </c>
      <c r="AQ67" s="249">
        <f t="shared" si="91"/>
        <v>0</v>
      </c>
      <c r="AR67" s="249">
        <f t="shared" si="91"/>
        <v>0</v>
      </c>
      <c r="AS67" s="249">
        <f t="shared" si="91"/>
        <v>0</v>
      </c>
      <c r="AT67" s="249">
        <f t="shared" si="91"/>
        <v>0</v>
      </c>
      <c r="AU67" s="249">
        <f t="shared" si="91"/>
        <v>0</v>
      </c>
      <c r="AV67" s="249">
        <f t="shared" si="91"/>
        <v>0</v>
      </c>
      <c r="AW67" s="249">
        <f t="shared" si="91"/>
        <v>0</v>
      </c>
      <c r="AX67" s="249">
        <f t="shared" si="91"/>
        <v>0</v>
      </c>
      <c r="AY67" s="249">
        <f t="shared" si="91"/>
        <v>0</v>
      </c>
      <c r="AZ67" s="249">
        <f t="shared" si="91"/>
        <v>0</v>
      </c>
      <c r="BA67" s="249">
        <f t="shared" si="91"/>
        <v>200000</v>
      </c>
      <c r="BB67" s="249">
        <f t="shared" si="91"/>
        <v>0</v>
      </c>
      <c r="BC67" s="249">
        <f t="shared" si="91"/>
        <v>200000</v>
      </c>
      <c r="BD67" s="249">
        <f t="shared" si="91"/>
        <v>0</v>
      </c>
      <c r="BE67" s="249">
        <f t="shared" si="91"/>
        <v>0</v>
      </c>
      <c r="BF67" s="249">
        <f t="shared" si="91"/>
        <v>0</v>
      </c>
      <c r="BG67" s="249">
        <f t="shared" si="91"/>
        <v>-2949000</v>
      </c>
      <c r="BH67" s="249">
        <f t="shared" si="91"/>
        <v>35001</v>
      </c>
      <c r="BI67" s="249">
        <f t="shared" si="91"/>
        <v>-2913999</v>
      </c>
      <c r="BJ67" s="249">
        <f t="shared" si="91"/>
        <v>61058</v>
      </c>
      <c r="BK67" s="249">
        <f t="shared" si="91"/>
        <v>-3149000</v>
      </c>
      <c r="BL67" s="249">
        <f t="shared" ref="BL67:BS67" si="92">SUM(BL57:BL66)</f>
        <v>235001</v>
      </c>
      <c r="BM67" s="249">
        <f t="shared" si="92"/>
        <v>0</v>
      </c>
      <c r="BN67" s="249">
        <f t="shared" si="92"/>
        <v>0</v>
      </c>
      <c r="BO67" s="249">
        <f t="shared" si="92"/>
        <v>35001</v>
      </c>
      <c r="BP67" s="249">
        <f t="shared" si="92"/>
        <v>0</v>
      </c>
      <c r="BQ67" s="249">
        <f t="shared" si="92"/>
        <v>0</v>
      </c>
      <c r="BR67" s="249">
        <f t="shared" si="92"/>
        <v>0</v>
      </c>
      <c r="BS67" s="249">
        <f t="shared" si="92"/>
        <v>61058</v>
      </c>
      <c r="BT67" s="249"/>
    </row>
    <row r="68" spans="1:72" s="244" customFormat="1">
      <c r="A68" s="241"/>
      <c r="B68" s="241"/>
      <c r="C68" s="241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>
        <f>D68-L68-M68-N68</f>
        <v>0</v>
      </c>
      <c r="P68" s="242"/>
      <c r="Q68" s="242"/>
      <c r="R68" s="242"/>
      <c r="S68" s="242"/>
      <c r="T68" s="242">
        <f>P68-M68+R68</f>
        <v>0</v>
      </c>
      <c r="U68" s="14">
        <f t="shared" si="30"/>
        <v>0</v>
      </c>
      <c r="V68" s="242"/>
      <c r="W68" s="242"/>
      <c r="X68" s="242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527"/>
    </row>
    <row r="69" spans="1:72" s="529" customFormat="1" ht="16.5" customHeight="1">
      <c r="D69" s="530"/>
      <c r="E69" s="530"/>
      <c r="F69" s="530"/>
      <c r="G69" s="530"/>
      <c r="H69" s="530"/>
      <c r="I69" s="530"/>
      <c r="J69" s="530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39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1:72" s="532" customFormat="1" ht="16.5" hidden="1" customHeight="1">
      <c r="A70" s="531">
        <f>A67+A54+A28</f>
        <v>53</v>
      </c>
      <c r="C70" s="532" t="s">
        <v>208</v>
      </c>
      <c r="D70" s="531">
        <f t="shared" ref="D70:Y70" si="93">D67+D54+D28</f>
        <v>143902088</v>
      </c>
      <c r="E70" s="531">
        <f t="shared" si="93"/>
        <v>117374088</v>
      </c>
      <c r="F70" s="531">
        <f t="shared" si="93"/>
        <v>26528000</v>
      </c>
      <c r="G70" s="531">
        <f t="shared" si="93"/>
        <v>91237029</v>
      </c>
      <c r="H70" s="531">
        <f t="shared" si="93"/>
        <v>76905781.850000009</v>
      </c>
      <c r="I70" s="531">
        <f t="shared" si="93"/>
        <v>8371156.3699999992</v>
      </c>
      <c r="J70" s="531">
        <f t="shared" si="93"/>
        <v>0.2</v>
      </c>
      <c r="K70" s="531">
        <f t="shared" si="93"/>
        <v>8371156.5699999984</v>
      </c>
      <c r="L70" s="531">
        <f t="shared" si="93"/>
        <v>85276938.419999987</v>
      </c>
      <c r="M70" s="531">
        <f t="shared" si="93"/>
        <v>4356090.5800000019</v>
      </c>
      <c r="N70" s="531">
        <f t="shared" si="93"/>
        <v>16760379</v>
      </c>
      <c r="O70" s="531">
        <f t="shared" si="93"/>
        <v>37508680</v>
      </c>
      <c r="P70" s="531">
        <f t="shared" si="93"/>
        <v>5960090.580000001</v>
      </c>
      <c r="Q70" s="531">
        <f t="shared" si="93"/>
        <v>1575000</v>
      </c>
      <c r="R70" s="531">
        <f t="shared" si="93"/>
        <v>170000</v>
      </c>
      <c r="S70" s="531">
        <f t="shared" si="93"/>
        <v>1745000</v>
      </c>
      <c r="T70" s="531">
        <f t="shared" si="93"/>
        <v>3349000</v>
      </c>
      <c r="U70" s="40">
        <f t="shared" si="93"/>
        <v>13411379</v>
      </c>
      <c r="V70" s="531">
        <f t="shared" si="93"/>
        <v>6671000</v>
      </c>
      <c r="W70" s="531">
        <f t="shared" si="93"/>
        <v>6570000</v>
      </c>
      <c r="X70" s="531">
        <f t="shared" si="93"/>
        <v>0</v>
      </c>
      <c r="Y70" s="531">
        <f t="shared" si="93"/>
        <v>170379</v>
      </c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31">
        <f>BT67+BT54+BT28</f>
        <v>0</v>
      </c>
    </row>
    <row r="71" spans="1:72" s="532" customFormat="1" ht="16.5" hidden="1" customHeight="1">
      <c r="D71" s="533"/>
      <c r="E71" s="533"/>
      <c r="F71" s="533"/>
      <c r="G71" s="533"/>
      <c r="H71" s="533"/>
      <c r="I71" s="533"/>
      <c r="J71" s="533"/>
      <c r="K71" s="533"/>
      <c r="L71" s="531">
        <f>K70+H70</f>
        <v>85276938.420000002</v>
      </c>
      <c r="M71" s="531">
        <f>P70+S70-T70</f>
        <v>4356090.580000001</v>
      </c>
      <c r="N71" s="533"/>
      <c r="O71" s="533"/>
      <c r="P71" s="531">
        <f>G70-L70</f>
        <v>5960090.5800000131</v>
      </c>
      <c r="Q71" s="533"/>
      <c r="R71" s="533"/>
      <c r="S71" s="533"/>
      <c r="T71" s="533"/>
      <c r="U71" s="41"/>
      <c r="V71" s="533"/>
      <c r="W71" s="533"/>
      <c r="X71" s="533"/>
      <c r="Y71" s="533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1:72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1:72" hidden="1">
      <c r="N73" s="251" t="s">
        <v>372</v>
      </c>
      <c r="O73" s="251" t="s">
        <v>768</v>
      </c>
      <c r="Q73" s="251">
        <f>'[2]שאיפה '!$AY$28</f>
        <v>1550000</v>
      </c>
      <c r="U73" s="42"/>
      <c r="V73" s="534"/>
      <c r="W73" s="534"/>
      <c r="X73" s="534"/>
      <c r="Y73" s="534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1:72" hidden="1">
      <c r="U74" s="42"/>
      <c r="V74" s="534"/>
      <c r="W74" s="534"/>
      <c r="X74" s="534"/>
      <c r="Y74" s="534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1:72" hidden="1">
      <c r="N75" s="251" t="s">
        <v>395</v>
      </c>
      <c r="Q75" s="251">
        <f>'[5]שאיפה '!$AZ$27</f>
        <v>450000</v>
      </c>
      <c r="U75" s="42"/>
      <c r="V75" s="534"/>
      <c r="W75" s="534"/>
      <c r="X75" s="534"/>
      <c r="Y75" s="534"/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1:72" hidden="1">
      <c r="N76" s="251" t="s">
        <v>396</v>
      </c>
      <c r="Q76" s="251">
        <f>'[7]שאיפה '!$BC$27</f>
        <v>1100000</v>
      </c>
      <c r="U76" s="42"/>
      <c r="V76" s="534"/>
      <c r="W76" s="534"/>
      <c r="X76" s="534"/>
      <c r="Y76" s="534"/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1:72" hidden="1">
      <c r="Q77" s="251">
        <f>SUM(Q75:Q76)</f>
        <v>1550000</v>
      </c>
      <c r="U77" s="42"/>
      <c r="V77" s="534"/>
      <c r="W77" s="534"/>
      <c r="X77" s="534"/>
      <c r="Y77" s="534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1:72" hidden="1">
      <c r="A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Q78" s="251">
        <f>Q28-Q73</f>
        <v>0</v>
      </c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1:72" hidden="1">
      <c r="A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 t="s">
        <v>188</v>
      </c>
      <c r="Q79" s="251">
        <f>'[2]שאיפה '!$AY$62</f>
        <v>25000</v>
      </c>
      <c r="U79" s="42"/>
      <c r="W79" s="534"/>
      <c r="Y79" s="534"/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1:72" hidden="1">
      <c r="A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U80" s="42"/>
      <c r="W80" s="534"/>
      <c r="Y80" s="534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1:71" hidden="1">
      <c r="A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51" t="s">
        <v>395</v>
      </c>
      <c r="O81" s="239"/>
      <c r="Q81" s="251">
        <f>'[5]שאיפה '!$AZ$61</f>
        <v>25000</v>
      </c>
      <c r="U81" s="42"/>
      <c r="W81" s="534"/>
      <c r="Y81" s="534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1:71" hidden="1">
      <c r="A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Q82" s="251">
        <f>Q67-Q79</f>
        <v>0</v>
      </c>
      <c r="U82" s="42"/>
      <c r="W82" s="534"/>
      <c r="Y82" s="534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1:71" hidden="1">
      <c r="A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 t="s">
        <v>365</v>
      </c>
      <c r="O83" s="251" t="s">
        <v>768</v>
      </c>
      <c r="R83" s="251">
        <f>'[2]ריכוז תקציבים מעבר לתוכנית 31.8'!$AD$147</f>
        <v>170000</v>
      </c>
      <c r="U83" s="42"/>
      <c r="W83" s="534"/>
      <c r="Y83" s="534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1:71" hidden="1">
      <c r="A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U84" s="42"/>
      <c r="W84" s="534"/>
      <c r="Y84" s="534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1:71" hidden="1">
      <c r="A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51" t="s">
        <v>736</v>
      </c>
      <c r="R85" s="525">
        <v>170000</v>
      </c>
      <c r="S85" s="251" t="s">
        <v>750</v>
      </c>
      <c r="U85" s="42"/>
      <c r="W85" s="534"/>
      <c r="Y85" s="534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1:71" hidden="1">
      <c r="A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U86" s="42"/>
      <c r="W86" s="534"/>
      <c r="Y86" s="534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1:71" hidden="1">
      <c r="A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Q87" s="251">
        <f>Q67-Q79</f>
        <v>0</v>
      </c>
      <c r="U87" s="42"/>
      <c r="W87" s="534"/>
      <c r="Y87" s="534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1:71" hidden="1">
      <c r="A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O88" s="251" t="s">
        <v>183</v>
      </c>
      <c r="Q88" s="251">
        <v>650000</v>
      </c>
      <c r="R88" s="239"/>
      <c r="S88" s="239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1:71" hidden="1">
      <c r="A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O89" s="251" t="s">
        <v>364</v>
      </c>
      <c r="Q89" s="251">
        <f>800000+100000</f>
        <v>900000</v>
      </c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1:71" hidden="1">
      <c r="A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Q90" s="251">
        <f>SUM(Q88:Q89)</f>
        <v>1550000</v>
      </c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1:71" hidden="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1:71" hidden="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1:71" hidden="1">
      <c r="A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O93" s="251" t="s">
        <v>188</v>
      </c>
      <c r="R93" s="251" t="s">
        <v>188</v>
      </c>
      <c r="S93" s="251" t="s">
        <v>365</v>
      </c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1:71" hidden="1">
      <c r="A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O94" s="251" t="s">
        <v>364</v>
      </c>
      <c r="Q94" s="251">
        <v>25000</v>
      </c>
      <c r="R94" s="251">
        <v>160000</v>
      </c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1:71">
      <c r="A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R95" s="251" t="e">
        <f>#REF!</f>
        <v>#REF!</v>
      </c>
      <c r="S95" s="251" t="s">
        <v>373</v>
      </c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1:71">
      <c r="A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51" t="e">
        <f>SUM(R94:R95)</f>
        <v>#REF!</v>
      </c>
      <c r="S96" s="239"/>
      <c r="T96" s="239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T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2" ySplit="5" topLeftCell="C1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402" customWidth="1"/>
    <col min="2" max="2" width="6.7109375" style="400" customWidth="1"/>
    <col min="3" max="3" width="38.28515625" style="400" customWidth="1"/>
    <col min="4" max="5" width="12.7109375" style="405" hidden="1" customWidth="1"/>
    <col min="6" max="6" width="11.140625" style="405" hidden="1" customWidth="1"/>
    <col min="7" max="10" width="12.7109375" style="405" hidden="1" customWidth="1"/>
    <col min="11" max="11" width="11.28515625" style="405" hidden="1" customWidth="1"/>
    <col min="12" max="12" width="10.5703125" style="405" hidden="1" customWidth="1"/>
    <col min="13" max="13" width="10.85546875" style="405" hidden="1" customWidth="1"/>
    <col min="14" max="14" width="11.140625" style="405" hidden="1" customWidth="1"/>
    <col min="15" max="15" width="10.5703125" style="405" hidden="1" customWidth="1"/>
    <col min="16" max="17" width="11.140625" style="405" hidden="1" customWidth="1"/>
    <col min="18" max="19" width="12" style="405" hidden="1" customWidth="1"/>
    <col min="20" max="20" width="10.28515625" style="405" hidden="1" customWidth="1"/>
    <col min="21" max="21" width="11.85546875" style="403" bestFit="1" customWidth="1"/>
    <col min="22" max="22" width="9" style="400" customWidth="1"/>
    <col min="23" max="23" width="8" style="400" customWidth="1"/>
    <col min="24" max="24" width="11.85546875" style="400" hidden="1" customWidth="1"/>
    <col min="25" max="25" width="10.140625" style="400" customWidth="1"/>
    <col min="26" max="60" width="10" style="239" hidden="1" customWidth="1"/>
    <col min="61" max="61" width="13.28515625" style="239" customWidth="1"/>
    <col min="62" max="62" width="10" style="239" customWidth="1"/>
    <col min="63" max="63" width="14.5703125" style="239" customWidth="1"/>
    <col min="64" max="64" width="10" style="239" customWidth="1"/>
    <col min="65" max="65" width="12.140625" style="239" customWidth="1"/>
    <col min="66" max="71" width="10" style="239" hidden="1" customWidth="1"/>
    <col min="72" max="72" width="7.85546875" style="400" hidden="1" customWidth="1"/>
    <col min="73" max="74" width="9.140625" style="400"/>
    <col min="75" max="75" width="9.140625" style="400" customWidth="1"/>
    <col min="76" max="16384" width="9.140625" style="400"/>
  </cols>
  <sheetData>
    <row r="1" spans="1:72" ht="18.75">
      <c r="A1" s="654" t="s">
        <v>948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 s="645"/>
      <c r="AV1" s="645"/>
      <c r="AW1" s="645"/>
      <c r="AX1" s="645"/>
      <c r="AY1" s="645"/>
      <c r="AZ1" s="645"/>
      <c r="BA1" s="645"/>
      <c r="BB1" s="645"/>
      <c r="BC1" s="645"/>
      <c r="BD1" s="645"/>
      <c r="BE1" s="645"/>
      <c r="BF1" s="645"/>
      <c r="BG1" s="645"/>
      <c r="BH1" s="645"/>
      <c r="BI1" s="645"/>
      <c r="BJ1" s="645"/>
      <c r="BK1" s="645"/>
      <c r="BL1" s="645"/>
      <c r="BM1" s="645"/>
      <c r="BN1" s="645"/>
      <c r="BO1" s="645"/>
      <c r="BP1" s="645"/>
      <c r="BQ1" s="645"/>
      <c r="BR1" s="645"/>
      <c r="BS1" s="645"/>
    </row>
    <row r="2" spans="1:72" ht="18.75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U3" s="841" t="s">
        <v>191</v>
      </c>
      <c r="V3" s="842"/>
      <c r="W3" s="842"/>
      <c r="X3" s="842"/>
      <c r="Y3" s="843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896</v>
      </c>
      <c r="BH3" s="818"/>
      <c r="BI3" s="819"/>
      <c r="BJ3" s="618"/>
      <c r="BK3" s="621" t="s">
        <v>1094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2" s="408" customFormat="1" ht="86.25" customHeight="1">
      <c r="A4" s="406" t="s">
        <v>659</v>
      </c>
      <c r="B4" s="406" t="s">
        <v>1</v>
      </c>
      <c r="C4" s="406" t="s">
        <v>2</v>
      </c>
      <c r="D4" s="406" t="s">
        <v>3</v>
      </c>
      <c r="E4" s="406" t="s">
        <v>4</v>
      </c>
      <c r="F4" s="406" t="s">
        <v>5</v>
      </c>
      <c r="G4" s="406" t="s">
        <v>6</v>
      </c>
      <c r="H4" s="406" t="s">
        <v>7</v>
      </c>
      <c r="I4" s="406" t="s">
        <v>8</v>
      </c>
      <c r="J4" s="406" t="s">
        <v>9</v>
      </c>
      <c r="K4" s="406" t="s">
        <v>10</v>
      </c>
      <c r="L4" s="406" t="s">
        <v>11</v>
      </c>
      <c r="M4" s="12" t="s">
        <v>637</v>
      </c>
      <c r="N4" s="406" t="s">
        <v>638</v>
      </c>
      <c r="O4" s="406" t="s">
        <v>639</v>
      </c>
      <c r="P4" s="406" t="s">
        <v>12</v>
      </c>
      <c r="Q4" s="406" t="s">
        <v>640</v>
      </c>
      <c r="R4" s="406" t="s">
        <v>641</v>
      </c>
      <c r="S4" s="406" t="s">
        <v>642</v>
      </c>
      <c r="T4" s="406" t="s">
        <v>643</v>
      </c>
      <c r="U4" s="407" t="s">
        <v>644</v>
      </c>
      <c r="V4" s="406" t="s">
        <v>13</v>
      </c>
      <c r="W4" s="406" t="s">
        <v>14</v>
      </c>
      <c r="X4" s="406" t="s">
        <v>15</v>
      </c>
      <c r="Y4" s="406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406" t="s">
        <v>16</v>
      </c>
    </row>
    <row r="5" spans="1:72" s="413" customFormat="1">
      <c r="A5" s="414"/>
      <c r="B5" s="414"/>
      <c r="C5" s="414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416"/>
      <c r="V5" s="337"/>
      <c r="W5" s="337"/>
      <c r="X5" s="337"/>
      <c r="Y5" s="414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409"/>
    </row>
    <row r="6" spans="1:72" s="418" customFormat="1">
      <c r="A6" s="414">
        <f>A5+1</f>
        <v>1</v>
      </c>
      <c r="B6" s="414">
        <v>1519</v>
      </c>
      <c r="C6" s="414" t="s">
        <v>181</v>
      </c>
      <c r="D6" s="337">
        <v>2030000</v>
      </c>
      <c r="E6" s="337">
        <v>2030000</v>
      </c>
      <c r="F6" s="337">
        <f t="shared" ref="F6:F19" si="0">D6-E6</f>
        <v>0</v>
      </c>
      <c r="G6" s="337">
        <v>530000</v>
      </c>
      <c r="H6" s="337">
        <v>402516</v>
      </c>
      <c r="I6" s="337"/>
      <c r="J6" s="337"/>
      <c r="K6" s="337">
        <f>SUM(I6:J6)</f>
        <v>0</v>
      </c>
      <c r="L6" s="337">
        <f>H6+K6</f>
        <v>402516</v>
      </c>
      <c r="M6" s="337">
        <f>P6+S6</f>
        <v>127484</v>
      </c>
      <c r="N6" s="337">
        <v>200000</v>
      </c>
      <c r="O6" s="337">
        <f>D6-L6-M6-N6</f>
        <v>1300000</v>
      </c>
      <c r="P6" s="337">
        <f>G6-L6</f>
        <v>127484</v>
      </c>
      <c r="Q6" s="337"/>
      <c r="R6" s="337"/>
      <c r="S6" s="337">
        <f>SUM(Q6:R6)</f>
        <v>0</v>
      </c>
      <c r="T6" s="337">
        <f>P6-M6+S6</f>
        <v>0</v>
      </c>
      <c r="U6" s="416">
        <f>N6-T6</f>
        <v>200000</v>
      </c>
      <c r="V6" s="337">
        <f>U6-W6-X6-Y6</f>
        <v>200000</v>
      </c>
      <c r="W6" s="337"/>
      <c r="X6" s="337"/>
      <c r="Y6" s="337"/>
      <c r="Z6" s="337"/>
      <c r="AA6" s="337"/>
      <c r="AB6" s="337">
        <f>SUM(Z6:AA6)</f>
        <v>0</v>
      </c>
      <c r="AC6" s="337">
        <v>200000</v>
      </c>
      <c r="AD6" s="337"/>
      <c r="AE6" s="337">
        <f>SUM(AC6:AD6)</f>
        <v>200000</v>
      </c>
      <c r="AF6" s="337"/>
      <c r="AG6" s="337"/>
      <c r="AH6" s="337">
        <f>SUM(AF6:AG6)</f>
        <v>0</v>
      </c>
      <c r="AI6" s="337"/>
      <c r="AJ6" s="337"/>
      <c r="AK6" s="337">
        <f>SUM(AI6:AJ6)</f>
        <v>0</v>
      </c>
      <c r="AL6" s="337"/>
      <c r="AM6" s="337"/>
      <c r="AN6" s="337">
        <f>SUM(AL6:AM6)</f>
        <v>0</v>
      </c>
      <c r="AO6" s="337"/>
      <c r="AP6" s="337"/>
      <c r="AQ6" s="337">
        <f>SUM(AO6:AP6)</f>
        <v>0</v>
      </c>
      <c r="AR6" s="337"/>
      <c r="AS6" s="337"/>
      <c r="AT6" s="337">
        <f>SUM(AR6:AS6)</f>
        <v>0</v>
      </c>
      <c r="AU6" s="337"/>
      <c r="AV6" s="337"/>
      <c r="AW6" s="337">
        <f>SUM(AU6:AV6)</f>
        <v>0</v>
      </c>
      <c r="AX6" s="337"/>
      <c r="AY6" s="337"/>
      <c r="AZ6" s="337">
        <f>SUM(AX6:AY6)</f>
        <v>0</v>
      </c>
      <c r="BA6" s="337"/>
      <c r="BB6" s="337"/>
      <c r="BC6" s="337">
        <f>SUM(BA6:BB6)</f>
        <v>0</v>
      </c>
      <c r="BD6" s="337"/>
      <c r="BE6" s="337"/>
      <c r="BF6" s="337">
        <f>SUM(BD6:BE6)</f>
        <v>0</v>
      </c>
      <c r="BG6" s="337">
        <f>BF6+AB6+AE6+AH6+AK6+AN6+AQ6+AT6+AW6+AZ6+BC6</f>
        <v>200000</v>
      </c>
      <c r="BH6" s="337"/>
      <c r="BI6" s="337">
        <f>BH6+BG6</f>
        <v>200000</v>
      </c>
      <c r="BJ6" s="337">
        <f>U6-BI6</f>
        <v>0</v>
      </c>
      <c r="BK6" s="242">
        <f>BI6-BL6-BM6</f>
        <v>200000</v>
      </c>
      <c r="BL6" s="242"/>
      <c r="BM6" s="337"/>
      <c r="BN6" s="242">
        <f>BH6-BO6-BP6</f>
        <v>0</v>
      </c>
      <c r="BO6" s="337"/>
      <c r="BP6" s="241"/>
      <c r="BQ6" s="242">
        <f>BJ6-BR6-BS6</f>
        <v>0</v>
      </c>
      <c r="BR6" s="337"/>
      <c r="BS6" s="241"/>
      <c r="BT6" s="414">
        <v>732000</v>
      </c>
    </row>
    <row r="7" spans="1:72" s="413" customFormat="1">
      <c r="A7" s="414">
        <f>A6+1</f>
        <v>2</v>
      </c>
      <c r="B7" s="394">
        <v>1823</v>
      </c>
      <c r="C7" s="394" t="s">
        <v>897</v>
      </c>
      <c r="D7" s="337">
        <f>84960+65040</f>
        <v>150000</v>
      </c>
      <c r="E7" s="337">
        <v>84960</v>
      </c>
      <c r="F7" s="337">
        <f t="shared" si="0"/>
        <v>65040</v>
      </c>
      <c r="G7" s="337">
        <v>84960</v>
      </c>
      <c r="H7" s="337">
        <v>84960</v>
      </c>
      <c r="I7" s="337"/>
      <c r="J7" s="337"/>
      <c r="K7" s="337">
        <f t="shared" ref="K7:K15" si="1">SUM(I7:J7)</f>
        <v>0</v>
      </c>
      <c r="L7" s="337">
        <f t="shared" ref="L7:L15" si="2">H7+K7</f>
        <v>84960</v>
      </c>
      <c r="M7" s="337">
        <f t="shared" ref="M7:M15" si="3">P7+S7</f>
        <v>0</v>
      </c>
      <c r="N7" s="337">
        <v>65040</v>
      </c>
      <c r="O7" s="337">
        <f t="shared" ref="O7:O15" si="4">D7-L7-M7-N7</f>
        <v>0</v>
      </c>
      <c r="P7" s="337">
        <f t="shared" ref="P7:P15" si="5">G7-L7</f>
        <v>0</v>
      </c>
      <c r="Q7" s="337"/>
      <c r="R7" s="337"/>
      <c r="S7" s="337">
        <f t="shared" ref="S7:S15" si="6">SUM(Q7:R7)</f>
        <v>0</v>
      </c>
      <c r="T7" s="337">
        <f t="shared" ref="T7:T15" si="7">P7-M7+S7</f>
        <v>0</v>
      </c>
      <c r="U7" s="416">
        <f t="shared" ref="U7:U15" si="8">N7-T7</f>
        <v>65040</v>
      </c>
      <c r="V7" s="337">
        <f t="shared" ref="V7:V15" si="9">U7-W7-X7-Y7</f>
        <v>0</v>
      </c>
      <c r="W7" s="337">
        <v>65040</v>
      </c>
      <c r="X7" s="337"/>
      <c r="Y7" s="414"/>
      <c r="Z7" s="337"/>
      <c r="AA7" s="337"/>
      <c r="AB7" s="337">
        <f t="shared" ref="AB7:AB19" si="10">SUM(Z7:AA7)</f>
        <v>0</v>
      </c>
      <c r="AC7" s="337">
        <v>65040</v>
      </c>
      <c r="AD7" s="337"/>
      <c r="AE7" s="337">
        <f t="shared" ref="AE7:AE19" si="11">SUM(AC7:AD7)</f>
        <v>65040</v>
      </c>
      <c r="AF7" s="337"/>
      <c r="AG7" s="337"/>
      <c r="AH7" s="337">
        <f t="shared" ref="AH7:AH19" si="12">SUM(AF7:AG7)</f>
        <v>0</v>
      </c>
      <c r="AI7" s="337"/>
      <c r="AJ7" s="337"/>
      <c r="AK7" s="337">
        <f t="shared" ref="AK7:AK19" si="13">SUM(AI7:AJ7)</f>
        <v>0</v>
      </c>
      <c r="AL7" s="337"/>
      <c r="AM7" s="337"/>
      <c r="AN7" s="337">
        <f t="shared" ref="AN7:AN19" si="14">SUM(AL7:AM7)</f>
        <v>0</v>
      </c>
      <c r="AO7" s="337"/>
      <c r="AP7" s="337"/>
      <c r="AQ7" s="337">
        <f t="shared" ref="AQ7:AQ19" si="15">SUM(AO7:AP7)</f>
        <v>0</v>
      </c>
      <c r="AR7" s="337"/>
      <c r="AS7" s="337"/>
      <c r="AT7" s="337">
        <f t="shared" ref="AT7:AT19" si="16">SUM(AR7:AS7)</f>
        <v>0</v>
      </c>
      <c r="AU7" s="337"/>
      <c r="AV7" s="337"/>
      <c r="AW7" s="337">
        <f t="shared" ref="AW7:AW19" si="17">SUM(AU7:AV7)</f>
        <v>0</v>
      </c>
      <c r="AX7" s="337"/>
      <c r="AY7" s="337"/>
      <c r="AZ7" s="337">
        <f t="shared" ref="AZ7:AZ19" si="18">SUM(AX7:AY7)</f>
        <v>0</v>
      </c>
      <c r="BA7" s="337"/>
      <c r="BB7" s="337"/>
      <c r="BC7" s="337">
        <f t="shared" ref="BC7:BC19" si="19">SUM(BA7:BB7)</f>
        <v>0</v>
      </c>
      <c r="BD7" s="337"/>
      <c r="BE7" s="337"/>
      <c r="BF7" s="337">
        <f t="shared" ref="BF7:BF19" si="20">SUM(BD7:BE7)</f>
        <v>0</v>
      </c>
      <c r="BG7" s="337">
        <f t="shared" ref="BG7:BG19" si="21">BF7+AB7+AE7+AH7+AK7+AN7+AQ7+AT7+AW7+AZ7+BC7</f>
        <v>65040</v>
      </c>
      <c r="BH7" s="337"/>
      <c r="BI7" s="337">
        <f t="shared" ref="BI7:BI19" si="22">BH7+BG7</f>
        <v>65040</v>
      </c>
      <c r="BJ7" s="337">
        <f t="shared" ref="BJ7:BJ19" si="23">U7-BI7</f>
        <v>0</v>
      </c>
      <c r="BK7" s="242">
        <f t="shared" ref="BK7:BK19" si="24">BI7-BL7-BM7</f>
        <v>0</v>
      </c>
      <c r="BL7" s="242"/>
      <c r="BM7" s="337">
        <v>65040</v>
      </c>
      <c r="BN7" s="242">
        <f t="shared" ref="BN7:BN19" si="25">BH7-BO7-BP7</f>
        <v>0</v>
      </c>
      <c r="BO7" s="337"/>
      <c r="BP7" s="241"/>
      <c r="BQ7" s="242">
        <f t="shared" ref="BQ7:BQ19" si="26">BJ7-BR7-BS7</f>
        <v>0</v>
      </c>
      <c r="BR7" s="337"/>
      <c r="BS7" s="241"/>
      <c r="BT7" s="414">
        <v>742000</v>
      </c>
    </row>
    <row r="8" spans="1:72" s="413" customFormat="1">
      <c r="A8" s="414">
        <f t="shared" ref="A8:A19" si="27">A7+1</f>
        <v>3</v>
      </c>
      <c r="B8" s="414">
        <v>1867</v>
      </c>
      <c r="C8" s="414" t="s">
        <v>310</v>
      </c>
      <c r="D8" s="337">
        <f>350000+370000</f>
        <v>720000</v>
      </c>
      <c r="E8" s="337">
        <v>350000</v>
      </c>
      <c r="F8" s="337">
        <f t="shared" si="0"/>
        <v>370000</v>
      </c>
      <c r="G8" s="337">
        <v>100000</v>
      </c>
      <c r="H8" s="337">
        <v>0</v>
      </c>
      <c r="I8" s="337"/>
      <c r="J8" s="337"/>
      <c r="K8" s="337">
        <f t="shared" si="1"/>
        <v>0</v>
      </c>
      <c r="L8" s="337">
        <f t="shared" si="2"/>
        <v>0</v>
      </c>
      <c r="M8" s="337">
        <f t="shared" si="3"/>
        <v>200000</v>
      </c>
      <c r="N8" s="337">
        <v>250000</v>
      </c>
      <c r="O8" s="337">
        <f t="shared" si="4"/>
        <v>270000</v>
      </c>
      <c r="P8" s="337">
        <f t="shared" si="5"/>
        <v>100000</v>
      </c>
      <c r="Q8" s="421">
        <v>100000</v>
      </c>
      <c r="R8" s="337"/>
      <c r="S8" s="337">
        <f t="shared" si="6"/>
        <v>100000</v>
      </c>
      <c r="T8" s="337">
        <f t="shared" si="7"/>
        <v>0</v>
      </c>
      <c r="U8" s="416">
        <f t="shared" si="8"/>
        <v>250000</v>
      </c>
      <c r="V8" s="337">
        <f t="shared" si="9"/>
        <v>250000</v>
      </c>
      <c r="W8" s="337"/>
      <c r="X8" s="337"/>
      <c r="Y8" s="414"/>
      <c r="Z8" s="337"/>
      <c r="AA8" s="337"/>
      <c r="AB8" s="337">
        <f t="shared" si="10"/>
        <v>0</v>
      </c>
      <c r="AC8" s="337"/>
      <c r="AD8" s="337"/>
      <c r="AE8" s="337">
        <f t="shared" si="11"/>
        <v>0</v>
      </c>
      <c r="AF8" s="337"/>
      <c r="AG8" s="337"/>
      <c r="AH8" s="337">
        <f t="shared" si="12"/>
        <v>0</v>
      </c>
      <c r="AI8" s="337"/>
      <c r="AJ8" s="337"/>
      <c r="AK8" s="337">
        <f t="shared" si="13"/>
        <v>0</v>
      </c>
      <c r="AL8" s="337"/>
      <c r="AM8" s="337"/>
      <c r="AN8" s="337">
        <f t="shared" si="14"/>
        <v>0</v>
      </c>
      <c r="AO8" s="337"/>
      <c r="AP8" s="337"/>
      <c r="AQ8" s="337">
        <f t="shared" si="15"/>
        <v>0</v>
      </c>
      <c r="AR8" s="337"/>
      <c r="AS8" s="337"/>
      <c r="AT8" s="337">
        <f t="shared" si="16"/>
        <v>0</v>
      </c>
      <c r="AU8" s="337"/>
      <c r="AV8" s="337"/>
      <c r="AW8" s="337">
        <f t="shared" si="17"/>
        <v>0</v>
      </c>
      <c r="AX8" s="337"/>
      <c r="AY8" s="337">
        <v>0</v>
      </c>
      <c r="AZ8" s="337">
        <f t="shared" si="18"/>
        <v>0</v>
      </c>
      <c r="BA8" s="337"/>
      <c r="BB8" s="337">
        <v>0</v>
      </c>
      <c r="BC8" s="337">
        <f t="shared" si="19"/>
        <v>0</v>
      </c>
      <c r="BD8" s="337"/>
      <c r="BE8" s="337">
        <v>0</v>
      </c>
      <c r="BF8" s="337">
        <f t="shared" si="20"/>
        <v>0</v>
      </c>
      <c r="BG8" s="337">
        <f t="shared" si="21"/>
        <v>0</v>
      </c>
      <c r="BH8" s="337"/>
      <c r="BI8" s="337">
        <f t="shared" si="22"/>
        <v>0</v>
      </c>
      <c r="BJ8" s="337">
        <f t="shared" si="23"/>
        <v>250000</v>
      </c>
      <c r="BK8" s="242">
        <f t="shared" si="24"/>
        <v>0</v>
      </c>
      <c r="BL8" s="242"/>
      <c r="BM8" s="337"/>
      <c r="BN8" s="242">
        <f t="shared" si="25"/>
        <v>0</v>
      </c>
      <c r="BO8" s="337"/>
      <c r="BP8" s="241"/>
      <c r="BQ8" s="242">
        <f t="shared" si="26"/>
        <v>250000</v>
      </c>
      <c r="BR8" s="337"/>
      <c r="BS8" s="242"/>
      <c r="BT8" s="414">
        <v>732000</v>
      </c>
    </row>
    <row r="9" spans="1:72" s="413" customFormat="1">
      <c r="A9" s="414">
        <f t="shared" si="27"/>
        <v>4</v>
      </c>
      <c r="B9" s="394">
        <v>1868</v>
      </c>
      <c r="C9" s="394" t="s">
        <v>898</v>
      </c>
      <c r="D9" s="337">
        <v>650000</v>
      </c>
      <c r="E9" s="337">
        <v>650000</v>
      </c>
      <c r="F9" s="337">
        <f t="shared" si="0"/>
        <v>0</v>
      </c>
      <c r="G9" s="337">
        <v>0</v>
      </c>
      <c r="H9" s="337">
        <v>0</v>
      </c>
      <c r="I9" s="337"/>
      <c r="J9" s="337"/>
      <c r="K9" s="337">
        <f t="shared" si="1"/>
        <v>0</v>
      </c>
      <c r="L9" s="337">
        <f t="shared" si="2"/>
        <v>0</v>
      </c>
      <c r="M9" s="337">
        <f t="shared" si="3"/>
        <v>100000</v>
      </c>
      <c r="N9" s="337">
        <f>550000-550000</f>
        <v>0</v>
      </c>
      <c r="O9" s="337">
        <f t="shared" si="4"/>
        <v>550000</v>
      </c>
      <c r="P9" s="337">
        <f t="shared" si="5"/>
        <v>0</v>
      </c>
      <c r="Q9" s="421">
        <v>100000</v>
      </c>
      <c r="R9" s="337"/>
      <c r="S9" s="337">
        <f t="shared" si="6"/>
        <v>100000</v>
      </c>
      <c r="T9" s="337">
        <f t="shared" si="7"/>
        <v>0</v>
      </c>
      <c r="U9" s="416">
        <f t="shared" si="8"/>
        <v>0</v>
      </c>
      <c r="V9" s="337">
        <f t="shared" si="9"/>
        <v>0</v>
      </c>
      <c r="W9" s="337"/>
      <c r="X9" s="337"/>
      <c r="Y9" s="414"/>
      <c r="Z9" s="337"/>
      <c r="AA9" s="337"/>
      <c r="AB9" s="337">
        <f t="shared" si="10"/>
        <v>0</v>
      </c>
      <c r="AC9" s="337"/>
      <c r="AD9" s="337"/>
      <c r="AE9" s="337">
        <f t="shared" si="11"/>
        <v>0</v>
      </c>
      <c r="AF9" s="337"/>
      <c r="AG9" s="337"/>
      <c r="AH9" s="337">
        <f t="shared" si="12"/>
        <v>0</v>
      </c>
      <c r="AI9" s="337"/>
      <c r="AJ9" s="337"/>
      <c r="AK9" s="337">
        <f t="shared" si="13"/>
        <v>0</v>
      </c>
      <c r="AL9" s="337"/>
      <c r="AM9" s="337"/>
      <c r="AN9" s="337">
        <f t="shared" si="14"/>
        <v>0</v>
      </c>
      <c r="AO9" s="337"/>
      <c r="AP9" s="337"/>
      <c r="AQ9" s="337">
        <f t="shared" si="15"/>
        <v>0</v>
      </c>
      <c r="AR9" s="337"/>
      <c r="AS9" s="337"/>
      <c r="AT9" s="337">
        <f t="shared" si="16"/>
        <v>0</v>
      </c>
      <c r="AU9" s="337"/>
      <c r="AV9" s="337"/>
      <c r="AW9" s="337">
        <f t="shared" si="17"/>
        <v>0</v>
      </c>
      <c r="AX9" s="337"/>
      <c r="AY9" s="337"/>
      <c r="AZ9" s="337">
        <f t="shared" si="18"/>
        <v>0</v>
      </c>
      <c r="BA9" s="337"/>
      <c r="BB9" s="337"/>
      <c r="BC9" s="337">
        <f t="shared" si="19"/>
        <v>0</v>
      </c>
      <c r="BD9" s="337"/>
      <c r="BE9" s="337"/>
      <c r="BF9" s="337">
        <f t="shared" si="20"/>
        <v>0</v>
      </c>
      <c r="BG9" s="337">
        <f t="shared" si="21"/>
        <v>0</v>
      </c>
      <c r="BH9" s="337"/>
      <c r="BI9" s="337">
        <f t="shared" si="22"/>
        <v>0</v>
      </c>
      <c r="BJ9" s="337">
        <f t="shared" si="23"/>
        <v>0</v>
      </c>
      <c r="BK9" s="242">
        <f t="shared" si="24"/>
        <v>0</v>
      </c>
      <c r="BL9" s="242"/>
      <c r="BM9" s="337"/>
      <c r="BN9" s="242">
        <f t="shared" si="25"/>
        <v>0</v>
      </c>
      <c r="BO9" s="337"/>
      <c r="BP9" s="241"/>
      <c r="BQ9" s="242">
        <f t="shared" si="26"/>
        <v>0</v>
      </c>
      <c r="BR9" s="337"/>
      <c r="BS9" s="242"/>
      <c r="BT9" s="414">
        <v>742000</v>
      </c>
    </row>
    <row r="10" spans="1:72" s="413" customFormat="1">
      <c r="A10" s="414">
        <f t="shared" si="27"/>
        <v>5</v>
      </c>
      <c r="B10" s="414">
        <v>1869</v>
      </c>
      <c r="C10" s="414" t="s">
        <v>311</v>
      </c>
      <c r="D10" s="337">
        <v>500000</v>
      </c>
      <c r="E10" s="337">
        <v>500000</v>
      </c>
      <c r="F10" s="337">
        <f t="shared" si="0"/>
        <v>0</v>
      </c>
      <c r="G10" s="337">
        <v>0</v>
      </c>
      <c r="H10" s="337">
        <v>0</v>
      </c>
      <c r="I10" s="337"/>
      <c r="J10" s="337"/>
      <c r="K10" s="337">
        <f t="shared" si="1"/>
        <v>0</v>
      </c>
      <c r="L10" s="337">
        <f t="shared" si="2"/>
        <v>0</v>
      </c>
      <c r="M10" s="337">
        <f t="shared" si="3"/>
        <v>0</v>
      </c>
      <c r="N10" s="337">
        <v>500000</v>
      </c>
      <c r="O10" s="337">
        <f t="shared" si="4"/>
        <v>0</v>
      </c>
      <c r="P10" s="337">
        <f t="shared" si="5"/>
        <v>0</v>
      </c>
      <c r="Q10" s="337"/>
      <c r="R10" s="337"/>
      <c r="S10" s="337">
        <f t="shared" si="6"/>
        <v>0</v>
      </c>
      <c r="T10" s="337">
        <f t="shared" si="7"/>
        <v>0</v>
      </c>
      <c r="U10" s="416">
        <f t="shared" si="8"/>
        <v>500000</v>
      </c>
      <c r="V10" s="337">
        <f t="shared" si="9"/>
        <v>500000</v>
      </c>
      <c r="W10" s="337"/>
      <c r="X10" s="337"/>
      <c r="Y10" s="414"/>
      <c r="Z10" s="337"/>
      <c r="AA10" s="337"/>
      <c r="AB10" s="337">
        <f t="shared" si="10"/>
        <v>0</v>
      </c>
      <c r="AC10" s="337"/>
      <c r="AD10" s="337"/>
      <c r="AE10" s="337">
        <f t="shared" si="11"/>
        <v>0</v>
      </c>
      <c r="AF10" s="337"/>
      <c r="AG10" s="337"/>
      <c r="AH10" s="337">
        <f t="shared" si="12"/>
        <v>0</v>
      </c>
      <c r="AI10" s="337"/>
      <c r="AJ10" s="337"/>
      <c r="AK10" s="337">
        <f t="shared" si="13"/>
        <v>0</v>
      </c>
      <c r="AL10" s="337"/>
      <c r="AM10" s="337"/>
      <c r="AN10" s="337">
        <f t="shared" si="14"/>
        <v>0</v>
      </c>
      <c r="AO10" s="337"/>
      <c r="AP10" s="337"/>
      <c r="AQ10" s="337">
        <f t="shared" si="15"/>
        <v>0</v>
      </c>
      <c r="AR10" s="337"/>
      <c r="AS10" s="337"/>
      <c r="AT10" s="337">
        <f t="shared" si="16"/>
        <v>0</v>
      </c>
      <c r="AU10" s="337"/>
      <c r="AV10" s="337"/>
      <c r="AW10" s="337">
        <f t="shared" si="17"/>
        <v>0</v>
      </c>
      <c r="AX10" s="337"/>
      <c r="AY10" s="337">
        <v>100000</v>
      </c>
      <c r="AZ10" s="337">
        <f t="shared" si="18"/>
        <v>100000</v>
      </c>
      <c r="BA10" s="337"/>
      <c r="BB10" s="337"/>
      <c r="BC10" s="337">
        <f t="shared" si="19"/>
        <v>0</v>
      </c>
      <c r="BD10" s="337"/>
      <c r="BE10" s="337"/>
      <c r="BF10" s="337">
        <f t="shared" si="20"/>
        <v>0</v>
      </c>
      <c r="BG10" s="337">
        <f t="shared" si="21"/>
        <v>100000</v>
      </c>
      <c r="BH10" s="337"/>
      <c r="BI10" s="337">
        <f t="shared" si="22"/>
        <v>100000</v>
      </c>
      <c r="BJ10" s="337">
        <f t="shared" si="23"/>
        <v>400000</v>
      </c>
      <c r="BK10" s="242">
        <f t="shared" si="24"/>
        <v>100000</v>
      </c>
      <c r="BL10" s="242"/>
      <c r="BM10" s="337"/>
      <c r="BN10" s="242">
        <f t="shared" si="25"/>
        <v>0</v>
      </c>
      <c r="BO10" s="337"/>
      <c r="BP10" s="241"/>
      <c r="BQ10" s="242">
        <f t="shared" si="26"/>
        <v>400000</v>
      </c>
      <c r="BR10" s="337"/>
      <c r="BS10" s="242"/>
      <c r="BT10" s="414">
        <v>742000</v>
      </c>
    </row>
    <row r="11" spans="1:72" s="413" customFormat="1">
      <c r="A11" s="414">
        <f t="shared" si="27"/>
        <v>6</v>
      </c>
      <c r="B11" s="414">
        <v>1870</v>
      </c>
      <c r="C11" s="414" t="s">
        <v>313</v>
      </c>
      <c r="D11" s="337">
        <v>7230000</v>
      </c>
      <c r="E11" s="337">
        <v>6830000</v>
      </c>
      <c r="F11" s="337">
        <f t="shared" si="0"/>
        <v>400000</v>
      </c>
      <c r="G11" s="337">
        <v>4000000</v>
      </c>
      <c r="H11" s="337">
        <v>3637515.38</v>
      </c>
      <c r="I11" s="337"/>
      <c r="J11" s="337"/>
      <c r="K11" s="337">
        <f t="shared" si="1"/>
        <v>0</v>
      </c>
      <c r="L11" s="337">
        <f t="shared" si="2"/>
        <v>3637515.38</v>
      </c>
      <c r="M11" s="337">
        <f t="shared" si="3"/>
        <v>1862484.62</v>
      </c>
      <c r="N11" s="337">
        <v>1730000</v>
      </c>
      <c r="O11" s="337">
        <f t="shared" si="4"/>
        <v>0</v>
      </c>
      <c r="P11" s="337">
        <f t="shared" si="5"/>
        <v>362484.62000000011</v>
      </c>
      <c r="Q11" s="337"/>
      <c r="R11" s="535">
        <v>1500000</v>
      </c>
      <c r="S11" s="337">
        <f t="shared" si="6"/>
        <v>1500000</v>
      </c>
      <c r="T11" s="337">
        <f t="shared" si="7"/>
        <v>0</v>
      </c>
      <c r="U11" s="416">
        <f t="shared" si="8"/>
        <v>1730000</v>
      </c>
      <c r="V11" s="337">
        <f t="shared" si="9"/>
        <v>1730000</v>
      </c>
      <c r="W11" s="337"/>
      <c r="X11" s="337"/>
      <c r="Y11" s="414"/>
      <c r="Z11" s="337"/>
      <c r="AA11" s="337"/>
      <c r="AB11" s="337">
        <f t="shared" si="10"/>
        <v>0</v>
      </c>
      <c r="AC11" s="337"/>
      <c r="AD11" s="337"/>
      <c r="AE11" s="337">
        <f t="shared" si="11"/>
        <v>0</v>
      </c>
      <c r="AF11" s="337"/>
      <c r="AG11" s="337"/>
      <c r="AH11" s="337">
        <f t="shared" si="12"/>
        <v>0</v>
      </c>
      <c r="AI11" s="337"/>
      <c r="AJ11" s="337"/>
      <c r="AK11" s="337">
        <f t="shared" si="13"/>
        <v>0</v>
      </c>
      <c r="AL11" s="337"/>
      <c r="AM11" s="337"/>
      <c r="AN11" s="337">
        <f t="shared" si="14"/>
        <v>0</v>
      </c>
      <c r="AO11" s="337"/>
      <c r="AP11" s="337"/>
      <c r="AQ11" s="337">
        <f t="shared" si="15"/>
        <v>0</v>
      </c>
      <c r="AR11" s="337">
        <v>1000000</v>
      </c>
      <c r="AS11" s="337"/>
      <c r="AT11" s="337">
        <f t="shared" si="16"/>
        <v>1000000</v>
      </c>
      <c r="AU11" s="337"/>
      <c r="AV11" s="337"/>
      <c r="AW11" s="337">
        <f t="shared" si="17"/>
        <v>0</v>
      </c>
      <c r="AX11" s="337"/>
      <c r="AY11" s="450"/>
      <c r="AZ11" s="337">
        <f t="shared" si="18"/>
        <v>0</v>
      </c>
      <c r="BA11" s="337"/>
      <c r="BB11" s="337"/>
      <c r="BC11" s="337">
        <f t="shared" si="19"/>
        <v>0</v>
      </c>
      <c r="BD11" s="337"/>
      <c r="BE11" s="337"/>
      <c r="BF11" s="337">
        <f t="shared" si="20"/>
        <v>0</v>
      </c>
      <c r="BG11" s="337">
        <f t="shared" si="21"/>
        <v>1000000</v>
      </c>
      <c r="BH11" s="337"/>
      <c r="BI11" s="337">
        <f t="shared" si="22"/>
        <v>1000000</v>
      </c>
      <c r="BJ11" s="337">
        <f t="shared" si="23"/>
        <v>730000</v>
      </c>
      <c r="BK11" s="242">
        <f t="shared" si="24"/>
        <v>1000000</v>
      </c>
      <c r="BL11" s="242"/>
      <c r="BM11" s="337"/>
      <c r="BN11" s="242">
        <f t="shared" si="25"/>
        <v>0</v>
      </c>
      <c r="BO11" s="337"/>
      <c r="BP11" s="241"/>
      <c r="BQ11" s="242">
        <f t="shared" si="26"/>
        <v>730000</v>
      </c>
      <c r="BR11" s="337"/>
      <c r="BS11" s="242"/>
      <c r="BT11" s="414">
        <v>742000</v>
      </c>
    </row>
    <row r="12" spans="1:72" s="413" customFormat="1">
      <c r="A12" s="414">
        <f t="shared" si="27"/>
        <v>7</v>
      </c>
      <c r="B12" s="394">
        <v>1920</v>
      </c>
      <c r="C12" s="394" t="s">
        <v>900</v>
      </c>
      <c r="D12" s="337">
        <v>400000</v>
      </c>
      <c r="E12" s="337">
        <v>300000</v>
      </c>
      <c r="F12" s="337">
        <f t="shared" si="0"/>
        <v>100000</v>
      </c>
      <c r="G12" s="337">
        <v>0</v>
      </c>
      <c r="H12" s="337">
        <v>0</v>
      </c>
      <c r="I12" s="337"/>
      <c r="J12" s="337"/>
      <c r="K12" s="337">
        <f t="shared" si="1"/>
        <v>0</v>
      </c>
      <c r="L12" s="337">
        <f t="shared" si="2"/>
        <v>0</v>
      </c>
      <c r="M12" s="337">
        <f t="shared" si="3"/>
        <v>300000</v>
      </c>
      <c r="N12" s="337">
        <f>200000-100000</f>
        <v>100000</v>
      </c>
      <c r="O12" s="337">
        <f t="shared" si="4"/>
        <v>0</v>
      </c>
      <c r="P12" s="337">
        <f t="shared" si="5"/>
        <v>0</v>
      </c>
      <c r="Q12" s="337"/>
      <c r="R12" s="483">
        <f>50000+250000</f>
        <v>300000</v>
      </c>
      <c r="S12" s="337">
        <f t="shared" si="6"/>
        <v>300000</v>
      </c>
      <c r="T12" s="337">
        <f t="shared" si="7"/>
        <v>0</v>
      </c>
      <c r="U12" s="416">
        <f t="shared" si="8"/>
        <v>100000</v>
      </c>
      <c r="V12" s="337">
        <f t="shared" si="9"/>
        <v>100000</v>
      </c>
      <c r="W12" s="337"/>
      <c r="X12" s="337"/>
      <c r="Y12" s="414"/>
      <c r="Z12" s="337"/>
      <c r="AA12" s="337"/>
      <c r="AB12" s="337">
        <f t="shared" si="10"/>
        <v>0</v>
      </c>
      <c r="AC12" s="337"/>
      <c r="AD12" s="337"/>
      <c r="AE12" s="337">
        <f t="shared" si="11"/>
        <v>0</v>
      </c>
      <c r="AF12" s="337"/>
      <c r="AG12" s="337"/>
      <c r="AH12" s="337">
        <f t="shared" si="12"/>
        <v>0</v>
      </c>
      <c r="AI12" s="337"/>
      <c r="AJ12" s="337"/>
      <c r="AK12" s="337">
        <f t="shared" si="13"/>
        <v>0</v>
      </c>
      <c r="AL12" s="337"/>
      <c r="AM12" s="337"/>
      <c r="AN12" s="337">
        <f t="shared" si="14"/>
        <v>0</v>
      </c>
      <c r="AO12" s="337"/>
      <c r="AP12" s="337"/>
      <c r="AQ12" s="337">
        <f t="shared" si="15"/>
        <v>0</v>
      </c>
      <c r="AR12" s="337">
        <v>100000</v>
      </c>
      <c r="AS12" s="337"/>
      <c r="AT12" s="337">
        <f t="shared" si="16"/>
        <v>100000</v>
      </c>
      <c r="AU12" s="337"/>
      <c r="AV12" s="337"/>
      <c r="AW12" s="337">
        <f t="shared" si="17"/>
        <v>0</v>
      </c>
      <c r="AX12" s="337"/>
      <c r="AY12" s="337"/>
      <c r="AZ12" s="337">
        <f t="shared" si="18"/>
        <v>0</v>
      </c>
      <c r="BA12" s="337"/>
      <c r="BB12" s="337"/>
      <c r="BC12" s="337">
        <f t="shared" si="19"/>
        <v>0</v>
      </c>
      <c r="BD12" s="337"/>
      <c r="BE12" s="337"/>
      <c r="BF12" s="337">
        <f t="shared" si="20"/>
        <v>0</v>
      </c>
      <c r="BG12" s="337">
        <f t="shared" si="21"/>
        <v>100000</v>
      </c>
      <c r="BH12" s="337"/>
      <c r="BI12" s="337">
        <f t="shared" si="22"/>
        <v>100000</v>
      </c>
      <c r="BJ12" s="337">
        <f t="shared" si="23"/>
        <v>0</v>
      </c>
      <c r="BK12" s="242">
        <f t="shared" si="24"/>
        <v>100000</v>
      </c>
      <c r="BL12" s="242"/>
      <c r="BM12" s="337"/>
      <c r="BN12" s="242">
        <f t="shared" si="25"/>
        <v>0</v>
      </c>
      <c r="BO12" s="337"/>
      <c r="BP12" s="241"/>
      <c r="BQ12" s="242">
        <f t="shared" si="26"/>
        <v>0</v>
      </c>
      <c r="BR12" s="337"/>
      <c r="BS12" s="242"/>
      <c r="BT12" s="414">
        <v>747000</v>
      </c>
    </row>
    <row r="13" spans="1:72" s="413" customFormat="1">
      <c r="A13" s="414">
        <f t="shared" si="27"/>
        <v>8</v>
      </c>
      <c r="B13" s="414">
        <v>1932</v>
      </c>
      <c r="C13" s="414" t="s">
        <v>312</v>
      </c>
      <c r="D13" s="337">
        <v>5000000</v>
      </c>
      <c r="E13" s="337">
        <v>5000000</v>
      </c>
      <c r="F13" s="337">
        <f t="shared" si="0"/>
        <v>0</v>
      </c>
      <c r="G13" s="337">
        <v>0</v>
      </c>
      <c r="H13" s="337">
        <v>0</v>
      </c>
      <c r="I13" s="337"/>
      <c r="J13" s="337"/>
      <c r="K13" s="337">
        <f>SUM(I13:J13)</f>
        <v>0</v>
      </c>
      <c r="L13" s="337">
        <f>H13+K13</f>
        <v>0</v>
      </c>
      <c r="M13" s="337">
        <f>P13+S13</f>
        <v>100000</v>
      </c>
      <c r="N13" s="337">
        <f>5000000-100000</f>
        <v>4900000</v>
      </c>
      <c r="O13" s="337">
        <f>D13-L13-M13-N13</f>
        <v>0</v>
      </c>
      <c r="P13" s="337">
        <f>G13-L13</f>
        <v>0</v>
      </c>
      <c r="Q13" s="337"/>
      <c r="R13" s="483">
        <v>100000</v>
      </c>
      <c r="S13" s="337">
        <f>SUM(Q13:R13)</f>
        <v>100000</v>
      </c>
      <c r="T13" s="337">
        <f>P13-M13+S13</f>
        <v>0</v>
      </c>
      <c r="U13" s="416">
        <f>N13-T13</f>
        <v>4900000</v>
      </c>
      <c r="V13" s="337">
        <f>U13-W13-X13-Y13</f>
        <v>0</v>
      </c>
      <c r="W13" s="337"/>
      <c r="X13" s="337"/>
      <c r="Y13" s="337">
        <v>4900000</v>
      </c>
      <c r="Z13" s="337"/>
      <c r="AA13" s="337"/>
      <c r="AB13" s="337">
        <f t="shared" si="10"/>
        <v>0</v>
      </c>
      <c r="AC13" s="337"/>
      <c r="AD13" s="337"/>
      <c r="AE13" s="337">
        <f t="shared" si="11"/>
        <v>0</v>
      </c>
      <c r="AF13" s="337"/>
      <c r="AG13" s="337"/>
      <c r="AH13" s="337">
        <f t="shared" si="12"/>
        <v>0</v>
      </c>
      <c r="AI13" s="337">
        <v>100000</v>
      </c>
      <c r="AJ13" s="337"/>
      <c r="AK13" s="337">
        <f t="shared" si="13"/>
        <v>100000</v>
      </c>
      <c r="AL13" s="337"/>
      <c r="AM13" s="337"/>
      <c r="AN13" s="337">
        <f t="shared" si="14"/>
        <v>0</v>
      </c>
      <c r="AO13" s="337"/>
      <c r="AP13" s="337"/>
      <c r="AQ13" s="337">
        <f t="shared" si="15"/>
        <v>0</v>
      </c>
      <c r="AR13" s="337"/>
      <c r="AS13" s="337"/>
      <c r="AT13" s="337">
        <f t="shared" si="16"/>
        <v>0</v>
      </c>
      <c r="AU13" s="337"/>
      <c r="AV13" s="337"/>
      <c r="AW13" s="337">
        <f t="shared" si="17"/>
        <v>0</v>
      </c>
      <c r="AX13" s="337"/>
      <c r="AY13" s="337"/>
      <c r="AZ13" s="337">
        <f t="shared" si="18"/>
        <v>0</v>
      </c>
      <c r="BA13" s="337"/>
      <c r="BB13" s="337"/>
      <c r="BC13" s="337">
        <f t="shared" si="19"/>
        <v>0</v>
      </c>
      <c r="BD13" s="337"/>
      <c r="BE13" s="337"/>
      <c r="BF13" s="337">
        <f t="shared" si="20"/>
        <v>0</v>
      </c>
      <c r="BG13" s="337">
        <f t="shared" si="21"/>
        <v>100000</v>
      </c>
      <c r="BH13" s="337"/>
      <c r="BI13" s="337">
        <f t="shared" si="22"/>
        <v>100000</v>
      </c>
      <c r="BJ13" s="337">
        <f t="shared" si="23"/>
        <v>4800000</v>
      </c>
      <c r="BK13" s="242">
        <f t="shared" si="24"/>
        <v>0</v>
      </c>
      <c r="BL13" s="242"/>
      <c r="BM13" s="337">
        <v>100000</v>
      </c>
      <c r="BN13" s="242">
        <f t="shared" si="25"/>
        <v>0</v>
      </c>
      <c r="BO13" s="337"/>
      <c r="BP13" s="241"/>
      <c r="BQ13" s="242">
        <f t="shared" si="26"/>
        <v>0</v>
      </c>
      <c r="BR13" s="337"/>
      <c r="BS13" s="242">
        <v>4800000</v>
      </c>
      <c r="BT13" s="414">
        <v>746000</v>
      </c>
    </row>
    <row r="14" spans="1:72" s="413" customFormat="1" ht="15.75">
      <c r="A14" s="414">
        <f t="shared" si="27"/>
        <v>9</v>
      </c>
      <c r="B14" s="536">
        <v>1934</v>
      </c>
      <c r="C14" s="505" t="s">
        <v>379</v>
      </c>
      <c r="D14" s="537">
        <v>1300000</v>
      </c>
      <c r="E14" s="537">
        <v>1300000</v>
      </c>
      <c r="F14" s="337">
        <f t="shared" si="0"/>
        <v>0</v>
      </c>
      <c r="G14" s="337">
        <v>1000000</v>
      </c>
      <c r="H14" s="337">
        <v>456674.4</v>
      </c>
      <c r="I14" s="337"/>
      <c r="J14" s="337"/>
      <c r="K14" s="337">
        <f>SUM(I14:J14)</f>
        <v>0</v>
      </c>
      <c r="L14" s="337">
        <f>H14+K14</f>
        <v>456674.4</v>
      </c>
      <c r="M14" s="337">
        <f>P14+S14</f>
        <v>843325.6</v>
      </c>
      <c r="N14" s="337"/>
      <c r="O14" s="337">
        <f>D14-L14-M14-N14</f>
        <v>0</v>
      </c>
      <c r="P14" s="337">
        <f>G14-L14</f>
        <v>543325.6</v>
      </c>
      <c r="Q14" s="337"/>
      <c r="R14" s="483">
        <v>300000</v>
      </c>
      <c r="S14" s="337">
        <f>SUM(Q14:R14)</f>
        <v>300000</v>
      </c>
      <c r="T14" s="337">
        <f>P14-M14+S14</f>
        <v>0</v>
      </c>
      <c r="U14" s="416">
        <f>N14-T14</f>
        <v>0</v>
      </c>
      <c r="V14" s="337">
        <f>U14-W14-X14-Y14</f>
        <v>0</v>
      </c>
      <c r="W14" s="337"/>
      <c r="X14" s="337"/>
      <c r="Y14" s="414"/>
      <c r="Z14" s="337"/>
      <c r="AA14" s="337"/>
      <c r="AB14" s="337">
        <f t="shared" si="10"/>
        <v>0</v>
      </c>
      <c r="AC14" s="337"/>
      <c r="AD14" s="337"/>
      <c r="AE14" s="337">
        <f t="shared" si="11"/>
        <v>0</v>
      </c>
      <c r="AF14" s="337"/>
      <c r="AG14" s="337"/>
      <c r="AH14" s="337">
        <f t="shared" si="12"/>
        <v>0</v>
      </c>
      <c r="AI14" s="337"/>
      <c r="AJ14" s="337"/>
      <c r="AK14" s="337">
        <f t="shared" si="13"/>
        <v>0</v>
      </c>
      <c r="AL14" s="337"/>
      <c r="AM14" s="337"/>
      <c r="AN14" s="337">
        <f t="shared" si="14"/>
        <v>0</v>
      </c>
      <c r="AO14" s="337"/>
      <c r="AP14" s="337"/>
      <c r="AQ14" s="337">
        <f t="shared" si="15"/>
        <v>0</v>
      </c>
      <c r="AR14" s="337"/>
      <c r="AS14" s="337"/>
      <c r="AT14" s="337">
        <f t="shared" si="16"/>
        <v>0</v>
      </c>
      <c r="AU14" s="337"/>
      <c r="AV14" s="337"/>
      <c r="AW14" s="337">
        <f t="shared" si="17"/>
        <v>0</v>
      </c>
      <c r="AX14" s="337"/>
      <c r="AY14" s="337"/>
      <c r="AZ14" s="337">
        <f t="shared" si="18"/>
        <v>0</v>
      </c>
      <c r="BA14" s="337"/>
      <c r="BB14" s="337"/>
      <c r="BC14" s="337">
        <f t="shared" si="19"/>
        <v>0</v>
      </c>
      <c r="BD14" s="337"/>
      <c r="BE14" s="337"/>
      <c r="BF14" s="337">
        <f t="shared" si="20"/>
        <v>0</v>
      </c>
      <c r="BG14" s="337">
        <f t="shared" si="21"/>
        <v>0</v>
      </c>
      <c r="BH14" s="337"/>
      <c r="BI14" s="337">
        <f t="shared" si="22"/>
        <v>0</v>
      </c>
      <c r="BJ14" s="337">
        <f t="shared" si="23"/>
        <v>0</v>
      </c>
      <c r="BK14" s="242">
        <f t="shared" si="24"/>
        <v>0</v>
      </c>
      <c r="BL14" s="242"/>
      <c r="BM14" s="337"/>
      <c r="BN14" s="242">
        <f t="shared" si="25"/>
        <v>0</v>
      </c>
      <c r="BO14" s="337"/>
      <c r="BP14" s="241"/>
      <c r="BQ14" s="242">
        <f t="shared" si="26"/>
        <v>0</v>
      </c>
      <c r="BR14" s="337"/>
      <c r="BS14" s="242"/>
      <c r="BT14" s="414">
        <v>742000</v>
      </c>
    </row>
    <row r="15" spans="1:72" s="413" customFormat="1" ht="30.75">
      <c r="A15" s="414">
        <f t="shared" si="27"/>
        <v>10</v>
      </c>
      <c r="B15" s="394">
        <v>1939</v>
      </c>
      <c r="C15" s="394" t="s">
        <v>901</v>
      </c>
      <c r="D15" s="537">
        <v>500000</v>
      </c>
      <c r="E15" s="537">
        <v>500000</v>
      </c>
      <c r="F15" s="337">
        <f t="shared" si="0"/>
        <v>0</v>
      </c>
      <c r="G15" s="337">
        <v>0</v>
      </c>
      <c r="H15" s="337">
        <v>0</v>
      </c>
      <c r="I15" s="337"/>
      <c r="J15" s="337"/>
      <c r="K15" s="337">
        <f t="shared" si="1"/>
        <v>0</v>
      </c>
      <c r="L15" s="337">
        <f t="shared" si="2"/>
        <v>0</v>
      </c>
      <c r="M15" s="337">
        <f t="shared" si="3"/>
        <v>500000</v>
      </c>
      <c r="N15" s="337"/>
      <c r="O15" s="337">
        <f t="shared" si="4"/>
        <v>0</v>
      </c>
      <c r="P15" s="337">
        <f t="shared" si="5"/>
        <v>0</v>
      </c>
      <c r="Q15" s="337"/>
      <c r="R15" s="337">
        <v>500000</v>
      </c>
      <c r="S15" s="337">
        <f t="shared" si="6"/>
        <v>500000</v>
      </c>
      <c r="T15" s="337">
        <f t="shared" si="7"/>
        <v>0</v>
      </c>
      <c r="U15" s="416">
        <f t="shared" si="8"/>
        <v>0</v>
      </c>
      <c r="V15" s="337">
        <f t="shared" si="9"/>
        <v>0</v>
      </c>
      <c r="W15" s="337"/>
      <c r="X15" s="337"/>
      <c r="Y15" s="414"/>
      <c r="Z15" s="337"/>
      <c r="AA15" s="337"/>
      <c r="AB15" s="337">
        <f t="shared" si="10"/>
        <v>0</v>
      </c>
      <c r="AC15" s="337"/>
      <c r="AD15" s="337"/>
      <c r="AE15" s="337">
        <f t="shared" si="11"/>
        <v>0</v>
      </c>
      <c r="AF15" s="337"/>
      <c r="AG15" s="337"/>
      <c r="AH15" s="337">
        <f t="shared" si="12"/>
        <v>0</v>
      </c>
      <c r="AI15" s="337"/>
      <c r="AJ15" s="337"/>
      <c r="AK15" s="337">
        <f t="shared" si="13"/>
        <v>0</v>
      </c>
      <c r="AL15" s="337"/>
      <c r="AM15" s="337"/>
      <c r="AN15" s="337">
        <f t="shared" si="14"/>
        <v>0</v>
      </c>
      <c r="AO15" s="337"/>
      <c r="AP15" s="337"/>
      <c r="AQ15" s="337">
        <f t="shared" si="15"/>
        <v>0</v>
      </c>
      <c r="AR15" s="337"/>
      <c r="AS15" s="337"/>
      <c r="AT15" s="337">
        <f t="shared" si="16"/>
        <v>0</v>
      </c>
      <c r="AU15" s="337"/>
      <c r="AV15" s="337"/>
      <c r="AW15" s="337">
        <f t="shared" si="17"/>
        <v>0</v>
      </c>
      <c r="AX15" s="337"/>
      <c r="AY15" s="337"/>
      <c r="AZ15" s="337">
        <f t="shared" si="18"/>
        <v>0</v>
      </c>
      <c r="BA15" s="337"/>
      <c r="BB15" s="337"/>
      <c r="BC15" s="337">
        <f t="shared" si="19"/>
        <v>0</v>
      </c>
      <c r="BD15" s="337"/>
      <c r="BE15" s="337"/>
      <c r="BF15" s="337">
        <f t="shared" si="20"/>
        <v>0</v>
      </c>
      <c r="BG15" s="337">
        <f t="shared" si="21"/>
        <v>0</v>
      </c>
      <c r="BH15" s="337"/>
      <c r="BI15" s="337">
        <f t="shared" si="22"/>
        <v>0</v>
      </c>
      <c r="BJ15" s="337">
        <f t="shared" si="23"/>
        <v>0</v>
      </c>
      <c r="BK15" s="242">
        <f t="shared" si="24"/>
        <v>0</v>
      </c>
      <c r="BL15" s="242"/>
      <c r="BM15" s="337"/>
      <c r="BN15" s="242">
        <f t="shared" si="25"/>
        <v>0</v>
      </c>
      <c r="BO15" s="337"/>
      <c r="BP15" s="241"/>
      <c r="BQ15" s="242">
        <f t="shared" si="26"/>
        <v>0</v>
      </c>
      <c r="BR15" s="337"/>
      <c r="BS15" s="242"/>
      <c r="BT15" s="414">
        <v>724000</v>
      </c>
    </row>
    <row r="16" spans="1:72" s="413" customFormat="1" ht="30.75">
      <c r="A16" s="414">
        <f t="shared" si="27"/>
        <v>11</v>
      </c>
      <c r="B16" s="394">
        <v>1941</v>
      </c>
      <c r="C16" s="394" t="s">
        <v>899</v>
      </c>
      <c r="D16" s="537">
        <v>775000</v>
      </c>
      <c r="E16" s="537">
        <v>775000</v>
      </c>
      <c r="F16" s="337">
        <f t="shared" si="0"/>
        <v>0</v>
      </c>
      <c r="G16" s="337">
        <v>0</v>
      </c>
      <c r="H16" s="337">
        <v>0</v>
      </c>
      <c r="I16" s="337"/>
      <c r="J16" s="337"/>
      <c r="K16" s="337">
        <f>SUM(I16:J16)</f>
        <v>0</v>
      </c>
      <c r="L16" s="337">
        <f>H16+K16</f>
        <v>0</v>
      </c>
      <c r="M16" s="337">
        <f>P16+S16</f>
        <v>350000</v>
      </c>
      <c r="N16" s="337">
        <v>425000</v>
      </c>
      <c r="O16" s="337">
        <f>D16-L16-M16-N16</f>
        <v>0</v>
      </c>
      <c r="P16" s="337">
        <f>G16-L16</f>
        <v>0</v>
      </c>
      <c r="Q16" s="337"/>
      <c r="R16" s="337">
        <v>350000</v>
      </c>
      <c r="S16" s="337">
        <f>SUM(Q16:R16)</f>
        <v>350000</v>
      </c>
      <c r="T16" s="337">
        <f>P16-M16+S16</f>
        <v>0</v>
      </c>
      <c r="U16" s="416">
        <f>N16-T16</f>
        <v>425000</v>
      </c>
      <c r="V16" s="337">
        <f>U16-W16-X16-Y16</f>
        <v>425000</v>
      </c>
      <c r="W16" s="337"/>
      <c r="X16" s="337"/>
      <c r="Y16" s="414"/>
      <c r="Z16" s="337"/>
      <c r="AA16" s="337"/>
      <c r="AB16" s="337">
        <f t="shared" si="10"/>
        <v>0</v>
      </c>
      <c r="AC16" s="337"/>
      <c r="AD16" s="337"/>
      <c r="AE16" s="337">
        <f t="shared" si="11"/>
        <v>0</v>
      </c>
      <c r="AF16" s="337"/>
      <c r="AG16" s="337"/>
      <c r="AH16" s="337">
        <f t="shared" si="12"/>
        <v>0</v>
      </c>
      <c r="AI16" s="337">
        <v>100000</v>
      </c>
      <c r="AJ16" s="337"/>
      <c r="AK16" s="337">
        <f t="shared" si="13"/>
        <v>100000</v>
      </c>
      <c r="AL16" s="337"/>
      <c r="AM16" s="337"/>
      <c r="AN16" s="337">
        <f t="shared" si="14"/>
        <v>0</v>
      </c>
      <c r="AO16" s="337"/>
      <c r="AP16" s="337"/>
      <c r="AQ16" s="337">
        <f t="shared" si="15"/>
        <v>0</v>
      </c>
      <c r="AR16" s="337"/>
      <c r="AS16" s="337"/>
      <c r="AT16" s="337">
        <f t="shared" si="16"/>
        <v>0</v>
      </c>
      <c r="AU16" s="337"/>
      <c r="AV16" s="337"/>
      <c r="AW16" s="337">
        <f t="shared" si="17"/>
        <v>0</v>
      </c>
      <c r="AX16" s="337"/>
      <c r="AY16" s="337"/>
      <c r="AZ16" s="337">
        <f t="shared" si="18"/>
        <v>0</v>
      </c>
      <c r="BA16" s="337"/>
      <c r="BB16" s="337"/>
      <c r="BC16" s="337">
        <f t="shared" si="19"/>
        <v>0</v>
      </c>
      <c r="BD16" s="337"/>
      <c r="BE16" s="337"/>
      <c r="BF16" s="337">
        <f t="shared" si="20"/>
        <v>0</v>
      </c>
      <c r="BG16" s="337">
        <f t="shared" si="21"/>
        <v>100000</v>
      </c>
      <c r="BH16" s="337"/>
      <c r="BI16" s="337">
        <f t="shared" si="22"/>
        <v>100000</v>
      </c>
      <c r="BJ16" s="337">
        <f t="shared" si="23"/>
        <v>325000</v>
      </c>
      <c r="BK16" s="242">
        <f t="shared" si="24"/>
        <v>100000</v>
      </c>
      <c r="BL16" s="242"/>
      <c r="BM16" s="337"/>
      <c r="BN16" s="242">
        <f t="shared" si="25"/>
        <v>0</v>
      </c>
      <c r="BO16" s="337"/>
      <c r="BP16" s="241"/>
      <c r="BQ16" s="242">
        <f t="shared" si="26"/>
        <v>325000</v>
      </c>
      <c r="BR16" s="337"/>
      <c r="BS16" s="242"/>
      <c r="BT16" s="414">
        <v>732000</v>
      </c>
    </row>
    <row r="17" spans="1:72" s="413" customFormat="1" ht="15.75">
      <c r="A17" s="414">
        <f>A16+1</f>
        <v>12</v>
      </c>
      <c r="B17" s="536">
        <v>1979</v>
      </c>
      <c r="C17" s="505" t="s">
        <v>380</v>
      </c>
      <c r="D17" s="537">
        <v>195000</v>
      </c>
      <c r="E17" s="537"/>
      <c r="F17" s="337">
        <f t="shared" si="0"/>
        <v>195000</v>
      </c>
      <c r="G17" s="337">
        <v>0</v>
      </c>
      <c r="H17" s="337">
        <v>0</v>
      </c>
      <c r="I17" s="337"/>
      <c r="J17" s="337"/>
      <c r="K17" s="337">
        <f>SUM(I17:J17)</f>
        <v>0</v>
      </c>
      <c r="L17" s="337">
        <f>H17+K17</f>
        <v>0</v>
      </c>
      <c r="M17" s="337">
        <f>P17+S17</f>
        <v>0</v>
      </c>
      <c r="N17" s="337">
        <v>195000</v>
      </c>
      <c r="O17" s="337">
        <f>D17-L17-M17-N17</f>
        <v>0</v>
      </c>
      <c r="P17" s="337">
        <f>G17-L17</f>
        <v>0</v>
      </c>
      <c r="Q17" s="337"/>
      <c r="R17" s="337"/>
      <c r="S17" s="337">
        <f>SUM(Q17:R17)</f>
        <v>0</v>
      </c>
      <c r="T17" s="337">
        <f>P17-M17+S17</f>
        <v>0</v>
      </c>
      <c r="U17" s="416">
        <f>N17-T17</f>
        <v>195000</v>
      </c>
      <c r="V17" s="337">
        <f>U17-W17-X17-Y17</f>
        <v>195000</v>
      </c>
      <c r="W17" s="337"/>
      <c r="X17" s="337"/>
      <c r="Y17" s="414"/>
      <c r="Z17" s="337"/>
      <c r="AA17" s="337"/>
      <c r="AB17" s="337">
        <f t="shared" si="10"/>
        <v>0</v>
      </c>
      <c r="AC17" s="337"/>
      <c r="AD17" s="337"/>
      <c r="AE17" s="337">
        <f t="shared" si="11"/>
        <v>0</v>
      </c>
      <c r="AF17" s="337"/>
      <c r="AG17" s="337"/>
      <c r="AH17" s="337">
        <f t="shared" si="12"/>
        <v>0</v>
      </c>
      <c r="AI17" s="337"/>
      <c r="AJ17" s="337"/>
      <c r="AK17" s="337">
        <f t="shared" si="13"/>
        <v>0</v>
      </c>
      <c r="AL17" s="337"/>
      <c r="AM17" s="337"/>
      <c r="AN17" s="337">
        <f t="shared" si="14"/>
        <v>0</v>
      </c>
      <c r="AO17" s="337"/>
      <c r="AP17" s="337"/>
      <c r="AQ17" s="337">
        <f t="shared" si="15"/>
        <v>0</v>
      </c>
      <c r="AR17" s="337"/>
      <c r="AS17" s="337"/>
      <c r="AT17" s="337">
        <f t="shared" si="16"/>
        <v>0</v>
      </c>
      <c r="AU17" s="337"/>
      <c r="AV17" s="337"/>
      <c r="AW17" s="337">
        <f t="shared" si="17"/>
        <v>0</v>
      </c>
      <c r="AX17" s="337"/>
      <c r="AY17" s="337">
        <v>50000</v>
      </c>
      <c r="AZ17" s="337">
        <f t="shared" si="18"/>
        <v>50000</v>
      </c>
      <c r="BA17" s="337"/>
      <c r="BB17" s="337"/>
      <c r="BC17" s="337">
        <f t="shared" si="19"/>
        <v>0</v>
      </c>
      <c r="BD17" s="337"/>
      <c r="BE17" s="337"/>
      <c r="BF17" s="337">
        <f t="shared" si="20"/>
        <v>0</v>
      </c>
      <c r="BG17" s="337">
        <f t="shared" si="21"/>
        <v>50000</v>
      </c>
      <c r="BH17" s="337"/>
      <c r="BI17" s="337">
        <f t="shared" si="22"/>
        <v>50000</v>
      </c>
      <c r="BJ17" s="337">
        <f t="shared" si="23"/>
        <v>145000</v>
      </c>
      <c r="BK17" s="242">
        <f t="shared" si="24"/>
        <v>50000</v>
      </c>
      <c r="BL17" s="242"/>
      <c r="BM17" s="337"/>
      <c r="BN17" s="242">
        <f t="shared" si="25"/>
        <v>0</v>
      </c>
      <c r="BO17" s="337"/>
      <c r="BP17" s="241"/>
      <c r="BQ17" s="242">
        <f t="shared" si="26"/>
        <v>145000</v>
      </c>
      <c r="BR17" s="337"/>
      <c r="BS17" s="242"/>
      <c r="BT17" s="414">
        <v>732000</v>
      </c>
    </row>
    <row r="18" spans="1:72" s="413" customFormat="1" ht="31.5">
      <c r="A18" s="414">
        <f t="shared" si="27"/>
        <v>13</v>
      </c>
      <c r="B18" s="536">
        <v>1980</v>
      </c>
      <c r="C18" s="505" t="s">
        <v>452</v>
      </c>
      <c r="D18" s="537">
        <v>1150000</v>
      </c>
      <c r="E18" s="537"/>
      <c r="F18" s="337">
        <f t="shared" si="0"/>
        <v>1150000</v>
      </c>
      <c r="G18" s="337">
        <v>0</v>
      </c>
      <c r="H18" s="337">
        <v>0</v>
      </c>
      <c r="I18" s="337"/>
      <c r="J18" s="337"/>
      <c r="K18" s="337">
        <f>SUM(I18:J18)</f>
        <v>0</v>
      </c>
      <c r="L18" s="337">
        <f>H18+K18</f>
        <v>0</v>
      </c>
      <c r="M18" s="337">
        <f>P18+S18</f>
        <v>0</v>
      </c>
      <c r="N18" s="337">
        <f>850000</f>
        <v>850000</v>
      </c>
      <c r="O18" s="337">
        <f>D18-L18-M18-N18</f>
        <v>300000</v>
      </c>
      <c r="P18" s="337">
        <f>G18-L18</f>
        <v>0</v>
      </c>
      <c r="Q18" s="337"/>
      <c r="R18" s="337"/>
      <c r="S18" s="337">
        <f>SUM(Q18:R18)</f>
        <v>0</v>
      </c>
      <c r="T18" s="337">
        <f>P18-M18+S18</f>
        <v>0</v>
      </c>
      <c r="U18" s="416">
        <f>N18-T18</f>
        <v>850000</v>
      </c>
      <c r="V18" s="337">
        <f>U18-W18-X18-Y18</f>
        <v>850000</v>
      </c>
      <c r="W18" s="337"/>
      <c r="X18" s="337"/>
      <c r="Y18" s="414"/>
      <c r="Z18" s="337"/>
      <c r="AA18" s="337"/>
      <c r="AB18" s="337">
        <f t="shared" si="10"/>
        <v>0</v>
      </c>
      <c r="AC18" s="337"/>
      <c r="AD18" s="337"/>
      <c r="AE18" s="337">
        <f t="shared" si="11"/>
        <v>0</v>
      </c>
      <c r="AF18" s="337"/>
      <c r="AG18" s="337"/>
      <c r="AH18" s="337">
        <f t="shared" si="12"/>
        <v>0</v>
      </c>
      <c r="AI18" s="337"/>
      <c r="AJ18" s="337"/>
      <c r="AK18" s="337">
        <f t="shared" si="13"/>
        <v>0</v>
      </c>
      <c r="AL18" s="337"/>
      <c r="AM18" s="337"/>
      <c r="AN18" s="337">
        <f t="shared" si="14"/>
        <v>0</v>
      </c>
      <c r="AO18" s="337"/>
      <c r="AP18" s="337"/>
      <c r="AQ18" s="337">
        <f t="shared" si="15"/>
        <v>0</v>
      </c>
      <c r="AR18" s="337"/>
      <c r="AS18" s="337"/>
      <c r="AT18" s="337">
        <f t="shared" si="16"/>
        <v>0</v>
      </c>
      <c r="AU18" s="337"/>
      <c r="AV18" s="337"/>
      <c r="AW18" s="337">
        <f t="shared" si="17"/>
        <v>0</v>
      </c>
      <c r="AX18" s="337"/>
      <c r="AY18" s="337">
        <f>300000+50000</f>
        <v>350000</v>
      </c>
      <c r="AZ18" s="337">
        <f t="shared" si="18"/>
        <v>350000</v>
      </c>
      <c r="BA18" s="337"/>
      <c r="BB18" s="337"/>
      <c r="BC18" s="337">
        <f t="shared" si="19"/>
        <v>0</v>
      </c>
      <c r="BD18" s="337"/>
      <c r="BE18" s="337">
        <v>100000</v>
      </c>
      <c r="BF18" s="337">
        <f t="shared" si="20"/>
        <v>100000</v>
      </c>
      <c r="BG18" s="337">
        <f t="shared" si="21"/>
        <v>450000</v>
      </c>
      <c r="BH18" s="337"/>
      <c r="BI18" s="337">
        <f t="shared" si="22"/>
        <v>450000</v>
      </c>
      <c r="BJ18" s="337">
        <f t="shared" si="23"/>
        <v>400000</v>
      </c>
      <c r="BK18" s="242">
        <f t="shared" si="24"/>
        <v>450000</v>
      </c>
      <c r="BL18" s="242"/>
      <c r="BM18" s="337"/>
      <c r="BN18" s="242">
        <f t="shared" si="25"/>
        <v>0</v>
      </c>
      <c r="BO18" s="337"/>
      <c r="BP18" s="241"/>
      <c r="BQ18" s="242">
        <f t="shared" si="26"/>
        <v>400000</v>
      </c>
      <c r="BR18" s="337"/>
      <c r="BS18" s="241"/>
      <c r="BT18" s="414">
        <v>732000</v>
      </c>
    </row>
    <row r="19" spans="1:72" s="413" customFormat="1" ht="15.75">
      <c r="A19" s="414">
        <f t="shared" si="27"/>
        <v>14</v>
      </c>
      <c r="B19" s="536">
        <v>1981</v>
      </c>
      <c r="C19" s="505" t="s">
        <v>381</v>
      </c>
      <c r="D19" s="537">
        <v>980000</v>
      </c>
      <c r="E19" s="537"/>
      <c r="F19" s="337">
        <f t="shared" si="0"/>
        <v>980000</v>
      </c>
      <c r="G19" s="337">
        <v>0</v>
      </c>
      <c r="H19" s="337">
        <v>0</v>
      </c>
      <c r="I19" s="337"/>
      <c r="J19" s="337"/>
      <c r="K19" s="337">
        <f>SUM(I19:J19)</f>
        <v>0</v>
      </c>
      <c r="L19" s="337">
        <f>H19+K19</f>
        <v>0</v>
      </c>
      <c r="M19" s="337">
        <f>P19+S19</f>
        <v>0</v>
      </c>
      <c r="N19" s="337">
        <v>960000</v>
      </c>
      <c r="O19" s="337">
        <f>D19-L19-M19-N19</f>
        <v>20000</v>
      </c>
      <c r="P19" s="337">
        <f>G19-L19</f>
        <v>0</v>
      </c>
      <c r="Q19" s="337"/>
      <c r="R19" s="337"/>
      <c r="S19" s="337">
        <f>SUM(Q19:R19)</f>
        <v>0</v>
      </c>
      <c r="T19" s="337">
        <f>P19-M19+S19</f>
        <v>0</v>
      </c>
      <c r="U19" s="416">
        <f>N19-T19</f>
        <v>960000</v>
      </c>
      <c r="V19" s="337">
        <f>U19-W19-X19-Y19</f>
        <v>960000</v>
      </c>
      <c r="W19" s="337"/>
      <c r="X19" s="337"/>
      <c r="Y19" s="414"/>
      <c r="Z19" s="337"/>
      <c r="AA19" s="337"/>
      <c r="AB19" s="337">
        <f t="shared" si="10"/>
        <v>0</v>
      </c>
      <c r="AC19" s="337"/>
      <c r="AD19" s="337"/>
      <c r="AE19" s="337">
        <f t="shared" si="11"/>
        <v>0</v>
      </c>
      <c r="AF19" s="337"/>
      <c r="AG19" s="337"/>
      <c r="AH19" s="337">
        <f t="shared" si="12"/>
        <v>0</v>
      </c>
      <c r="AI19" s="337"/>
      <c r="AJ19" s="337"/>
      <c r="AK19" s="337">
        <f t="shared" si="13"/>
        <v>0</v>
      </c>
      <c r="AL19" s="337"/>
      <c r="AM19" s="337"/>
      <c r="AN19" s="337">
        <f t="shared" si="14"/>
        <v>0</v>
      </c>
      <c r="AO19" s="337"/>
      <c r="AP19" s="337"/>
      <c r="AQ19" s="337">
        <f t="shared" si="15"/>
        <v>0</v>
      </c>
      <c r="AR19" s="337"/>
      <c r="AS19" s="337"/>
      <c r="AT19" s="337">
        <f t="shared" si="16"/>
        <v>0</v>
      </c>
      <c r="AU19" s="337"/>
      <c r="AV19" s="337"/>
      <c r="AW19" s="337">
        <f t="shared" si="17"/>
        <v>0</v>
      </c>
      <c r="AX19" s="337"/>
      <c r="AY19" s="337">
        <f>250000+150000</f>
        <v>400000</v>
      </c>
      <c r="AZ19" s="337">
        <f t="shared" si="18"/>
        <v>400000</v>
      </c>
      <c r="BA19" s="337"/>
      <c r="BB19" s="337"/>
      <c r="BC19" s="337">
        <f t="shared" si="19"/>
        <v>0</v>
      </c>
      <c r="BD19" s="337"/>
      <c r="BE19" s="337">
        <v>200000</v>
      </c>
      <c r="BF19" s="337">
        <f t="shared" si="20"/>
        <v>200000</v>
      </c>
      <c r="BG19" s="337">
        <f t="shared" si="21"/>
        <v>600000</v>
      </c>
      <c r="BH19" s="337"/>
      <c r="BI19" s="337">
        <f t="shared" si="22"/>
        <v>600000</v>
      </c>
      <c r="BJ19" s="337">
        <f t="shared" si="23"/>
        <v>360000</v>
      </c>
      <c r="BK19" s="242">
        <f t="shared" si="24"/>
        <v>600000</v>
      </c>
      <c r="BL19" s="242"/>
      <c r="BM19" s="337"/>
      <c r="BN19" s="242">
        <f t="shared" si="25"/>
        <v>0</v>
      </c>
      <c r="BO19" s="337"/>
      <c r="BP19" s="241"/>
      <c r="BQ19" s="242">
        <f t="shared" si="26"/>
        <v>360000</v>
      </c>
      <c r="BR19" s="337"/>
      <c r="BS19" s="241"/>
      <c r="BT19" s="414">
        <v>732000</v>
      </c>
    </row>
    <row r="20" spans="1:72" s="413" customFormat="1" ht="15.75">
      <c r="A20" s="419">
        <f>A19</f>
        <v>14</v>
      </c>
      <c r="B20" s="427" t="s">
        <v>82</v>
      </c>
      <c r="C20" s="427" t="s">
        <v>182</v>
      </c>
      <c r="D20" s="460">
        <f t="shared" ref="D20:Y20" si="28">SUM(D6:D19)</f>
        <v>21580000</v>
      </c>
      <c r="E20" s="460">
        <f t="shared" si="28"/>
        <v>18319960</v>
      </c>
      <c r="F20" s="460">
        <f t="shared" si="28"/>
        <v>3260040</v>
      </c>
      <c r="G20" s="460">
        <f t="shared" si="28"/>
        <v>5714960</v>
      </c>
      <c r="H20" s="460">
        <f t="shared" si="28"/>
        <v>4581665.78</v>
      </c>
      <c r="I20" s="460">
        <f t="shared" si="28"/>
        <v>0</v>
      </c>
      <c r="J20" s="460">
        <f t="shared" si="28"/>
        <v>0</v>
      </c>
      <c r="K20" s="460">
        <f t="shared" si="28"/>
        <v>0</v>
      </c>
      <c r="L20" s="460">
        <f t="shared" si="28"/>
        <v>4581665.78</v>
      </c>
      <c r="M20" s="460">
        <f t="shared" si="28"/>
        <v>4383294.2200000007</v>
      </c>
      <c r="N20" s="460">
        <f t="shared" si="28"/>
        <v>10175040</v>
      </c>
      <c r="O20" s="460">
        <f t="shared" si="28"/>
        <v>2440000</v>
      </c>
      <c r="P20" s="460">
        <f t="shared" si="28"/>
        <v>1133294.2200000002</v>
      </c>
      <c r="Q20" s="460">
        <f t="shared" si="28"/>
        <v>200000</v>
      </c>
      <c r="R20" s="460">
        <f t="shared" si="28"/>
        <v>3050000</v>
      </c>
      <c r="S20" s="460">
        <f t="shared" si="28"/>
        <v>3250000</v>
      </c>
      <c r="T20" s="460">
        <f t="shared" si="28"/>
        <v>0</v>
      </c>
      <c r="U20" s="460">
        <f t="shared" si="28"/>
        <v>10175040</v>
      </c>
      <c r="V20" s="460">
        <f t="shared" si="28"/>
        <v>5210000</v>
      </c>
      <c r="W20" s="460">
        <f t="shared" si="28"/>
        <v>65040</v>
      </c>
      <c r="X20" s="460">
        <f t="shared" si="28"/>
        <v>0</v>
      </c>
      <c r="Y20" s="460">
        <f t="shared" si="28"/>
        <v>4900000</v>
      </c>
      <c r="Z20" s="460">
        <f t="shared" ref="Z20:BS20" si="29">SUM(Z6:Z19)</f>
        <v>0</v>
      </c>
      <c r="AA20" s="460">
        <f t="shared" si="29"/>
        <v>0</v>
      </c>
      <c r="AB20" s="460">
        <f t="shared" si="29"/>
        <v>0</v>
      </c>
      <c r="AC20" s="460">
        <f t="shared" si="29"/>
        <v>265040</v>
      </c>
      <c r="AD20" s="460">
        <f t="shared" si="29"/>
        <v>0</v>
      </c>
      <c r="AE20" s="460">
        <f t="shared" si="29"/>
        <v>265040</v>
      </c>
      <c r="AF20" s="460">
        <f t="shared" si="29"/>
        <v>0</v>
      </c>
      <c r="AG20" s="460">
        <f t="shared" si="29"/>
        <v>0</v>
      </c>
      <c r="AH20" s="460">
        <f t="shared" si="29"/>
        <v>0</v>
      </c>
      <c r="AI20" s="460">
        <f t="shared" si="29"/>
        <v>200000</v>
      </c>
      <c r="AJ20" s="460">
        <f t="shared" si="29"/>
        <v>0</v>
      </c>
      <c r="AK20" s="460">
        <f t="shared" si="29"/>
        <v>200000</v>
      </c>
      <c r="AL20" s="460">
        <f t="shared" si="29"/>
        <v>0</v>
      </c>
      <c r="AM20" s="460">
        <f t="shared" si="29"/>
        <v>0</v>
      </c>
      <c r="AN20" s="460">
        <f t="shared" si="29"/>
        <v>0</v>
      </c>
      <c r="AO20" s="460">
        <f t="shared" si="29"/>
        <v>0</v>
      </c>
      <c r="AP20" s="460">
        <f t="shared" si="29"/>
        <v>0</v>
      </c>
      <c r="AQ20" s="460">
        <f t="shared" si="29"/>
        <v>0</v>
      </c>
      <c r="AR20" s="460">
        <f t="shared" si="29"/>
        <v>1100000</v>
      </c>
      <c r="AS20" s="460">
        <f t="shared" si="29"/>
        <v>0</v>
      </c>
      <c r="AT20" s="460">
        <f t="shared" si="29"/>
        <v>1100000</v>
      </c>
      <c r="AU20" s="460">
        <f t="shared" si="29"/>
        <v>0</v>
      </c>
      <c r="AV20" s="460">
        <f t="shared" si="29"/>
        <v>0</v>
      </c>
      <c r="AW20" s="460">
        <f t="shared" si="29"/>
        <v>0</v>
      </c>
      <c r="AX20" s="460">
        <f t="shared" si="29"/>
        <v>0</v>
      </c>
      <c r="AY20" s="460">
        <f t="shared" si="29"/>
        <v>900000</v>
      </c>
      <c r="AZ20" s="460">
        <f t="shared" si="29"/>
        <v>900000</v>
      </c>
      <c r="BA20" s="460">
        <f t="shared" si="29"/>
        <v>0</v>
      </c>
      <c r="BB20" s="460">
        <f t="shared" si="29"/>
        <v>0</v>
      </c>
      <c r="BC20" s="460">
        <f t="shared" si="29"/>
        <v>0</v>
      </c>
      <c r="BD20" s="460">
        <f t="shared" si="29"/>
        <v>0</v>
      </c>
      <c r="BE20" s="460">
        <f t="shared" si="29"/>
        <v>300000</v>
      </c>
      <c r="BF20" s="460">
        <f t="shared" si="29"/>
        <v>300000</v>
      </c>
      <c r="BG20" s="460">
        <f t="shared" si="29"/>
        <v>2765040</v>
      </c>
      <c r="BH20" s="460">
        <f t="shared" si="29"/>
        <v>0</v>
      </c>
      <c r="BI20" s="460">
        <f t="shared" si="29"/>
        <v>2765040</v>
      </c>
      <c r="BJ20" s="460">
        <f t="shared" si="29"/>
        <v>7410000</v>
      </c>
      <c r="BK20" s="460">
        <f>SUM(BK6:BK19)</f>
        <v>2600000</v>
      </c>
      <c r="BL20" s="460">
        <f t="shared" si="29"/>
        <v>0</v>
      </c>
      <c r="BM20" s="460">
        <f>SUM(BM6:BM19)</f>
        <v>165040</v>
      </c>
      <c r="BN20" s="460">
        <f>SUM(BN6:BN19)</f>
        <v>0</v>
      </c>
      <c r="BO20" s="460">
        <f>SUM(BO6:BO19)</f>
        <v>0</v>
      </c>
      <c r="BP20" s="460">
        <f>SUM(BP6:BP19)</f>
        <v>0</v>
      </c>
      <c r="BQ20" s="460">
        <f>SUM(BQ6:BQ19)</f>
        <v>2610000</v>
      </c>
      <c r="BR20" s="460">
        <f t="shared" si="29"/>
        <v>0</v>
      </c>
      <c r="BS20" s="460">
        <f t="shared" si="29"/>
        <v>4800000</v>
      </c>
      <c r="BT20" s="460"/>
    </row>
    <row r="21" spans="1:72" s="413" customFormat="1">
      <c r="A21" s="414"/>
      <c r="B21" s="414"/>
      <c r="C21" s="414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>
        <f>D21-L21-M21-N21</f>
        <v>0</v>
      </c>
      <c r="P21" s="337"/>
      <c r="Q21" s="337"/>
      <c r="R21" s="337"/>
      <c r="S21" s="337"/>
      <c r="T21" s="337">
        <f>P21-M21+R21</f>
        <v>0</v>
      </c>
      <c r="U21" s="416">
        <f>N21-T21</f>
        <v>0</v>
      </c>
      <c r="V21" s="337"/>
      <c r="W21" s="337"/>
      <c r="X21" s="337"/>
      <c r="Y21" s="414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414"/>
    </row>
    <row r="22" spans="1:72" s="413" customFormat="1">
      <c r="A22" s="437"/>
      <c r="B22" s="437"/>
      <c r="C22" s="437"/>
      <c r="D22" s="538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438"/>
      <c r="V22" s="538"/>
      <c r="W22" s="538"/>
      <c r="X22" s="538"/>
      <c r="Y22" s="437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0"/>
      <c r="BE22" s="490"/>
      <c r="BF22" s="490"/>
      <c r="BG22" s="490"/>
      <c r="BH22" s="490"/>
      <c r="BI22" s="490"/>
      <c r="BJ22" s="490"/>
      <c r="BK22" s="490"/>
      <c r="BL22" s="490"/>
      <c r="BM22" s="490"/>
      <c r="BN22" s="490"/>
      <c r="BO22" s="490"/>
      <c r="BP22" s="490"/>
      <c r="BQ22" s="490"/>
      <c r="BR22" s="490"/>
      <c r="BS22" s="490"/>
      <c r="BT22" s="437"/>
    </row>
    <row r="23" spans="1:72" ht="15" hidden="1" customHeight="1">
      <c r="M23" s="474">
        <f>P20+S20</f>
        <v>4383294.2200000007</v>
      </c>
      <c r="P23" s="474">
        <f>G20-L20</f>
        <v>1133294.2199999997</v>
      </c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  <c r="BM23" s="490"/>
      <c r="BN23" s="490"/>
      <c r="BO23" s="490"/>
      <c r="BP23" s="490"/>
      <c r="BQ23" s="490"/>
      <c r="BR23" s="490"/>
      <c r="BS23" s="490"/>
    </row>
    <row r="24" spans="1:72" ht="15" hidden="1" customHeight="1">
      <c r="M24" s="509"/>
      <c r="P24" s="509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</row>
    <row r="25" spans="1:72" ht="15" hidden="1" customHeight="1">
      <c r="M25" s="509"/>
      <c r="P25" s="509" t="s">
        <v>769</v>
      </c>
      <c r="Q25" s="405">
        <f>'[2]החברה לתיירות '!$AY$25</f>
        <v>200000</v>
      </c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:72" ht="15" hidden="1" customHeight="1">
      <c r="M26" s="509"/>
      <c r="P26" s="509"/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:72" ht="15" hidden="1" customHeight="1">
      <c r="M27" s="509"/>
      <c r="P27" s="509" t="s">
        <v>395</v>
      </c>
      <c r="Q27" s="405">
        <f>'[5]החברה לתיירות '!$AZ$24</f>
        <v>200000</v>
      </c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:72" ht="15" hidden="1" customHeight="1">
      <c r="M28" s="509"/>
      <c r="P28" s="509"/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:72" ht="15" hidden="1" customHeight="1">
      <c r="R29" s="405">
        <f>'[2]ריכוז תקציבים מעבר לתוכנית 31.8'!$AD$155</f>
        <v>2750000</v>
      </c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:72" ht="15" hidden="1" customHeight="1">
      <c r="R30" s="405">
        <f>'[2]ריכוז תקציבים מעבר לתוכנית 31.8'!$AD$53</f>
        <v>300000</v>
      </c>
      <c r="S30" s="405" t="s">
        <v>725</v>
      </c>
      <c r="T30" s="405" t="s">
        <v>770</v>
      </c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</row>
    <row r="31" spans="1:72" ht="15" hidden="1" customHeight="1">
      <c r="R31" s="405">
        <f>SUM(R29:R30)</f>
        <v>3050000</v>
      </c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</row>
    <row r="32" spans="1:72" ht="15" hidden="1" customHeight="1"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</row>
    <row r="33" spans="16:71" ht="15" hidden="1" customHeight="1"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</row>
    <row r="34" spans="16:71" ht="15" hidden="1" customHeight="1"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</row>
    <row r="35" spans="16:71" ht="15" hidden="1" customHeight="1">
      <c r="P35" s="405" t="s">
        <v>771</v>
      </c>
      <c r="R35" s="539">
        <v>1500000</v>
      </c>
      <c r="S35" s="405" t="s">
        <v>183</v>
      </c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</row>
    <row r="36" spans="16:71" ht="15" hidden="1" customHeight="1">
      <c r="P36" s="405" t="s">
        <v>736</v>
      </c>
      <c r="R36" s="405">
        <v>700000</v>
      </c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</row>
    <row r="37" spans="16:71" ht="15" hidden="1" customHeight="1">
      <c r="R37" s="405">
        <f>SUM(R35:R36)</f>
        <v>2200000</v>
      </c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</row>
    <row r="38" spans="16:71" ht="15" hidden="1" customHeight="1">
      <c r="P38" s="405" t="s">
        <v>757</v>
      </c>
      <c r="R38" s="405">
        <f>R20-R37</f>
        <v>850000</v>
      </c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</row>
    <row r="39" spans="16:71" ht="15" hidden="1" customHeight="1">
      <c r="R39" s="405">
        <f>R16+R15</f>
        <v>850000</v>
      </c>
      <c r="S39" s="405" t="s">
        <v>772</v>
      </c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</row>
    <row r="40" spans="16:71" ht="15" hidden="1" customHeight="1"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</row>
    <row r="41" spans="16:71" ht="15" hidden="1" customHeight="1"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</row>
    <row r="42" spans="16:71" ht="15" hidden="1" customHeight="1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16:71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16:71"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</row>
    <row r="45" spans="16:71"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490"/>
      <c r="AN45" s="490"/>
      <c r="AO45" s="490"/>
      <c r="AP45" s="490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490"/>
      <c r="BF45" s="490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</row>
    <row r="46" spans="16:71"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</row>
    <row r="47" spans="16:71"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</row>
    <row r="48" spans="16:71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U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26"/>
  <sheetViews>
    <sheetView showZeros="0" rightToLeft="1" workbookViewId="0">
      <pane xSplit="3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06" customWidth="1"/>
    <col min="2" max="2" width="6.7109375" style="205" customWidth="1"/>
    <col min="3" max="3" width="28.5703125" style="205" customWidth="1"/>
    <col min="4" max="5" width="12.7109375" style="222" hidden="1" customWidth="1"/>
    <col min="6" max="6" width="11.140625" style="222" hidden="1" customWidth="1"/>
    <col min="7" max="10" width="12.7109375" style="222" hidden="1" customWidth="1"/>
    <col min="11" max="11" width="11.28515625" style="222" hidden="1" customWidth="1"/>
    <col min="12" max="12" width="11.42578125" style="222" hidden="1" customWidth="1"/>
    <col min="13" max="13" width="10.28515625" style="222" hidden="1" customWidth="1"/>
    <col min="14" max="14" width="11.140625" style="222" hidden="1" customWidth="1"/>
    <col min="15" max="15" width="10.140625" style="222" hidden="1" customWidth="1"/>
    <col min="16" max="17" width="11.140625" style="222" hidden="1" customWidth="1"/>
    <col min="18" max="19" width="12" style="222" hidden="1" customWidth="1"/>
    <col min="20" max="20" width="8.7109375" style="222" customWidth="1"/>
    <col min="21" max="21" width="11.85546875" style="205" bestFit="1" customWidth="1"/>
    <col min="22" max="22" width="9" style="205" customWidth="1"/>
    <col min="23" max="23" width="11.85546875" style="205" customWidth="1"/>
    <col min="24" max="24" width="6" style="205" hidden="1" customWidth="1"/>
    <col min="25" max="25" width="4" style="205" hidden="1" customWidth="1"/>
    <col min="26" max="60" width="10" style="239" hidden="1" customWidth="1"/>
    <col min="61" max="61" width="12.5703125" style="239" customWidth="1"/>
    <col min="62" max="62" width="12" style="239" customWidth="1"/>
    <col min="63" max="63" width="11.5703125" style="239" customWidth="1"/>
    <col min="64" max="64" width="12.5703125" style="239" customWidth="1"/>
    <col min="65" max="65" width="11.5703125" style="239" customWidth="1"/>
    <col min="66" max="71" width="10" style="239" hidden="1" customWidth="1"/>
    <col min="72" max="72" width="7.85546875" style="205" hidden="1" customWidth="1"/>
    <col min="73" max="73" width="9.140625" style="205" customWidth="1"/>
    <col min="74" max="16384" width="9.140625" style="204"/>
  </cols>
  <sheetData>
    <row r="1" spans="1:73" ht="18.75">
      <c r="A1" s="777" t="s">
        <v>949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645"/>
      <c r="BO1" s="645"/>
      <c r="BP1" s="645"/>
      <c r="BQ1" s="388"/>
      <c r="BR1" s="388"/>
      <c r="BS1" s="388"/>
    </row>
    <row r="2" spans="1:73" ht="18.75">
      <c r="A2" s="540"/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3" ht="18.75">
      <c r="A3" s="541"/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817" t="s">
        <v>191</v>
      </c>
      <c r="U3" s="818"/>
      <c r="V3" s="818"/>
      <c r="W3" s="819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896</v>
      </c>
      <c r="BH3" s="818"/>
      <c r="BI3" s="819"/>
      <c r="BJ3" s="618"/>
      <c r="BK3" s="621" t="s">
        <v>1118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3" ht="90">
      <c r="A4" s="238" t="s">
        <v>659</v>
      </c>
      <c r="B4" s="238" t="s">
        <v>1</v>
      </c>
      <c r="C4" s="238" t="s">
        <v>2</v>
      </c>
      <c r="D4" s="238" t="s">
        <v>3</v>
      </c>
      <c r="E4" s="238" t="s">
        <v>4</v>
      </c>
      <c r="F4" s="238" t="s">
        <v>5</v>
      </c>
      <c r="G4" s="238" t="s">
        <v>6</v>
      </c>
      <c r="H4" s="238" t="s">
        <v>7</v>
      </c>
      <c r="I4" s="238" t="s">
        <v>8</v>
      </c>
      <c r="J4" s="238" t="s">
        <v>9</v>
      </c>
      <c r="K4" s="238" t="s">
        <v>10</v>
      </c>
      <c r="L4" s="238" t="s">
        <v>11</v>
      </c>
      <c r="M4" s="12" t="s">
        <v>637</v>
      </c>
      <c r="N4" s="238" t="s">
        <v>638</v>
      </c>
      <c r="O4" s="238" t="s">
        <v>639</v>
      </c>
      <c r="P4" s="238" t="s">
        <v>12</v>
      </c>
      <c r="Q4" s="238" t="s">
        <v>640</v>
      </c>
      <c r="R4" s="238" t="s">
        <v>641</v>
      </c>
      <c r="S4" s="238" t="s">
        <v>642</v>
      </c>
      <c r="T4" s="238" t="s">
        <v>643</v>
      </c>
      <c r="U4" s="238" t="s">
        <v>644</v>
      </c>
      <c r="V4" s="238" t="s">
        <v>13</v>
      </c>
      <c r="W4" s="238" t="s">
        <v>14</v>
      </c>
      <c r="X4" s="238" t="s">
        <v>15</v>
      </c>
      <c r="Y4" s="238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238" t="s">
        <v>16</v>
      </c>
      <c r="BU4" s="224"/>
    </row>
    <row r="5" spans="1:73">
      <c r="A5" s="218"/>
      <c r="B5" s="218"/>
      <c r="C5" s="218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18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542"/>
      <c r="BU5" s="232"/>
    </row>
    <row r="6" spans="1:73" ht="15" customHeight="1">
      <c r="A6" s="218"/>
      <c r="B6" s="218"/>
      <c r="C6" s="218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>
        <f t="shared" ref="O6:O16" si="0">D6-L6-M6-N6</f>
        <v>0</v>
      </c>
      <c r="P6" s="230"/>
      <c r="Q6" s="230"/>
      <c r="R6" s="230"/>
      <c r="S6" s="230"/>
      <c r="T6" s="230">
        <f>P6-M6+R6</f>
        <v>0</v>
      </c>
      <c r="U6" s="230">
        <f t="shared" ref="U6:U16" si="1">N6-T6</f>
        <v>0</v>
      </c>
      <c r="V6" s="230"/>
      <c r="W6" s="230"/>
      <c r="X6" s="230"/>
      <c r="Y6" s="218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18"/>
      <c r="BU6" s="232"/>
    </row>
    <row r="7" spans="1:73">
      <c r="A7" s="218">
        <v>1</v>
      </c>
      <c r="B7" s="218">
        <v>1002</v>
      </c>
      <c r="C7" s="218" t="s">
        <v>330</v>
      </c>
      <c r="D7" s="230">
        <v>2080000</v>
      </c>
      <c r="E7" s="230">
        <v>2080000</v>
      </c>
      <c r="F7" s="230">
        <f t="shared" ref="F7:F16" si="2">D7-E7</f>
        <v>0</v>
      </c>
      <c r="G7" s="230">
        <v>1980000</v>
      </c>
      <c r="H7" s="230">
        <v>1922499.86</v>
      </c>
      <c r="I7" s="230">
        <v>15975.9</v>
      </c>
      <c r="J7" s="230"/>
      <c r="K7" s="230">
        <f t="shared" ref="K7:K15" si="3">SUM(I7:J7)</f>
        <v>15975.9</v>
      </c>
      <c r="L7" s="230">
        <f t="shared" ref="L7:L16" si="4">H7+K7</f>
        <v>1938475.76</v>
      </c>
      <c r="M7" s="230">
        <v>1524</v>
      </c>
      <c r="N7" s="230">
        <v>100000</v>
      </c>
      <c r="O7" s="230">
        <f t="shared" si="0"/>
        <v>40000.239999999991</v>
      </c>
      <c r="P7" s="230">
        <f t="shared" ref="P7:P16" si="5">G7-L7</f>
        <v>41524.239999999991</v>
      </c>
      <c r="Q7" s="230">
        <v>0</v>
      </c>
      <c r="R7" s="230">
        <v>0</v>
      </c>
      <c r="S7" s="230">
        <f t="shared" ref="S7:S16" si="6">SUM(Q7:R7)</f>
        <v>0</v>
      </c>
      <c r="T7" s="230">
        <f t="shared" ref="T7:T16" si="7">P7-M7+S7</f>
        <v>40000.239999999991</v>
      </c>
      <c r="U7" s="230">
        <f t="shared" si="1"/>
        <v>59999.760000000009</v>
      </c>
      <c r="V7" s="230"/>
      <c r="W7" s="230">
        <f>U7-V7</f>
        <v>59999.760000000009</v>
      </c>
      <c r="X7" s="230"/>
      <c r="Y7" s="218"/>
      <c r="Z7" s="241"/>
      <c r="AA7" s="241"/>
      <c r="AB7" s="543">
        <f>SUM(Z7:AA7)</f>
        <v>0</v>
      </c>
      <c r="AC7" s="241"/>
      <c r="AD7" s="241"/>
      <c r="AE7" s="543">
        <f>SUM(AC7:AD7)</f>
        <v>0</v>
      </c>
      <c r="AF7" s="241"/>
      <c r="AG7" s="241"/>
      <c r="AH7" s="543">
        <f>SUM(AF7:AG7)</f>
        <v>0</v>
      </c>
      <c r="AI7" s="241"/>
      <c r="AJ7" s="241"/>
      <c r="AK7" s="543">
        <f>SUM(AI7:AJ7)</f>
        <v>0</v>
      </c>
      <c r="AL7" s="241"/>
      <c r="AM7" s="241"/>
      <c r="AN7" s="543">
        <f>SUM(AL7:AM7)</f>
        <v>0</v>
      </c>
      <c r="AO7" s="241"/>
      <c r="AP7" s="241"/>
      <c r="AQ7" s="543">
        <f>SUM(AO7:AP7)</f>
        <v>0</v>
      </c>
      <c r="AR7" s="241"/>
      <c r="AS7" s="241"/>
      <c r="AT7" s="543">
        <f>SUM(AR7:AS7)</f>
        <v>0</v>
      </c>
      <c r="AU7" s="241"/>
      <c r="AV7" s="241"/>
      <c r="AW7" s="543">
        <f>SUM(AU7:AV7)</f>
        <v>0</v>
      </c>
      <c r="AX7" s="241"/>
      <c r="AY7" s="241"/>
      <c r="AZ7" s="543">
        <f>SUM(AX7:AY7)</f>
        <v>0</v>
      </c>
      <c r="BA7" s="241"/>
      <c r="BB7" s="241"/>
      <c r="BC7" s="543">
        <f>SUM(BA7:BB7)</f>
        <v>0</v>
      </c>
      <c r="BD7" s="242">
        <v>60000</v>
      </c>
      <c r="BE7" s="241"/>
      <c r="BF7" s="242">
        <f>SUM(BD7:BE7)</f>
        <v>60000</v>
      </c>
      <c r="BG7" s="242">
        <f>BF7+AB7+AE7+AH7+AK7+AN7+AQ7+AT7+AW7+AZ7+BC7</f>
        <v>60000</v>
      </c>
      <c r="BH7" s="242"/>
      <c r="BI7" s="242">
        <f>BG7+BH7</f>
        <v>60000</v>
      </c>
      <c r="BJ7" s="242">
        <f>U7-BI7</f>
        <v>-0.23999999999068677</v>
      </c>
      <c r="BK7" s="242"/>
      <c r="BL7" s="242">
        <f>BI7-BK7-BM7</f>
        <v>60000</v>
      </c>
      <c r="BM7" s="242"/>
      <c r="BN7" s="241"/>
      <c r="BO7" s="242">
        <f>BH7-BN7-BP7</f>
        <v>0</v>
      </c>
      <c r="BP7" s="241"/>
      <c r="BQ7" s="241"/>
      <c r="BR7" s="242">
        <f>BJ7-BQ7-BS7</f>
        <v>-0.23999999999068677</v>
      </c>
      <c r="BS7" s="241"/>
      <c r="BT7" s="218">
        <v>760000</v>
      </c>
      <c r="BU7" s="232"/>
    </row>
    <row r="8" spans="1:73">
      <c r="A8" s="218">
        <f>A7+1</f>
        <v>2</v>
      </c>
      <c r="B8" s="545">
        <v>1110</v>
      </c>
      <c r="C8" s="545" t="s">
        <v>1173</v>
      </c>
      <c r="D8" s="230">
        <v>2385000</v>
      </c>
      <c r="E8" s="230">
        <v>2385000</v>
      </c>
      <c r="F8" s="230">
        <f t="shared" si="2"/>
        <v>0</v>
      </c>
      <c r="G8" s="230">
        <v>2385000</v>
      </c>
      <c r="H8" s="230">
        <v>2382194.2999999998</v>
      </c>
      <c r="I8" s="230"/>
      <c r="J8" s="230"/>
      <c r="K8" s="230">
        <f t="shared" si="3"/>
        <v>0</v>
      </c>
      <c r="L8" s="230">
        <f t="shared" si="4"/>
        <v>2382194.2999999998</v>
      </c>
      <c r="M8" s="544">
        <f t="shared" ref="M8:M16" si="8">P8+S8</f>
        <v>2805.7000000001863</v>
      </c>
      <c r="N8" s="230"/>
      <c r="O8" s="230">
        <f t="shared" si="0"/>
        <v>0</v>
      </c>
      <c r="P8" s="230">
        <f t="shared" si="5"/>
        <v>2805.7000000001863</v>
      </c>
      <c r="Q8" s="230"/>
      <c r="R8" s="230"/>
      <c r="S8" s="230">
        <f t="shared" si="6"/>
        <v>0</v>
      </c>
      <c r="T8" s="337">
        <f t="shared" si="7"/>
        <v>0</v>
      </c>
      <c r="U8" s="230">
        <f t="shared" si="1"/>
        <v>0</v>
      </c>
      <c r="V8" s="230"/>
      <c r="W8" s="230">
        <f t="shared" ref="W8:W16" si="9">U8-V8</f>
        <v>0</v>
      </c>
      <c r="X8" s="230"/>
      <c r="Y8" s="218"/>
      <c r="Z8" s="241"/>
      <c r="AA8" s="241"/>
      <c r="AB8" s="543">
        <f t="shared" ref="AB8:AB16" si="10">SUM(Z8:AA8)</f>
        <v>0</v>
      </c>
      <c r="AC8" s="241"/>
      <c r="AD8" s="241"/>
      <c r="AE8" s="543">
        <f t="shared" ref="AE8:AE16" si="11">SUM(AC8:AD8)</f>
        <v>0</v>
      </c>
      <c r="AF8" s="241"/>
      <c r="AG8" s="241"/>
      <c r="AH8" s="543">
        <f t="shared" ref="AH8:AH16" si="12">SUM(AF8:AG8)</f>
        <v>0</v>
      </c>
      <c r="AI8" s="241"/>
      <c r="AJ8" s="241"/>
      <c r="AK8" s="543">
        <f t="shared" ref="AK8:AK16" si="13">SUM(AI8:AJ8)</f>
        <v>0</v>
      </c>
      <c r="AL8" s="241"/>
      <c r="AM8" s="241"/>
      <c r="AN8" s="543">
        <f t="shared" ref="AN8:AN16" si="14">SUM(AL8:AM8)</f>
        <v>0</v>
      </c>
      <c r="AO8" s="241"/>
      <c r="AP8" s="241"/>
      <c r="AQ8" s="543">
        <f t="shared" ref="AQ8:AQ16" si="15">SUM(AO8:AP8)</f>
        <v>0</v>
      </c>
      <c r="AR8" s="241"/>
      <c r="AS8" s="241"/>
      <c r="AT8" s="543">
        <f t="shared" ref="AT8:AT16" si="16">SUM(AR8:AS8)</f>
        <v>0</v>
      </c>
      <c r="AU8" s="241"/>
      <c r="AV8" s="241"/>
      <c r="AW8" s="543">
        <f t="shared" ref="AW8:AW16" si="17">SUM(AU8:AV8)</f>
        <v>0</v>
      </c>
      <c r="AX8" s="241"/>
      <c r="AY8" s="241"/>
      <c r="AZ8" s="543">
        <f t="shared" ref="AZ8:AZ16" si="18">SUM(AX8:AY8)</f>
        <v>0</v>
      </c>
      <c r="BA8" s="241"/>
      <c r="BB8" s="241"/>
      <c r="BC8" s="543">
        <f t="shared" ref="BC8:BC16" si="19">SUM(BA8:BB8)</f>
        <v>0</v>
      </c>
      <c r="BD8" s="241"/>
      <c r="BE8" s="241"/>
      <c r="BF8" s="543">
        <f t="shared" ref="BF8:BF16" si="20">SUM(BD8:BE8)</f>
        <v>0</v>
      </c>
      <c r="BG8" s="242">
        <f t="shared" ref="BG8:BG16" si="21">BF8+AB8+AE8+AH8+AK8+AN8+AQ8+AT8+AW8+AZ8+BC8</f>
        <v>0</v>
      </c>
      <c r="BH8" s="242"/>
      <c r="BI8" s="242">
        <f t="shared" ref="BI8:BI16" si="22">BG8+BH8</f>
        <v>0</v>
      </c>
      <c r="BJ8" s="242">
        <f t="shared" ref="BJ8:BJ16" si="23">U8-BI8</f>
        <v>0</v>
      </c>
      <c r="BK8" s="242"/>
      <c r="BL8" s="242">
        <f t="shared" ref="BL8:BL16" si="24">BI8-BK8-BM8</f>
        <v>0</v>
      </c>
      <c r="BM8" s="242"/>
      <c r="BN8" s="241"/>
      <c r="BO8" s="242">
        <f t="shared" ref="BO8:BO16" si="25">BH8-BN8-BP8</f>
        <v>0</v>
      </c>
      <c r="BP8" s="241"/>
      <c r="BQ8" s="241"/>
      <c r="BR8" s="242">
        <f t="shared" ref="BR8:BR16" si="26">BJ8-BQ8-BS8</f>
        <v>0</v>
      </c>
      <c r="BS8" s="241"/>
      <c r="BT8" s="218">
        <v>769000</v>
      </c>
      <c r="BU8" s="232"/>
    </row>
    <row r="9" spans="1:73">
      <c r="A9" s="218">
        <f t="shared" ref="A9:A15" si="27">A8+1</f>
        <v>3</v>
      </c>
      <c r="B9" s="545">
        <v>1190</v>
      </c>
      <c r="C9" s="545" t="s">
        <v>1174</v>
      </c>
      <c r="D9" s="230">
        <v>2773842</v>
      </c>
      <c r="E9" s="230">
        <v>2773842</v>
      </c>
      <c r="F9" s="230">
        <f t="shared" si="2"/>
        <v>0</v>
      </c>
      <c r="G9" s="230">
        <v>2773842</v>
      </c>
      <c r="H9" s="230">
        <v>2735190.77</v>
      </c>
      <c r="I9" s="230">
        <v>2700.01</v>
      </c>
      <c r="J9" s="230"/>
      <c r="K9" s="230">
        <f t="shared" si="3"/>
        <v>2700.01</v>
      </c>
      <c r="L9" s="230">
        <f t="shared" si="4"/>
        <v>2737890.78</v>
      </c>
      <c r="M9" s="544">
        <f t="shared" si="8"/>
        <v>35951.220000000205</v>
      </c>
      <c r="N9" s="230"/>
      <c r="O9" s="230">
        <f t="shared" si="0"/>
        <v>0</v>
      </c>
      <c r="P9" s="230">
        <f t="shared" si="5"/>
        <v>35951.220000000205</v>
      </c>
      <c r="Q9" s="230"/>
      <c r="R9" s="230"/>
      <c r="S9" s="230">
        <f t="shared" si="6"/>
        <v>0</v>
      </c>
      <c r="T9" s="230">
        <f t="shared" si="7"/>
        <v>0</v>
      </c>
      <c r="U9" s="230">
        <f t="shared" si="1"/>
        <v>0</v>
      </c>
      <c r="V9" s="230"/>
      <c r="W9" s="230">
        <f t="shared" si="9"/>
        <v>0</v>
      </c>
      <c r="X9" s="230"/>
      <c r="Y9" s="218"/>
      <c r="Z9" s="241"/>
      <c r="AA9" s="241"/>
      <c r="AB9" s="543">
        <f t="shared" si="10"/>
        <v>0</v>
      </c>
      <c r="AC9" s="241"/>
      <c r="AD9" s="241"/>
      <c r="AE9" s="543">
        <f t="shared" si="11"/>
        <v>0</v>
      </c>
      <c r="AF9" s="241"/>
      <c r="AG9" s="241"/>
      <c r="AH9" s="543">
        <f t="shared" si="12"/>
        <v>0</v>
      </c>
      <c r="AI9" s="241"/>
      <c r="AJ9" s="241"/>
      <c r="AK9" s="543">
        <f t="shared" si="13"/>
        <v>0</v>
      </c>
      <c r="AL9" s="241"/>
      <c r="AM9" s="241"/>
      <c r="AN9" s="543">
        <f t="shared" si="14"/>
        <v>0</v>
      </c>
      <c r="AO9" s="241"/>
      <c r="AP9" s="241"/>
      <c r="AQ9" s="543">
        <f t="shared" si="15"/>
        <v>0</v>
      </c>
      <c r="AR9" s="241"/>
      <c r="AS9" s="241"/>
      <c r="AT9" s="543">
        <f t="shared" si="16"/>
        <v>0</v>
      </c>
      <c r="AU9" s="241"/>
      <c r="AV9" s="241"/>
      <c r="AW9" s="543">
        <f t="shared" si="17"/>
        <v>0</v>
      </c>
      <c r="AX9" s="241"/>
      <c r="AY9" s="241"/>
      <c r="AZ9" s="543">
        <f t="shared" si="18"/>
        <v>0</v>
      </c>
      <c r="BA9" s="241"/>
      <c r="BB9" s="241"/>
      <c r="BC9" s="543">
        <f t="shared" si="19"/>
        <v>0</v>
      </c>
      <c r="BD9" s="241"/>
      <c r="BE9" s="241"/>
      <c r="BF9" s="543">
        <f t="shared" si="20"/>
        <v>0</v>
      </c>
      <c r="BG9" s="242">
        <f t="shared" si="21"/>
        <v>0</v>
      </c>
      <c r="BH9" s="242"/>
      <c r="BI9" s="242">
        <f t="shared" si="22"/>
        <v>0</v>
      </c>
      <c r="BJ9" s="242">
        <f t="shared" si="23"/>
        <v>0</v>
      </c>
      <c r="BK9" s="242"/>
      <c r="BL9" s="242">
        <f t="shared" si="24"/>
        <v>0</v>
      </c>
      <c r="BM9" s="242"/>
      <c r="BN9" s="241"/>
      <c r="BO9" s="242">
        <f t="shared" si="25"/>
        <v>0</v>
      </c>
      <c r="BP9" s="241"/>
      <c r="BQ9" s="241"/>
      <c r="BR9" s="242">
        <f t="shared" si="26"/>
        <v>0</v>
      </c>
      <c r="BS9" s="241"/>
      <c r="BT9" s="218">
        <v>760000</v>
      </c>
      <c r="BU9" s="232"/>
    </row>
    <row r="10" spans="1:73">
      <c r="A10" s="218">
        <f t="shared" si="27"/>
        <v>4</v>
      </c>
      <c r="B10" s="218">
        <v>1497</v>
      </c>
      <c r="C10" s="218" t="s">
        <v>135</v>
      </c>
      <c r="D10" s="230">
        <v>8820000</v>
      </c>
      <c r="E10" s="230">
        <v>8820000</v>
      </c>
      <c r="F10" s="230">
        <f t="shared" si="2"/>
        <v>0</v>
      </c>
      <c r="G10" s="230">
        <v>2460000</v>
      </c>
      <c r="H10" s="230">
        <v>1944270</v>
      </c>
      <c r="I10" s="230">
        <v>15987</v>
      </c>
      <c r="J10" s="230">
        <v>487200</v>
      </c>
      <c r="K10" s="230">
        <f t="shared" si="3"/>
        <v>503187</v>
      </c>
      <c r="L10" s="230">
        <f t="shared" si="4"/>
        <v>2447457</v>
      </c>
      <c r="M10" s="230">
        <v>543</v>
      </c>
      <c r="N10" s="230">
        <v>300000</v>
      </c>
      <c r="O10" s="230">
        <f t="shared" si="0"/>
        <v>6072000</v>
      </c>
      <c r="P10" s="230">
        <f t="shared" si="5"/>
        <v>12543</v>
      </c>
      <c r="Q10" s="230"/>
      <c r="R10" s="230"/>
      <c r="S10" s="230">
        <f t="shared" si="6"/>
        <v>0</v>
      </c>
      <c r="T10" s="230">
        <f t="shared" si="7"/>
        <v>12000</v>
      </c>
      <c r="U10" s="230">
        <f t="shared" si="1"/>
        <v>288000</v>
      </c>
      <c r="V10" s="230"/>
      <c r="W10" s="230">
        <f t="shared" si="9"/>
        <v>288000</v>
      </c>
      <c r="X10" s="230"/>
      <c r="Y10" s="218"/>
      <c r="Z10" s="241"/>
      <c r="AA10" s="241"/>
      <c r="AB10" s="543">
        <f t="shared" si="10"/>
        <v>0</v>
      </c>
      <c r="AC10" s="242"/>
      <c r="AD10" s="241"/>
      <c r="AE10" s="242">
        <f t="shared" si="11"/>
        <v>0</v>
      </c>
      <c r="AF10" s="242">
        <v>85000</v>
      </c>
      <c r="AG10" s="241"/>
      <c r="AH10" s="242">
        <f t="shared" si="12"/>
        <v>85000</v>
      </c>
      <c r="AI10" s="242"/>
      <c r="AJ10" s="241"/>
      <c r="AK10" s="242">
        <f t="shared" si="13"/>
        <v>0</v>
      </c>
      <c r="AL10" s="242">
        <v>70000</v>
      </c>
      <c r="AM10" s="241"/>
      <c r="AN10" s="242">
        <f t="shared" si="14"/>
        <v>70000</v>
      </c>
      <c r="AO10" s="242"/>
      <c r="AP10" s="241"/>
      <c r="AQ10" s="242">
        <f t="shared" si="15"/>
        <v>0</v>
      </c>
      <c r="AR10" s="242"/>
      <c r="AS10" s="241"/>
      <c r="AT10" s="242">
        <f t="shared" si="16"/>
        <v>0</v>
      </c>
      <c r="AU10" s="242"/>
      <c r="AV10" s="241"/>
      <c r="AW10" s="242">
        <f t="shared" si="17"/>
        <v>0</v>
      </c>
      <c r="AX10" s="242"/>
      <c r="AY10" s="241"/>
      <c r="AZ10" s="242">
        <f t="shared" si="18"/>
        <v>0</v>
      </c>
      <c r="BA10" s="242">
        <v>133000</v>
      </c>
      <c r="BB10" s="241"/>
      <c r="BC10" s="242">
        <f t="shared" si="19"/>
        <v>133000</v>
      </c>
      <c r="BD10" s="242"/>
      <c r="BE10" s="241"/>
      <c r="BF10" s="242">
        <f t="shared" si="20"/>
        <v>0</v>
      </c>
      <c r="BG10" s="242">
        <f t="shared" si="21"/>
        <v>288000</v>
      </c>
      <c r="BH10" s="242"/>
      <c r="BI10" s="242">
        <f t="shared" si="22"/>
        <v>288000</v>
      </c>
      <c r="BJ10" s="242">
        <f t="shared" si="23"/>
        <v>0</v>
      </c>
      <c r="BK10" s="242"/>
      <c r="BL10" s="242">
        <f t="shared" si="24"/>
        <v>288000</v>
      </c>
      <c r="BM10" s="242"/>
      <c r="BN10" s="241"/>
      <c r="BO10" s="242">
        <f t="shared" si="25"/>
        <v>0</v>
      </c>
      <c r="BP10" s="241"/>
      <c r="BQ10" s="241"/>
      <c r="BR10" s="242">
        <f t="shared" si="26"/>
        <v>0</v>
      </c>
      <c r="BS10" s="241"/>
      <c r="BT10" s="218">
        <v>610000</v>
      </c>
      <c r="BU10" s="232"/>
    </row>
    <row r="11" spans="1:73">
      <c r="A11" s="218">
        <f t="shared" si="27"/>
        <v>5</v>
      </c>
      <c r="B11" s="218">
        <v>1507</v>
      </c>
      <c r="C11" s="218" t="s">
        <v>99</v>
      </c>
      <c r="D11" s="230">
        <v>1600000</v>
      </c>
      <c r="E11" s="230">
        <v>1600000</v>
      </c>
      <c r="F11" s="230">
        <f t="shared" si="2"/>
        <v>0</v>
      </c>
      <c r="G11" s="230">
        <v>1600000</v>
      </c>
      <c r="H11" s="230">
        <v>1473324.49</v>
      </c>
      <c r="I11" s="230">
        <v>26269.17</v>
      </c>
      <c r="J11" s="230"/>
      <c r="K11" s="230">
        <f t="shared" si="3"/>
        <v>26269.17</v>
      </c>
      <c r="L11" s="230">
        <f t="shared" si="4"/>
        <v>1499593.66</v>
      </c>
      <c r="M11" s="230">
        <f t="shared" si="8"/>
        <v>100406.34000000008</v>
      </c>
      <c r="N11" s="230"/>
      <c r="O11" s="230">
        <f t="shared" si="0"/>
        <v>0</v>
      </c>
      <c r="P11" s="230">
        <f t="shared" si="5"/>
        <v>100406.34000000008</v>
      </c>
      <c r="Q11" s="230"/>
      <c r="R11" s="230"/>
      <c r="S11" s="230">
        <f t="shared" si="6"/>
        <v>0</v>
      </c>
      <c r="T11" s="230">
        <f t="shared" si="7"/>
        <v>0</v>
      </c>
      <c r="U11" s="230">
        <f t="shared" si="1"/>
        <v>0</v>
      </c>
      <c r="V11" s="230"/>
      <c r="W11" s="230">
        <f t="shared" si="9"/>
        <v>0</v>
      </c>
      <c r="X11" s="230"/>
      <c r="Y11" s="218"/>
      <c r="Z11" s="13"/>
      <c r="AA11" s="13"/>
      <c r="AB11" s="543">
        <f t="shared" si="10"/>
        <v>0</v>
      </c>
      <c r="AC11" s="13"/>
      <c r="AD11" s="13"/>
      <c r="AE11" s="242">
        <f t="shared" si="11"/>
        <v>0</v>
      </c>
      <c r="AF11" s="13"/>
      <c r="AG11" s="13"/>
      <c r="AH11" s="242">
        <f t="shared" si="12"/>
        <v>0</v>
      </c>
      <c r="AI11" s="13"/>
      <c r="AJ11" s="13"/>
      <c r="AK11" s="242">
        <f t="shared" si="13"/>
        <v>0</v>
      </c>
      <c r="AL11" s="13"/>
      <c r="AM11" s="13"/>
      <c r="AN11" s="242">
        <f t="shared" si="14"/>
        <v>0</v>
      </c>
      <c r="AO11" s="13"/>
      <c r="AP11" s="13"/>
      <c r="AQ11" s="242">
        <f t="shared" si="15"/>
        <v>0</v>
      </c>
      <c r="AR11" s="13"/>
      <c r="AS11" s="13"/>
      <c r="AT11" s="242">
        <f t="shared" si="16"/>
        <v>0</v>
      </c>
      <c r="AU11" s="13"/>
      <c r="AV11" s="13"/>
      <c r="AW11" s="242">
        <f t="shared" si="17"/>
        <v>0</v>
      </c>
      <c r="AX11" s="13"/>
      <c r="AY11" s="13"/>
      <c r="AZ11" s="242">
        <f t="shared" si="18"/>
        <v>0</v>
      </c>
      <c r="BA11" s="13"/>
      <c r="BB11" s="13"/>
      <c r="BC11" s="242">
        <f t="shared" si="19"/>
        <v>0</v>
      </c>
      <c r="BD11" s="13"/>
      <c r="BE11" s="13"/>
      <c r="BF11" s="242">
        <f t="shared" si="20"/>
        <v>0</v>
      </c>
      <c r="BG11" s="242">
        <f t="shared" si="21"/>
        <v>0</v>
      </c>
      <c r="BH11" s="242"/>
      <c r="BI11" s="242">
        <f t="shared" si="22"/>
        <v>0</v>
      </c>
      <c r="BJ11" s="242">
        <f t="shared" si="23"/>
        <v>0</v>
      </c>
      <c r="BK11" s="242"/>
      <c r="BL11" s="242">
        <f t="shared" si="24"/>
        <v>0</v>
      </c>
      <c r="BM11" s="242"/>
      <c r="BN11" s="241"/>
      <c r="BO11" s="242">
        <f t="shared" si="25"/>
        <v>0</v>
      </c>
      <c r="BP11" s="241"/>
      <c r="BQ11" s="241"/>
      <c r="BR11" s="242">
        <f t="shared" si="26"/>
        <v>0</v>
      </c>
      <c r="BS11" s="241"/>
      <c r="BT11" s="218">
        <v>722000</v>
      </c>
      <c r="BU11" s="232"/>
    </row>
    <row r="12" spans="1:73" ht="30">
      <c r="A12" s="218">
        <f t="shared" si="27"/>
        <v>6</v>
      </c>
      <c r="B12" s="218">
        <v>1647</v>
      </c>
      <c r="C12" s="218" t="s">
        <v>773</v>
      </c>
      <c r="D12" s="230">
        <v>4700000</v>
      </c>
      <c r="E12" s="230">
        <v>4700000</v>
      </c>
      <c r="F12" s="230">
        <f t="shared" si="2"/>
        <v>0</v>
      </c>
      <c r="G12" s="230">
        <v>1450000</v>
      </c>
      <c r="H12" s="230">
        <f>1310747.05+66529</f>
        <v>1377276.05</v>
      </c>
      <c r="I12" s="230">
        <v>40173.67</v>
      </c>
      <c r="J12" s="230"/>
      <c r="K12" s="230">
        <f t="shared" si="3"/>
        <v>40173.67</v>
      </c>
      <c r="L12" s="230">
        <f t="shared" si="4"/>
        <v>1417449.72</v>
      </c>
      <c r="M12" s="230">
        <f t="shared" si="8"/>
        <v>1282550.28</v>
      </c>
      <c r="N12" s="230">
        <v>1250000</v>
      </c>
      <c r="O12" s="230">
        <f t="shared" si="0"/>
        <v>750000.00000000023</v>
      </c>
      <c r="P12" s="230">
        <f t="shared" si="5"/>
        <v>32550.280000000028</v>
      </c>
      <c r="Q12" s="230"/>
      <c r="R12" s="230">
        <f>1000000+250000</f>
        <v>1250000</v>
      </c>
      <c r="S12" s="230">
        <f t="shared" si="6"/>
        <v>1250000</v>
      </c>
      <c r="T12" s="230">
        <f t="shared" si="7"/>
        <v>0</v>
      </c>
      <c r="U12" s="230">
        <f t="shared" si="1"/>
        <v>1250000</v>
      </c>
      <c r="V12" s="230">
        <v>250000</v>
      </c>
      <c r="W12" s="230">
        <f t="shared" si="9"/>
        <v>1000000</v>
      </c>
      <c r="X12" s="230"/>
      <c r="Y12" s="218"/>
      <c r="Z12" s="13"/>
      <c r="AA12" s="13"/>
      <c r="AB12" s="543">
        <f t="shared" si="10"/>
        <v>0</v>
      </c>
      <c r="AC12" s="14"/>
      <c r="AD12" s="13"/>
      <c r="AE12" s="242">
        <f t="shared" si="11"/>
        <v>0</v>
      </c>
      <c r="AF12" s="14">
        <v>500000</v>
      </c>
      <c r="AG12" s="13"/>
      <c r="AH12" s="242">
        <f t="shared" si="12"/>
        <v>500000</v>
      </c>
      <c r="AI12" s="14"/>
      <c r="AJ12" s="13"/>
      <c r="AK12" s="242">
        <f t="shared" si="13"/>
        <v>0</v>
      </c>
      <c r="AL12" s="14"/>
      <c r="AM12" s="13"/>
      <c r="AN12" s="242">
        <f t="shared" si="14"/>
        <v>0</v>
      </c>
      <c r="AO12" s="14"/>
      <c r="AP12" s="13"/>
      <c r="AQ12" s="242">
        <f t="shared" si="15"/>
        <v>0</v>
      </c>
      <c r="AR12" s="14"/>
      <c r="AS12" s="13"/>
      <c r="AT12" s="242">
        <f t="shared" si="16"/>
        <v>0</v>
      </c>
      <c r="AU12" s="14"/>
      <c r="AV12" s="13"/>
      <c r="AW12" s="242">
        <f t="shared" si="17"/>
        <v>0</v>
      </c>
      <c r="AX12" s="14"/>
      <c r="AY12" s="13"/>
      <c r="AZ12" s="242">
        <f t="shared" si="18"/>
        <v>0</v>
      </c>
      <c r="BA12" s="14">
        <v>750000</v>
      </c>
      <c r="BB12" s="13"/>
      <c r="BC12" s="242">
        <f t="shared" si="19"/>
        <v>750000</v>
      </c>
      <c r="BD12" s="14"/>
      <c r="BE12" s="13"/>
      <c r="BF12" s="242">
        <f t="shared" si="20"/>
        <v>0</v>
      </c>
      <c r="BG12" s="242">
        <f t="shared" si="21"/>
        <v>1250000</v>
      </c>
      <c r="BH12" s="242"/>
      <c r="BI12" s="242">
        <f t="shared" si="22"/>
        <v>1250000</v>
      </c>
      <c r="BJ12" s="242">
        <f t="shared" si="23"/>
        <v>0</v>
      </c>
      <c r="BK12" s="242">
        <v>250000</v>
      </c>
      <c r="BL12" s="242">
        <f t="shared" si="24"/>
        <v>1000000</v>
      </c>
      <c r="BM12" s="242"/>
      <c r="BN12" s="241"/>
      <c r="BO12" s="242">
        <f t="shared" si="25"/>
        <v>0</v>
      </c>
      <c r="BP12" s="241"/>
      <c r="BQ12" s="242"/>
      <c r="BR12" s="242">
        <f t="shared" si="26"/>
        <v>0</v>
      </c>
      <c r="BS12" s="241"/>
      <c r="BT12" s="218">
        <v>810000</v>
      </c>
      <c r="BU12" s="232"/>
    </row>
    <row r="13" spans="1:73">
      <c r="A13" s="218">
        <f t="shared" si="27"/>
        <v>7</v>
      </c>
      <c r="B13" s="218">
        <v>1790</v>
      </c>
      <c r="C13" s="218" t="s">
        <v>136</v>
      </c>
      <c r="D13" s="230">
        <v>415000</v>
      </c>
      <c r="E13" s="230">
        <v>315000</v>
      </c>
      <c r="F13" s="230">
        <f t="shared" si="2"/>
        <v>100000</v>
      </c>
      <c r="G13" s="230">
        <v>315000</v>
      </c>
      <c r="H13" s="230">
        <v>176342.69</v>
      </c>
      <c r="I13" s="230">
        <f>1698.87+136958</f>
        <v>138656.87</v>
      </c>
      <c r="J13" s="230"/>
      <c r="K13" s="230">
        <f t="shared" si="3"/>
        <v>138656.87</v>
      </c>
      <c r="L13" s="230">
        <f t="shared" si="4"/>
        <v>314999.56</v>
      </c>
      <c r="M13" s="230">
        <f t="shared" si="8"/>
        <v>0.44000000000232831</v>
      </c>
      <c r="N13" s="230">
        <v>100000</v>
      </c>
      <c r="O13" s="230">
        <f t="shared" si="0"/>
        <v>0</v>
      </c>
      <c r="P13" s="230">
        <f t="shared" si="5"/>
        <v>0.44000000000232831</v>
      </c>
      <c r="Q13" s="230"/>
      <c r="R13" s="230"/>
      <c r="S13" s="230">
        <f t="shared" si="6"/>
        <v>0</v>
      </c>
      <c r="T13" s="230">
        <f t="shared" si="7"/>
        <v>0</v>
      </c>
      <c r="U13" s="230">
        <f t="shared" si="1"/>
        <v>100000</v>
      </c>
      <c r="V13" s="230"/>
      <c r="W13" s="230">
        <f t="shared" si="9"/>
        <v>100000</v>
      </c>
      <c r="X13" s="230"/>
      <c r="Y13" s="218"/>
      <c r="Z13" s="13"/>
      <c r="AA13" s="13"/>
      <c r="AB13" s="543">
        <f t="shared" si="10"/>
        <v>0</v>
      </c>
      <c r="AC13" s="242"/>
      <c r="AD13" s="13"/>
      <c r="AE13" s="242">
        <f t="shared" si="11"/>
        <v>0</v>
      </c>
      <c r="AF13" s="242">
        <v>70000</v>
      </c>
      <c r="AG13" s="13"/>
      <c r="AH13" s="242">
        <f t="shared" si="12"/>
        <v>70000</v>
      </c>
      <c r="AI13" s="242"/>
      <c r="AJ13" s="13"/>
      <c r="AK13" s="242">
        <f t="shared" si="13"/>
        <v>0</v>
      </c>
      <c r="AL13" s="242"/>
      <c r="AM13" s="13"/>
      <c r="AN13" s="242">
        <f t="shared" si="14"/>
        <v>0</v>
      </c>
      <c r="AO13" s="242"/>
      <c r="AP13" s="13"/>
      <c r="AQ13" s="242">
        <f t="shared" si="15"/>
        <v>0</v>
      </c>
      <c r="AR13" s="242"/>
      <c r="AS13" s="13"/>
      <c r="AT13" s="242">
        <f t="shared" si="16"/>
        <v>0</v>
      </c>
      <c r="AU13" s="242"/>
      <c r="AV13" s="13"/>
      <c r="AW13" s="242">
        <f t="shared" si="17"/>
        <v>0</v>
      </c>
      <c r="AX13" s="242"/>
      <c r="AY13" s="13"/>
      <c r="AZ13" s="242">
        <f t="shared" si="18"/>
        <v>0</v>
      </c>
      <c r="BA13" s="242">
        <v>30000</v>
      </c>
      <c r="BB13" s="13"/>
      <c r="BC13" s="242">
        <f t="shared" si="19"/>
        <v>30000</v>
      </c>
      <c r="BD13" s="242"/>
      <c r="BE13" s="13"/>
      <c r="BF13" s="242">
        <f t="shared" si="20"/>
        <v>0</v>
      </c>
      <c r="BG13" s="242">
        <f t="shared" si="21"/>
        <v>100000</v>
      </c>
      <c r="BH13" s="242"/>
      <c r="BI13" s="242">
        <f t="shared" si="22"/>
        <v>100000</v>
      </c>
      <c r="BJ13" s="242">
        <f t="shared" si="23"/>
        <v>0</v>
      </c>
      <c r="BK13" s="242"/>
      <c r="BL13" s="242">
        <f t="shared" si="24"/>
        <v>100000</v>
      </c>
      <c r="BM13" s="242"/>
      <c r="BN13" s="241"/>
      <c r="BO13" s="242">
        <f t="shared" si="25"/>
        <v>0</v>
      </c>
      <c r="BP13" s="241"/>
      <c r="BQ13" s="242"/>
      <c r="BR13" s="242">
        <f t="shared" si="26"/>
        <v>0</v>
      </c>
      <c r="BS13" s="241"/>
      <c r="BT13" s="218">
        <v>810000</v>
      </c>
      <c r="BU13" s="232"/>
    </row>
    <row r="14" spans="1:73" ht="30">
      <c r="A14" s="218">
        <f t="shared" si="27"/>
        <v>8</v>
      </c>
      <c r="B14" s="545">
        <v>1802</v>
      </c>
      <c r="C14" s="545" t="s">
        <v>774</v>
      </c>
      <c r="D14" s="230">
        <v>2650000</v>
      </c>
      <c r="E14" s="230">
        <v>2650000</v>
      </c>
      <c r="F14" s="230">
        <f t="shared" si="2"/>
        <v>0</v>
      </c>
      <c r="G14" s="230">
        <v>0</v>
      </c>
      <c r="H14" s="230">
        <v>0</v>
      </c>
      <c r="I14" s="230"/>
      <c r="J14" s="230"/>
      <c r="K14" s="230">
        <f t="shared" si="3"/>
        <v>0</v>
      </c>
      <c r="L14" s="230">
        <f t="shared" si="4"/>
        <v>0</v>
      </c>
      <c r="M14" s="230">
        <f t="shared" si="8"/>
        <v>2650000</v>
      </c>
      <c r="N14" s="230"/>
      <c r="O14" s="230">
        <f t="shared" si="0"/>
        <v>0</v>
      </c>
      <c r="P14" s="230">
        <f t="shared" si="5"/>
        <v>0</v>
      </c>
      <c r="Q14" s="230">
        <v>2650000</v>
      </c>
      <c r="R14" s="230"/>
      <c r="S14" s="230">
        <f t="shared" si="6"/>
        <v>2650000</v>
      </c>
      <c r="T14" s="230">
        <f t="shared" si="7"/>
        <v>0</v>
      </c>
      <c r="U14" s="230">
        <f t="shared" si="1"/>
        <v>0</v>
      </c>
      <c r="V14" s="230"/>
      <c r="W14" s="230">
        <f t="shared" si="9"/>
        <v>0</v>
      </c>
      <c r="X14" s="230"/>
      <c r="Y14" s="218"/>
      <c r="Z14" s="241"/>
      <c r="AA14" s="241"/>
      <c r="AB14" s="543">
        <f t="shared" si="10"/>
        <v>0</v>
      </c>
      <c r="AC14" s="241"/>
      <c r="AD14" s="241"/>
      <c r="AE14" s="242">
        <f t="shared" si="11"/>
        <v>0</v>
      </c>
      <c r="AF14" s="241"/>
      <c r="AG14" s="241"/>
      <c r="AH14" s="242">
        <f t="shared" si="12"/>
        <v>0</v>
      </c>
      <c r="AI14" s="241"/>
      <c r="AJ14" s="241"/>
      <c r="AK14" s="242">
        <f t="shared" si="13"/>
        <v>0</v>
      </c>
      <c r="AL14" s="241"/>
      <c r="AM14" s="241"/>
      <c r="AN14" s="242">
        <f t="shared" si="14"/>
        <v>0</v>
      </c>
      <c r="AO14" s="241"/>
      <c r="AP14" s="241"/>
      <c r="AQ14" s="242">
        <f t="shared" si="15"/>
        <v>0</v>
      </c>
      <c r="AR14" s="241"/>
      <c r="AS14" s="241"/>
      <c r="AT14" s="242">
        <f t="shared" si="16"/>
        <v>0</v>
      </c>
      <c r="AU14" s="241"/>
      <c r="AV14" s="241"/>
      <c r="AW14" s="242">
        <f t="shared" si="17"/>
        <v>0</v>
      </c>
      <c r="AX14" s="241"/>
      <c r="AY14" s="241"/>
      <c r="AZ14" s="242">
        <f t="shared" si="18"/>
        <v>0</v>
      </c>
      <c r="BA14" s="241"/>
      <c r="BB14" s="241"/>
      <c r="BC14" s="242">
        <f t="shared" si="19"/>
        <v>0</v>
      </c>
      <c r="BD14" s="241"/>
      <c r="BE14" s="241"/>
      <c r="BF14" s="242">
        <f t="shared" si="20"/>
        <v>0</v>
      </c>
      <c r="BG14" s="242">
        <f t="shared" si="21"/>
        <v>0</v>
      </c>
      <c r="BH14" s="242"/>
      <c r="BI14" s="242">
        <f t="shared" si="22"/>
        <v>0</v>
      </c>
      <c r="BJ14" s="242">
        <f t="shared" si="23"/>
        <v>0</v>
      </c>
      <c r="BK14" s="242"/>
      <c r="BL14" s="242">
        <f t="shared" si="24"/>
        <v>0</v>
      </c>
      <c r="BM14" s="242"/>
      <c r="BN14" s="241"/>
      <c r="BO14" s="242">
        <f t="shared" si="25"/>
        <v>0</v>
      </c>
      <c r="BP14" s="241"/>
      <c r="BQ14" s="242"/>
      <c r="BR14" s="242">
        <f t="shared" si="26"/>
        <v>0</v>
      </c>
      <c r="BS14" s="241"/>
      <c r="BT14" s="218">
        <v>810000</v>
      </c>
      <c r="BU14" s="232"/>
    </row>
    <row r="15" spans="1:73">
      <c r="A15" s="218">
        <f t="shared" si="27"/>
        <v>9</v>
      </c>
      <c r="B15" s="218">
        <v>1871</v>
      </c>
      <c r="C15" s="218" t="s">
        <v>331</v>
      </c>
      <c r="D15" s="230">
        <v>11000000</v>
      </c>
      <c r="E15" s="230">
        <v>11000000</v>
      </c>
      <c r="F15" s="230">
        <f t="shared" si="2"/>
        <v>0</v>
      </c>
      <c r="G15" s="230">
        <v>0</v>
      </c>
      <c r="H15" s="230">
        <v>0</v>
      </c>
      <c r="I15" s="230"/>
      <c r="J15" s="230"/>
      <c r="K15" s="230">
        <f t="shared" si="3"/>
        <v>0</v>
      </c>
      <c r="L15" s="230">
        <f t="shared" si="4"/>
        <v>0</v>
      </c>
      <c r="M15" s="230">
        <f t="shared" si="8"/>
        <v>0</v>
      </c>
      <c r="N15" s="230">
        <v>1500000</v>
      </c>
      <c r="O15" s="230">
        <f t="shared" si="0"/>
        <v>9500000</v>
      </c>
      <c r="P15" s="230">
        <f t="shared" si="5"/>
        <v>0</v>
      </c>
      <c r="Q15" s="230"/>
      <c r="R15" s="230"/>
      <c r="S15" s="230">
        <f t="shared" si="6"/>
        <v>0</v>
      </c>
      <c r="T15" s="230">
        <f t="shared" si="7"/>
        <v>0</v>
      </c>
      <c r="U15" s="230">
        <f t="shared" si="1"/>
        <v>1500000</v>
      </c>
      <c r="V15" s="230">
        <v>1500000</v>
      </c>
      <c r="W15" s="230">
        <f t="shared" si="9"/>
        <v>0</v>
      </c>
      <c r="X15" s="230"/>
      <c r="Y15" s="218"/>
      <c r="Z15" s="13"/>
      <c r="AA15" s="13"/>
      <c r="AB15" s="543">
        <f t="shared" si="10"/>
        <v>0</v>
      </c>
      <c r="AC15" s="13"/>
      <c r="AD15" s="13"/>
      <c r="AE15" s="242">
        <f t="shared" si="11"/>
        <v>0</v>
      </c>
      <c r="AF15" s="13"/>
      <c r="AG15" s="13"/>
      <c r="AH15" s="242">
        <f t="shared" si="12"/>
        <v>0</v>
      </c>
      <c r="AI15" s="13"/>
      <c r="AJ15" s="13"/>
      <c r="AK15" s="242">
        <f t="shared" si="13"/>
        <v>0</v>
      </c>
      <c r="AL15" s="13"/>
      <c r="AM15" s="13"/>
      <c r="AN15" s="242">
        <f t="shared" si="14"/>
        <v>0</v>
      </c>
      <c r="AO15" s="13"/>
      <c r="AP15" s="13"/>
      <c r="AQ15" s="242">
        <f t="shared" si="15"/>
        <v>0</v>
      </c>
      <c r="AR15" s="13"/>
      <c r="AS15" s="13"/>
      <c r="AT15" s="242">
        <f t="shared" si="16"/>
        <v>0</v>
      </c>
      <c r="AU15" s="13"/>
      <c r="AV15" s="13"/>
      <c r="AW15" s="242">
        <f t="shared" si="17"/>
        <v>0</v>
      </c>
      <c r="AX15" s="13"/>
      <c r="AY15" s="13"/>
      <c r="AZ15" s="242">
        <f t="shared" si="18"/>
        <v>0</v>
      </c>
      <c r="BA15" s="13"/>
      <c r="BB15" s="13"/>
      <c r="BC15" s="242">
        <f t="shared" si="19"/>
        <v>0</v>
      </c>
      <c r="BD15" s="13"/>
      <c r="BE15" s="13"/>
      <c r="BF15" s="242">
        <f t="shared" si="20"/>
        <v>0</v>
      </c>
      <c r="BG15" s="242">
        <f t="shared" si="21"/>
        <v>0</v>
      </c>
      <c r="BH15" s="242"/>
      <c r="BI15" s="242">
        <f t="shared" si="22"/>
        <v>0</v>
      </c>
      <c r="BJ15" s="242">
        <f t="shared" si="23"/>
        <v>1500000</v>
      </c>
      <c r="BK15" s="242"/>
      <c r="BL15" s="242">
        <f t="shared" si="24"/>
        <v>0</v>
      </c>
      <c r="BM15" s="242"/>
      <c r="BN15" s="241"/>
      <c r="BO15" s="242">
        <f t="shared" si="25"/>
        <v>0</v>
      </c>
      <c r="BP15" s="241"/>
      <c r="BQ15" s="242">
        <v>1500000</v>
      </c>
      <c r="BR15" s="242">
        <f t="shared" si="26"/>
        <v>0</v>
      </c>
      <c r="BS15" s="241"/>
      <c r="BT15" s="218">
        <v>760000</v>
      </c>
      <c r="BU15" s="232"/>
    </row>
    <row r="16" spans="1:73" ht="30">
      <c r="A16" s="218">
        <f>A15+1</f>
        <v>10</v>
      </c>
      <c r="B16" s="218">
        <v>1982</v>
      </c>
      <c r="C16" s="218" t="s">
        <v>374</v>
      </c>
      <c r="D16" s="230">
        <v>1500000</v>
      </c>
      <c r="E16" s="230"/>
      <c r="F16" s="230">
        <f t="shared" si="2"/>
        <v>1500000</v>
      </c>
      <c r="G16" s="230"/>
      <c r="H16" s="230"/>
      <c r="I16" s="230"/>
      <c r="J16" s="230"/>
      <c r="K16" s="230">
        <f>SUM(I16:J16)</f>
        <v>0</v>
      </c>
      <c r="L16" s="230">
        <f t="shared" si="4"/>
        <v>0</v>
      </c>
      <c r="M16" s="230">
        <f t="shared" si="8"/>
        <v>0</v>
      </c>
      <c r="N16" s="230">
        <v>1500000</v>
      </c>
      <c r="O16" s="230">
        <f t="shared" si="0"/>
        <v>0</v>
      </c>
      <c r="P16" s="230">
        <f t="shared" si="5"/>
        <v>0</v>
      </c>
      <c r="Q16" s="230"/>
      <c r="R16" s="230"/>
      <c r="S16" s="230">
        <f t="shared" si="6"/>
        <v>0</v>
      </c>
      <c r="T16" s="230">
        <f t="shared" si="7"/>
        <v>0</v>
      </c>
      <c r="U16" s="230">
        <f t="shared" si="1"/>
        <v>1500000</v>
      </c>
      <c r="V16" s="230">
        <v>750000</v>
      </c>
      <c r="W16" s="230">
        <f t="shared" si="9"/>
        <v>750000</v>
      </c>
      <c r="X16" s="230"/>
      <c r="Y16" s="218"/>
      <c r="Z16" s="13"/>
      <c r="AA16" s="13"/>
      <c r="AB16" s="543">
        <f t="shared" si="10"/>
        <v>0</v>
      </c>
      <c r="AC16" s="14"/>
      <c r="AD16" s="13"/>
      <c r="AE16" s="242">
        <f t="shared" si="11"/>
        <v>0</v>
      </c>
      <c r="AF16" s="14">
        <v>100000</v>
      </c>
      <c r="AG16" s="13"/>
      <c r="AH16" s="242">
        <f t="shared" si="12"/>
        <v>100000</v>
      </c>
      <c r="AI16" s="14"/>
      <c r="AJ16" s="13"/>
      <c r="AK16" s="242">
        <f t="shared" si="13"/>
        <v>0</v>
      </c>
      <c r="AL16" s="14"/>
      <c r="AM16" s="13"/>
      <c r="AN16" s="242">
        <f t="shared" si="14"/>
        <v>0</v>
      </c>
      <c r="AO16" s="14"/>
      <c r="AP16" s="13"/>
      <c r="AQ16" s="242">
        <f t="shared" si="15"/>
        <v>0</v>
      </c>
      <c r="AR16" s="14"/>
      <c r="AS16" s="13"/>
      <c r="AT16" s="242">
        <f t="shared" si="16"/>
        <v>0</v>
      </c>
      <c r="AU16" s="14"/>
      <c r="AV16" s="13"/>
      <c r="AW16" s="242">
        <f t="shared" si="17"/>
        <v>0</v>
      </c>
      <c r="AX16" s="14"/>
      <c r="AY16" s="13"/>
      <c r="AZ16" s="242">
        <f t="shared" si="18"/>
        <v>0</v>
      </c>
      <c r="BA16" s="14"/>
      <c r="BB16" s="13"/>
      <c r="BC16" s="242">
        <f t="shared" si="19"/>
        <v>0</v>
      </c>
      <c r="BD16" s="14"/>
      <c r="BE16" s="13"/>
      <c r="BF16" s="242">
        <f t="shared" si="20"/>
        <v>0</v>
      </c>
      <c r="BG16" s="242">
        <f t="shared" si="21"/>
        <v>100000</v>
      </c>
      <c r="BH16" s="242"/>
      <c r="BI16" s="242">
        <f t="shared" si="22"/>
        <v>100000</v>
      </c>
      <c r="BJ16" s="242">
        <f t="shared" si="23"/>
        <v>1400000</v>
      </c>
      <c r="BK16" s="242">
        <v>50000</v>
      </c>
      <c r="BL16" s="242">
        <f t="shared" si="24"/>
        <v>50000</v>
      </c>
      <c r="BM16" s="242"/>
      <c r="BN16" s="241"/>
      <c r="BO16" s="242">
        <f t="shared" si="25"/>
        <v>0</v>
      </c>
      <c r="BP16" s="241"/>
      <c r="BQ16" s="242">
        <v>700000</v>
      </c>
      <c r="BR16" s="242">
        <f t="shared" si="26"/>
        <v>700000</v>
      </c>
      <c r="BS16" s="241"/>
      <c r="BT16" s="218">
        <v>722000</v>
      </c>
      <c r="BU16" s="232"/>
    </row>
    <row r="17" spans="1:73" ht="15.75">
      <c r="A17" s="234">
        <f>A16</f>
        <v>10</v>
      </c>
      <c r="B17" s="234" t="s">
        <v>82</v>
      </c>
      <c r="C17" s="234" t="s">
        <v>137</v>
      </c>
      <c r="D17" s="235">
        <f t="shared" ref="D17:BS17" si="28">SUM(D7:D16)</f>
        <v>37923842</v>
      </c>
      <c r="E17" s="235">
        <f t="shared" si="28"/>
        <v>36323842</v>
      </c>
      <c r="F17" s="235">
        <f t="shared" si="28"/>
        <v>1600000</v>
      </c>
      <c r="G17" s="235">
        <f t="shared" si="28"/>
        <v>12963842</v>
      </c>
      <c r="H17" s="235">
        <f t="shared" si="28"/>
        <v>12011098.16</v>
      </c>
      <c r="I17" s="235">
        <f t="shared" si="28"/>
        <v>239762.62</v>
      </c>
      <c r="J17" s="235">
        <f t="shared" si="28"/>
        <v>487200</v>
      </c>
      <c r="K17" s="235">
        <f t="shared" si="28"/>
        <v>726962.62</v>
      </c>
      <c r="L17" s="235">
        <f t="shared" si="28"/>
        <v>12738060.780000001</v>
      </c>
      <c r="M17" s="235">
        <f t="shared" si="28"/>
        <v>4073780.9800000004</v>
      </c>
      <c r="N17" s="235">
        <f t="shared" si="28"/>
        <v>4750000</v>
      </c>
      <c r="O17" s="235">
        <f t="shared" si="28"/>
        <v>16362000.24</v>
      </c>
      <c r="P17" s="235">
        <f t="shared" si="28"/>
        <v>225781.2200000005</v>
      </c>
      <c r="Q17" s="235">
        <f t="shared" si="28"/>
        <v>2650000</v>
      </c>
      <c r="R17" s="235">
        <f t="shared" si="28"/>
        <v>1250000</v>
      </c>
      <c r="S17" s="235">
        <f t="shared" si="28"/>
        <v>3900000</v>
      </c>
      <c r="T17" s="235">
        <f t="shared" si="28"/>
        <v>52000.239999999991</v>
      </c>
      <c r="U17" s="235">
        <f t="shared" si="28"/>
        <v>4697999.76</v>
      </c>
      <c r="V17" s="235">
        <f t="shared" si="28"/>
        <v>2500000</v>
      </c>
      <c r="W17" s="235">
        <f t="shared" si="28"/>
        <v>2197999.7599999998</v>
      </c>
      <c r="X17" s="235">
        <f t="shared" si="28"/>
        <v>0</v>
      </c>
      <c r="Y17" s="235">
        <f t="shared" si="28"/>
        <v>0</v>
      </c>
      <c r="Z17" s="235">
        <f t="shared" si="28"/>
        <v>0</v>
      </c>
      <c r="AA17" s="235">
        <f t="shared" si="28"/>
        <v>0</v>
      </c>
      <c r="AB17" s="546">
        <f t="shared" si="28"/>
        <v>0</v>
      </c>
      <c r="AC17" s="235">
        <f t="shared" si="28"/>
        <v>0</v>
      </c>
      <c r="AD17" s="235">
        <f t="shared" si="28"/>
        <v>0</v>
      </c>
      <c r="AE17" s="235">
        <f t="shared" si="28"/>
        <v>0</v>
      </c>
      <c r="AF17" s="235">
        <f t="shared" si="28"/>
        <v>755000</v>
      </c>
      <c r="AG17" s="235">
        <f t="shared" si="28"/>
        <v>0</v>
      </c>
      <c r="AH17" s="235">
        <f t="shared" si="28"/>
        <v>755000</v>
      </c>
      <c r="AI17" s="235">
        <f t="shared" si="28"/>
        <v>0</v>
      </c>
      <c r="AJ17" s="235">
        <f t="shared" si="28"/>
        <v>0</v>
      </c>
      <c r="AK17" s="235">
        <f t="shared" si="28"/>
        <v>0</v>
      </c>
      <c r="AL17" s="235">
        <f t="shared" si="28"/>
        <v>70000</v>
      </c>
      <c r="AM17" s="235">
        <f t="shared" si="28"/>
        <v>0</v>
      </c>
      <c r="AN17" s="235">
        <f t="shared" si="28"/>
        <v>70000</v>
      </c>
      <c r="AO17" s="235">
        <f t="shared" si="28"/>
        <v>0</v>
      </c>
      <c r="AP17" s="235">
        <f t="shared" si="28"/>
        <v>0</v>
      </c>
      <c r="AQ17" s="235">
        <f t="shared" si="28"/>
        <v>0</v>
      </c>
      <c r="AR17" s="235">
        <f t="shared" si="28"/>
        <v>0</v>
      </c>
      <c r="AS17" s="235">
        <f t="shared" si="28"/>
        <v>0</v>
      </c>
      <c r="AT17" s="235">
        <f t="shared" si="28"/>
        <v>0</v>
      </c>
      <c r="AU17" s="235">
        <f t="shared" si="28"/>
        <v>0</v>
      </c>
      <c r="AV17" s="235">
        <f t="shared" si="28"/>
        <v>0</v>
      </c>
      <c r="AW17" s="235">
        <f t="shared" si="28"/>
        <v>0</v>
      </c>
      <c r="AX17" s="235">
        <f t="shared" si="28"/>
        <v>0</v>
      </c>
      <c r="AY17" s="235">
        <f t="shared" si="28"/>
        <v>0</v>
      </c>
      <c r="AZ17" s="235">
        <f t="shared" si="28"/>
        <v>0</v>
      </c>
      <c r="BA17" s="235">
        <f t="shared" si="28"/>
        <v>913000</v>
      </c>
      <c r="BB17" s="235">
        <f t="shared" si="28"/>
        <v>0</v>
      </c>
      <c r="BC17" s="235">
        <f t="shared" si="28"/>
        <v>913000</v>
      </c>
      <c r="BD17" s="235">
        <f t="shared" si="28"/>
        <v>60000</v>
      </c>
      <c r="BE17" s="235">
        <f t="shared" si="28"/>
        <v>0</v>
      </c>
      <c r="BF17" s="235">
        <f t="shared" si="28"/>
        <v>60000</v>
      </c>
      <c r="BG17" s="235">
        <f t="shared" si="28"/>
        <v>1798000</v>
      </c>
      <c r="BH17" s="235">
        <f t="shared" si="28"/>
        <v>0</v>
      </c>
      <c r="BI17" s="235">
        <f t="shared" si="28"/>
        <v>1798000</v>
      </c>
      <c r="BJ17" s="235">
        <f t="shared" si="28"/>
        <v>2899999.76</v>
      </c>
      <c r="BK17" s="235">
        <f t="shared" si="28"/>
        <v>300000</v>
      </c>
      <c r="BL17" s="235">
        <f t="shared" si="28"/>
        <v>1498000</v>
      </c>
      <c r="BM17" s="235">
        <f t="shared" si="28"/>
        <v>0</v>
      </c>
      <c r="BN17" s="235">
        <f t="shared" si="28"/>
        <v>0</v>
      </c>
      <c r="BO17" s="235">
        <f t="shared" si="28"/>
        <v>0</v>
      </c>
      <c r="BP17" s="235">
        <f t="shared" si="28"/>
        <v>0</v>
      </c>
      <c r="BQ17" s="235">
        <f t="shared" si="28"/>
        <v>2200000</v>
      </c>
      <c r="BR17" s="235">
        <f t="shared" si="28"/>
        <v>699999.76</v>
      </c>
      <c r="BS17" s="235">
        <f t="shared" si="28"/>
        <v>0</v>
      </c>
      <c r="BT17" s="234"/>
      <c r="BU17" s="237"/>
    </row>
    <row r="18" spans="1:73">
      <c r="A18" s="218"/>
      <c r="B18" s="218"/>
      <c r="C18" s="218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>
        <f>D18-L18-M18-N18</f>
        <v>0</v>
      </c>
      <c r="P18" s="230"/>
      <c r="Q18" s="230"/>
      <c r="R18" s="230"/>
      <c r="S18" s="230"/>
      <c r="T18" s="230"/>
      <c r="U18" s="230"/>
      <c r="V18" s="230"/>
      <c r="W18" s="230"/>
      <c r="X18" s="230"/>
      <c r="Y18" s="218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18"/>
      <c r="BU18" s="232"/>
    </row>
    <row r="19" spans="1:73">
      <c r="Z19" s="490"/>
      <c r="AA19" s="490"/>
      <c r="AB19" s="490"/>
      <c r="AC19" s="490"/>
      <c r="AD19" s="490"/>
      <c r="AE19" s="490"/>
      <c r="AF19" s="490"/>
      <c r="AG19" s="490"/>
      <c r="AH19" s="490"/>
      <c r="AI19" s="490"/>
      <c r="AJ19" s="490"/>
      <c r="AK19" s="490"/>
      <c r="AL19" s="490"/>
      <c r="AM19" s="490"/>
      <c r="AN19" s="490"/>
      <c r="AO19" s="490"/>
      <c r="AP19" s="490"/>
      <c r="AQ19" s="490"/>
      <c r="AR19" s="490"/>
      <c r="AS19" s="490"/>
      <c r="AT19" s="490"/>
      <c r="AU19" s="490"/>
      <c r="AV19" s="490"/>
      <c r="AW19" s="490"/>
      <c r="AX19" s="490"/>
      <c r="AY19" s="490"/>
      <c r="AZ19" s="490"/>
      <c r="BA19" s="490"/>
      <c r="BB19" s="490"/>
      <c r="BC19" s="490"/>
      <c r="BD19" s="490"/>
      <c r="BE19" s="490"/>
      <c r="BF19" s="490"/>
      <c r="BG19" s="490"/>
      <c r="BH19" s="490"/>
      <c r="BI19" s="490"/>
      <c r="BJ19" s="490"/>
      <c r="BK19" s="490"/>
      <c r="BL19" s="490"/>
      <c r="BM19" s="490"/>
      <c r="BN19" s="490"/>
      <c r="BO19" s="490"/>
      <c r="BP19" s="490"/>
      <c r="BQ19" s="490"/>
      <c r="BR19" s="490"/>
      <c r="BS19" s="490"/>
    </row>
    <row r="20" spans="1:73" hidden="1"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0"/>
      <c r="AV20" s="490"/>
      <c r="AW20" s="490"/>
      <c r="AX20" s="490"/>
      <c r="AY20" s="490"/>
      <c r="AZ20" s="490"/>
      <c r="BA20" s="490"/>
      <c r="BB20" s="490"/>
      <c r="BC20" s="490"/>
      <c r="BD20" s="490"/>
      <c r="BE20" s="490"/>
      <c r="BF20" s="490"/>
      <c r="BG20" s="490"/>
      <c r="BH20" s="490"/>
      <c r="BI20" s="490"/>
      <c r="BJ20" s="490"/>
      <c r="BK20" s="490"/>
      <c r="BL20" s="490"/>
      <c r="BM20" s="490"/>
      <c r="BN20" s="490"/>
      <c r="BO20" s="490"/>
      <c r="BP20" s="490"/>
      <c r="BQ20" s="490"/>
      <c r="BR20" s="490"/>
      <c r="BS20" s="490"/>
    </row>
    <row r="21" spans="1:73" hidden="1">
      <c r="P21" s="222" t="s">
        <v>365</v>
      </c>
      <c r="Q21" s="222" t="s">
        <v>752</v>
      </c>
      <c r="R21" s="222">
        <v>250000</v>
      </c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</row>
    <row r="22" spans="1:73" hidden="1">
      <c r="Q22" s="222" t="s">
        <v>750</v>
      </c>
      <c r="R22" s="222">
        <v>1000000</v>
      </c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0"/>
      <c r="BE22" s="490"/>
      <c r="BF22" s="490"/>
      <c r="BG22" s="490"/>
      <c r="BH22" s="490"/>
      <c r="BI22" s="490"/>
      <c r="BJ22" s="490"/>
      <c r="BK22" s="490"/>
      <c r="BL22" s="490"/>
      <c r="BM22" s="490"/>
      <c r="BN22" s="490"/>
      <c r="BO22" s="490"/>
      <c r="BP22" s="490"/>
      <c r="BQ22" s="490"/>
      <c r="BR22" s="490"/>
      <c r="BS22" s="490"/>
    </row>
    <row r="23" spans="1:73" hidden="1">
      <c r="R23" s="222">
        <f>SUM(R21:R22)</f>
        <v>1250000</v>
      </c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  <c r="BM23" s="490"/>
      <c r="BN23" s="490"/>
      <c r="BO23" s="490"/>
      <c r="BP23" s="490"/>
      <c r="BQ23" s="490"/>
      <c r="BR23" s="490"/>
      <c r="BS23" s="490"/>
    </row>
    <row r="24" spans="1:73" hidden="1"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</row>
    <row r="25" spans="1:73" hidden="1">
      <c r="P25" s="222" t="s">
        <v>365</v>
      </c>
      <c r="R25" s="222">
        <f>'[2]ריכוז תקציבים מעבר לתוכנית 31.8'!$AD$159</f>
        <v>1250000</v>
      </c>
      <c r="S25" s="222" t="s">
        <v>757</v>
      </c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:73" hidden="1">
      <c r="O26" s="222" t="s">
        <v>372</v>
      </c>
      <c r="P26" s="222" t="s">
        <v>184</v>
      </c>
      <c r="Q26" s="222">
        <f>'[2]מיחשוב '!$AY$20</f>
        <v>2650000</v>
      </c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:73" hidden="1"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:73" hidden="1">
      <c r="O28" s="222" t="s">
        <v>396</v>
      </c>
      <c r="Q28" s="222">
        <f>'[7]מיחשוב '!$BC$19</f>
        <v>2080006</v>
      </c>
      <c r="S28" s="222" t="s">
        <v>775</v>
      </c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:73" hidden="1">
      <c r="O29" s="222" t="s">
        <v>757</v>
      </c>
      <c r="Q29" s="222">
        <f>Q26-Q28</f>
        <v>569994</v>
      </c>
      <c r="S29" s="222" t="s">
        <v>775</v>
      </c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:73" hidden="1">
      <c r="A30" s="204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22">
        <f>SUM(Q28:Q29)</f>
        <v>2650000</v>
      </c>
      <c r="R30" s="204"/>
      <c r="S30" s="204"/>
      <c r="T30" s="204"/>
      <c r="U30" s="204"/>
      <c r="V30" s="204"/>
      <c r="W30" s="204"/>
      <c r="X30" s="204"/>
      <c r="Y30" s="204"/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  <c r="BT30" s="204"/>
      <c r="BU30" s="204"/>
    </row>
    <row r="31" spans="1:73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  <c r="BT31" s="204"/>
      <c r="BU31" s="204"/>
    </row>
    <row r="32" spans="1:73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  <c r="BT32" s="204"/>
      <c r="BU32" s="204"/>
    </row>
    <row r="33" spans="1:73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  <c r="BT33" s="204"/>
      <c r="BU33" s="204"/>
    </row>
    <row r="34" spans="1:73">
      <c r="A34" s="204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204"/>
      <c r="BU34" s="204"/>
    </row>
    <row r="35" spans="1:73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  <c r="BT35" s="204"/>
      <c r="BU35" s="204"/>
    </row>
    <row r="36" spans="1:73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  <c r="BT36" s="204"/>
      <c r="BU36" s="204"/>
    </row>
    <row r="37" spans="1:73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  <c r="BT37" s="204"/>
      <c r="BU37" s="204"/>
    </row>
    <row r="38" spans="1:73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  <c r="BT38" s="204"/>
      <c r="BU38" s="204"/>
    </row>
    <row r="39" spans="1:73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204"/>
      <c r="BU39" s="204"/>
    </row>
    <row r="40" spans="1:73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  <c r="BT40" s="204"/>
      <c r="BU40" s="204"/>
    </row>
    <row r="41" spans="1:73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204"/>
      <c r="BU41" s="204"/>
    </row>
    <row r="42" spans="1:73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1:73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1:73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  <c r="BT44" s="204"/>
      <c r="BU44" s="204"/>
    </row>
    <row r="45" spans="1:73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204"/>
      <c r="BU45" s="204"/>
    </row>
    <row r="46" spans="1:73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204"/>
      <c r="BU46" s="204"/>
    </row>
    <row r="47" spans="1:73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204"/>
      <c r="BU47" s="204"/>
    </row>
    <row r="48" spans="1:73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mergeCells count="25">
    <mergeCell ref="T3:W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30"/>
  <sheetViews>
    <sheetView rightToLeft="1" topLeftCell="A7" workbookViewId="0">
      <selection activeCell="T10" sqref="T10"/>
    </sheetView>
  </sheetViews>
  <sheetFormatPr defaultRowHeight="14.25"/>
  <cols>
    <col min="1" max="3" width="4.140625" style="274" customWidth="1"/>
    <col min="4" max="4" width="33" style="274" customWidth="1"/>
    <col min="5" max="8" width="12.140625" style="274" customWidth="1"/>
    <col min="9" max="9" width="7.85546875" style="274" hidden="1" customWidth="1"/>
    <col min="10" max="10" width="9.140625" style="274" hidden="1" customWidth="1"/>
    <col min="11" max="16384" width="9.140625" style="274"/>
  </cols>
  <sheetData>
    <row r="5" spans="1:16" ht="15.75">
      <c r="A5" s="276">
        <v>3.4</v>
      </c>
      <c r="C5" s="276" t="s">
        <v>569</v>
      </c>
    </row>
    <row r="6" spans="1:16" ht="16.5" thickBot="1">
      <c r="A6" s="276"/>
      <c r="H6" s="276"/>
      <c r="I6" s="276"/>
      <c r="J6" s="276"/>
      <c r="K6" s="276"/>
      <c r="N6" s="276"/>
      <c r="O6" s="276"/>
      <c r="P6" s="276"/>
    </row>
    <row r="7" spans="1:16" ht="20.100000000000001" customHeight="1">
      <c r="A7" s="276"/>
      <c r="C7" s="297" t="s">
        <v>570</v>
      </c>
      <c r="D7" s="298"/>
      <c r="E7" s="299"/>
      <c r="F7" s="300" t="s">
        <v>804</v>
      </c>
      <c r="G7" s="301" t="s">
        <v>513</v>
      </c>
      <c r="N7" s="276"/>
      <c r="O7" s="276"/>
      <c r="P7" s="276"/>
    </row>
    <row r="8" spans="1:16" ht="20.100000000000001" customHeight="1">
      <c r="A8" s="276"/>
      <c r="C8" s="302" t="s">
        <v>382</v>
      </c>
      <c r="D8" s="303"/>
      <c r="E8" s="304"/>
      <c r="F8" s="305">
        <f>'ריכוז אגפים'!$S5/1000</f>
        <v>17142</v>
      </c>
      <c r="G8" s="306">
        <v>17495</v>
      </c>
      <c r="J8" s="778">
        <f>F8/$F$22</f>
        <v>3.1916085071794123E-2</v>
      </c>
      <c r="N8" s="276"/>
      <c r="O8" s="276"/>
      <c r="P8" s="276"/>
    </row>
    <row r="9" spans="1:16" ht="20.100000000000001" customHeight="1">
      <c r="A9" s="276"/>
      <c r="C9" s="302" t="s">
        <v>572</v>
      </c>
      <c r="D9" s="308"/>
      <c r="E9" s="304"/>
      <c r="F9" s="305">
        <f>'ריכוז אגפים'!$S6/1000</f>
        <v>396380.56800000003</v>
      </c>
      <c r="G9" s="306">
        <v>331657</v>
      </c>
      <c r="J9" s="778">
        <f t="shared" ref="J9:J21" si="0">F9/$F$22</f>
        <v>0.73800699621363186</v>
      </c>
      <c r="N9" s="276"/>
      <c r="O9" s="276"/>
      <c r="P9" s="276"/>
    </row>
    <row r="10" spans="1:16" ht="20.100000000000001" customHeight="1">
      <c r="A10" s="276"/>
      <c r="C10" s="302" t="s">
        <v>198</v>
      </c>
      <c r="D10" s="303"/>
      <c r="E10" s="304"/>
      <c r="F10" s="305">
        <f>'ריכוז אגפים'!$S7/1000</f>
        <v>49542.6</v>
      </c>
      <c r="G10" s="306">
        <v>24019</v>
      </c>
      <c r="J10" s="778">
        <f t="shared" si="0"/>
        <v>9.2241619197168806E-2</v>
      </c>
      <c r="N10" s="276"/>
      <c r="O10" s="276"/>
      <c r="P10" s="276"/>
    </row>
    <row r="11" spans="1:16" ht="20.100000000000001" customHeight="1">
      <c r="A11" s="276"/>
      <c r="C11" s="302" t="s">
        <v>573</v>
      </c>
      <c r="D11" s="303"/>
      <c r="E11" s="304"/>
      <c r="F11" s="305">
        <f>'ריכוז אגפים'!$S8/1000</f>
        <v>900</v>
      </c>
      <c r="G11" s="306">
        <v>500</v>
      </c>
      <c r="J11" s="778">
        <f t="shared" si="0"/>
        <v>1.6756782501817008E-3</v>
      </c>
      <c r="N11" s="276"/>
      <c r="O11" s="276"/>
      <c r="P11" s="276"/>
    </row>
    <row r="12" spans="1:16" ht="20.100000000000001" customHeight="1">
      <c r="A12" s="276"/>
      <c r="C12" s="302" t="s">
        <v>913</v>
      </c>
      <c r="D12" s="308"/>
      <c r="E12" s="304"/>
      <c r="F12" s="305">
        <f>'ריכוז אגפים'!$S9/1000</f>
        <v>2580.1370000000002</v>
      </c>
      <c r="G12" s="306">
        <v>995</v>
      </c>
      <c r="J12" s="778">
        <f t="shared" si="0"/>
        <v>4.8038660593211812E-3</v>
      </c>
      <c r="N12" s="276"/>
      <c r="O12" s="276"/>
      <c r="P12" s="276"/>
    </row>
    <row r="13" spans="1:16" ht="20.100000000000001" customHeight="1">
      <c r="A13" s="276"/>
      <c r="C13" s="302" t="s">
        <v>509</v>
      </c>
      <c r="D13" s="308"/>
      <c r="E13" s="304"/>
      <c r="F13" s="305">
        <f>'ריכוז אגפים'!$S10/1000</f>
        <v>1480</v>
      </c>
      <c r="G13" s="306">
        <v>1260</v>
      </c>
      <c r="J13" s="778">
        <f>F13/$F$22</f>
        <v>2.7555597891876856E-3</v>
      </c>
      <c r="N13" s="276"/>
      <c r="O13" s="276"/>
      <c r="P13" s="276"/>
    </row>
    <row r="14" spans="1:16" ht="20.100000000000001" customHeight="1">
      <c r="A14" s="276"/>
      <c r="C14" s="309" t="s">
        <v>479</v>
      </c>
      <c r="D14" s="310"/>
      <c r="E14" s="311"/>
      <c r="F14" s="305">
        <f>'ריכוז אגפים'!$S11/1000</f>
        <v>20498</v>
      </c>
      <c r="G14" s="306">
        <v>14614</v>
      </c>
      <c r="J14" s="778">
        <f t="shared" si="0"/>
        <v>3.8164503080249448E-2</v>
      </c>
      <c r="N14" s="276"/>
      <c r="O14" s="276"/>
      <c r="P14" s="276"/>
    </row>
    <row r="15" spans="1:16" ht="20.100000000000001" customHeight="1">
      <c r="A15" s="276"/>
      <c r="C15" s="302" t="s">
        <v>489</v>
      </c>
      <c r="D15" s="308"/>
      <c r="E15" s="304"/>
      <c r="F15" s="305">
        <f>'ריכוז אגפים'!$S12/1000</f>
        <v>2734</v>
      </c>
      <c r="G15" s="306">
        <v>1650</v>
      </c>
      <c r="J15" s="778">
        <f t="shared" si="0"/>
        <v>5.0903381511075221E-3</v>
      </c>
      <c r="N15" s="276"/>
      <c r="O15" s="276"/>
      <c r="P15" s="276"/>
    </row>
    <row r="16" spans="1:16" ht="20.100000000000001" customHeight="1">
      <c r="A16" s="276"/>
      <c r="C16" s="302" t="s">
        <v>188</v>
      </c>
      <c r="D16" s="308"/>
      <c r="E16" s="304"/>
      <c r="F16" s="305">
        <f>'ריכוז אגפים'!$S13/1000</f>
        <v>3211.058</v>
      </c>
      <c r="G16" s="312">
        <v>-2853</v>
      </c>
      <c r="J16" s="778">
        <f t="shared" si="0"/>
        <v>5.9785556118577242E-3</v>
      </c>
      <c r="N16" s="276"/>
      <c r="O16" s="276"/>
      <c r="P16" s="276"/>
    </row>
    <row r="17" spans="1:16" ht="20.100000000000001" customHeight="1">
      <c r="A17" s="276"/>
      <c r="C17" s="302" t="s">
        <v>203</v>
      </c>
      <c r="D17" s="303"/>
      <c r="E17" s="304"/>
      <c r="F17" s="305">
        <f>'ריכוז אגפים'!$S14/1000</f>
        <v>9180</v>
      </c>
      <c r="G17" s="306">
        <v>10175</v>
      </c>
      <c r="J17" s="778">
        <f t="shared" si="0"/>
        <v>1.7091918151853347E-2</v>
      </c>
      <c r="N17" s="276"/>
      <c r="O17" s="276"/>
      <c r="P17" s="276"/>
    </row>
    <row r="18" spans="1:16" ht="20.100000000000001" customHeight="1">
      <c r="A18" s="276"/>
      <c r="C18" s="309" t="s">
        <v>574</v>
      </c>
      <c r="D18" s="310"/>
      <c r="E18" s="311"/>
      <c r="F18" s="305">
        <f>'ריכוז אגפים'!$S15/1000</f>
        <v>9860</v>
      </c>
      <c r="G18" s="306">
        <v>4698</v>
      </c>
      <c r="J18" s="778">
        <f t="shared" si="0"/>
        <v>1.8357986163101744E-2</v>
      </c>
      <c r="M18" s="313"/>
      <c r="N18" s="276"/>
      <c r="O18" s="276"/>
      <c r="P18" s="276"/>
    </row>
    <row r="19" spans="1:16" ht="20.100000000000001" customHeight="1">
      <c r="A19" s="276"/>
      <c r="C19" s="302" t="s">
        <v>225</v>
      </c>
      <c r="D19" s="303"/>
      <c r="E19" s="304"/>
      <c r="F19" s="305">
        <f>'ריכוז אגפים'!$S16/1000</f>
        <v>3070</v>
      </c>
      <c r="G19" s="306">
        <v>2645</v>
      </c>
      <c r="J19" s="778">
        <f t="shared" si="0"/>
        <v>5.7159246978420236E-3</v>
      </c>
      <c r="N19" s="276"/>
      <c r="O19" s="276"/>
      <c r="P19" s="276"/>
    </row>
    <row r="20" spans="1:16" ht="20.100000000000001" customHeight="1">
      <c r="A20" s="276"/>
      <c r="C20" s="302" t="s">
        <v>575</v>
      </c>
      <c r="D20" s="303"/>
      <c r="E20" s="304"/>
      <c r="F20" s="305">
        <f>'ריכוז אגפים'!$S17/1000</f>
        <v>13750</v>
      </c>
      <c r="G20" s="306">
        <v>11550</v>
      </c>
      <c r="J20" s="778">
        <f t="shared" si="0"/>
        <v>2.5600639933331538E-2</v>
      </c>
      <c r="N20" s="276"/>
      <c r="O20" s="276"/>
      <c r="P20" s="276"/>
    </row>
    <row r="21" spans="1:16" ht="20.100000000000001" customHeight="1">
      <c r="A21" s="276"/>
      <c r="C21" s="302" t="s">
        <v>227</v>
      </c>
      <c r="D21" s="303"/>
      <c r="E21" s="304"/>
      <c r="F21" s="305">
        <f>'ריכוז אגפים'!$S18/1000</f>
        <v>6767.5860000000002</v>
      </c>
      <c r="G21" s="306">
        <v>16216</v>
      </c>
      <c r="J21" s="778">
        <f t="shared" si="0"/>
        <v>1.2600329629371305E-2</v>
      </c>
      <c r="N21" s="276"/>
      <c r="O21" s="276"/>
      <c r="P21" s="276"/>
    </row>
    <row r="22" spans="1:16" ht="20.100000000000001" customHeight="1" thickBot="1">
      <c r="A22" s="276"/>
      <c r="C22" s="314" t="s">
        <v>208</v>
      </c>
      <c r="D22" s="315"/>
      <c r="E22" s="316"/>
      <c r="F22" s="633">
        <f>SUM(F8:F21)</f>
        <v>537095.94900000002</v>
      </c>
      <c r="G22" s="634">
        <f>SUM(G8:G21)</f>
        <v>434621</v>
      </c>
      <c r="J22" s="318">
        <f>SUM(J8:J21)</f>
        <v>0.99999999999999967</v>
      </c>
      <c r="N22" s="276"/>
      <c r="O22" s="276"/>
      <c r="P22" s="276"/>
    </row>
    <row r="23" spans="1:16" ht="12.75" customHeight="1">
      <c r="A23" s="276"/>
      <c r="C23" s="319"/>
      <c r="D23" s="281"/>
      <c r="E23" s="320"/>
      <c r="F23" s="321"/>
      <c r="G23" s="321"/>
      <c r="N23" s="276"/>
      <c r="O23" s="276"/>
      <c r="P23" s="276"/>
    </row>
    <row r="24" spans="1:16" ht="18">
      <c r="A24" s="276"/>
      <c r="C24" s="277"/>
      <c r="D24" s="276"/>
      <c r="F24" s="289"/>
      <c r="G24" s="289"/>
      <c r="N24" s="276"/>
      <c r="O24" s="276"/>
      <c r="P24" s="276"/>
    </row>
    <row r="25" spans="1:16" ht="15.75">
      <c r="A25" s="276"/>
      <c r="M25" s="276"/>
      <c r="N25" s="276"/>
      <c r="O25" s="276"/>
      <c r="P25" s="276"/>
    </row>
    <row r="26" spans="1:16" ht="15.75">
      <c r="A26" s="276"/>
      <c r="M26" s="276"/>
      <c r="N26" s="276"/>
      <c r="O26" s="276"/>
      <c r="P26" s="276"/>
    </row>
    <row r="27" spans="1:16" ht="15.75">
      <c r="A27" s="276"/>
      <c r="B27" s="283"/>
      <c r="C27" s="283"/>
      <c r="D27" s="283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</row>
    <row r="28" spans="1:16" ht="15.75">
      <c r="A28" s="283"/>
      <c r="B28" s="283"/>
      <c r="C28" s="283"/>
      <c r="D28" s="283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</row>
    <row r="29" spans="1:16" ht="15.75"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</row>
    <row r="30" spans="1:16" ht="15.75"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2" ySplit="6" topLeftCell="C11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402" customWidth="1"/>
    <col min="2" max="2" width="6.7109375" style="400" customWidth="1"/>
    <col min="3" max="3" width="36.85546875" style="400" customWidth="1"/>
    <col min="4" max="4" width="12.7109375" style="405" hidden="1" customWidth="1"/>
    <col min="5" max="5" width="11.42578125" style="405" hidden="1" customWidth="1"/>
    <col min="6" max="6" width="9.85546875" style="405" hidden="1" customWidth="1"/>
    <col min="7" max="10" width="12.7109375" style="405" hidden="1" customWidth="1"/>
    <col min="11" max="11" width="11.28515625" style="405" hidden="1" customWidth="1"/>
    <col min="12" max="12" width="11" style="405" hidden="1" customWidth="1"/>
    <col min="13" max="17" width="11.140625" style="405" hidden="1" customWidth="1"/>
    <col min="18" max="19" width="12" style="405" hidden="1" customWidth="1"/>
    <col min="20" max="20" width="10.28515625" style="405" hidden="1" customWidth="1"/>
    <col min="21" max="21" width="11.85546875" style="400" bestFit="1" customWidth="1"/>
    <col min="22" max="22" width="10.28515625" style="400" customWidth="1"/>
    <col min="23" max="23" width="11.85546875" style="400" customWidth="1"/>
    <col min="24" max="24" width="10.140625" style="400" hidden="1" customWidth="1"/>
    <col min="25" max="25" width="9.7109375" style="400" hidden="1" customWidth="1"/>
    <col min="26" max="60" width="10" style="239" hidden="1" customWidth="1"/>
    <col min="61" max="61" width="11.85546875" style="239" customWidth="1"/>
    <col min="62" max="62" width="10" style="239" customWidth="1"/>
    <col min="63" max="63" width="14.5703125" style="239" customWidth="1"/>
    <col min="64" max="64" width="10" style="239" customWidth="1"/>
    <col min="65" max="65" width="11.85546875" style="239" customWidth="1"/>
    <col min="66" max="71" width="10" style="239" hidden="1" customWidth="1"/>
    <col min="72" max="72" width="7.85546875" style="400" hidden="1" customWidth="1"/>
    <col min="73" max="16384" width="9.140625" style="400"/>
  </cols>
  <sheetData>
    <row r="1" spans="1:72" ht="18.75">
      <c r="A1" s="777" t="s">
        <v>950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 s="645"/>
      <c r="AV1" s="645"/>
      <c r="AW1" s="645"/>
      <c r="AX1" s="645"/>
      <c r="AY1" s="645"/>
      <c r="AZ1" s="645"/>
      <c r="BA1" s="645"/>
      <c r="BB1" s="645"/>
      <c r="BC1" s="645"/>
      <c r="BD1" s="645"/>
      <c r="BE1" s="645"/>
      <c r="BF1" s="645"/>
      <c r="BG1" s="645"/>
      <c r="BH1" s="645"/>
      <c r="BI1" s="645"/>
      <c r="BJ1" s="645"/>
      <c r="BK1" s="645"/>
      <c r="BL1" s="645"/>
      <c r="BM1" s="645"/>
      <c r="BN1" s="645"/>
      <c r="BO1" s="645"/>
      <c r="BP1" s="645"/>
      <c r="BQ1" s="645"/>
      <c r="BR1" s="645"/>
      <c r="BS1" s="645"/>
    </row>
    <row r="2" spans="1:72" ht="18.75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U3" s="832" t="s">
        <v>191</v>
      </c>
      <c r="V3" s="833"/>
      <c r="W3" s="834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9"/>
      <c r="BJ3" s="618"/>
      <c r="BK3" s="621" t="s">
        <v>1094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2" s="498" customFormat="1" ht="86.25" customHeight="1">
      <c r="A4" s="361" t="s">
        <v>659</v>
      </c>
      <c r="B4" s="361" t="s">
        <v>1</v>
      </c>
      <c r="C4" s="361" t="s">
        <v>2</v>
      </c>
      <c r="D4" s="361" t="s">
        <v>3</v>
      </c>
      <c r="E4" s="361" t="s">
        <v>4</v>
      </c>
      <c r="F4" s="361" t="s">
        <v>5</v>
      </c>
      <c r="G4" s="361" t="s">
        <v>6</v>
      </c>
      <c r="H4" s="361" t="s">
        <v>7</v>
      </c>
      <c r="I4" s="361" t="s">
        <v>8</v>
      </c>
      <c r="J4" s="361" t="s">
        <v>9</v>
      </c>
      <c r="K4" s="361" t="s">
        <v>10</v>
      </c>
      <c r="L4" s="361" t="s">
        <v>11</v>
      </c>
      <c r="M4" s="12" t="s">
        <v>637</v>
      </c>
      <c r="N4" s="361" t="s">
        <v>638</v>
      </c>
      <c r="O4" s="361" t="s">
        <v>639</v>
      </c>
      <c r="P4" s="361" t="s">
        <v>12</v>
      </c>
      <c r="Q4" s="361" t="s">
        <v>640</v>
      </c>
      <c r="R4" s="361" t="s">
        <v>641</v>
      </c>
      <c r="S4" s="361" t="s">
        <v>642</v>
      </c>
      <c r="T4" s="361" t="s">
        <v>643</v>
      </c>
      <c r="U4" s="361" t="s">
        <v>644</v>
      </c>
      <c r="V4" s="361" t="s">
        <v>13</v>
      </c>
      <c r="W4" s="361" t="s">
        <v>14</v>
      </c>
      <c r="X4" s="361" t="s">
        <v>15</v>
      </c>
      <c r="Y4" s="361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361" t="s">
        <v>16</v>
      </c>
    </row>
    <row r="5" spans="1:72" s="413" customFormat="1">
      <c r="A5" s="414"/>
      <c r="B5" s="414"/>
      <c r="C5" s="414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414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409"/>
    </row>
    <row r="6" spans="1:72" s="413" customFormat="1">
      <c r="A6" s="414"/>
      <c r="B6" s="414"/>
      <c r="C6" s="414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>
        <f t="shared" ref="O6:O22" si="0">D6-L6-M6-N6</f>
        <v>0</v>
      </c>
      <c r="P6" s="337"/>
      <c r="Q6" s="337"/>
      <c r="R6" s="337"/>
      <c r="S6" s="337"/>
      <c r="T6" s="337">
        <f>P6-M6+R6</f>
        <v>0</v>
      </c>
      <c r="U6" s="337">
        <f t="shared" ref="U6:U24" si="1">N6-T6</f>
        <v>0</v>
      </c>
      <c r="V6" s="337"/>
      <c r="W6" s="337"/>
      <c r="X6" s="337"/>
      <c r="Y6" s="414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414"/>
    </row>
    <row r="7" spans="1:72" s="413" customFormat="1">
      <c r="A7" s="414">
        <f>1+A6</f>
        <v>1</v>
      </c>
      <c r="B7" s="414">
        <v>470</v>
      </c>
      <c r="C7" s="414" t="s">
        <v>142</v>
      </c>
      <c r="D7" s="337">
        <v>1680000</v>
      </c>
      <c r="E7" s="337">
        <v>1580000</v>
      </c>
      <c r="F7" s="337">
        <f t="shared" ref="F7:F22" si="2">D7-E7</f>
        <v>100000</v>
      </c>
      <c r="G7" s="337">
        <v>1580000</v>
      </c>
      <c r="H7" s="337">
        <v>1548809.43</v>
      </c>
      <c r="I7" s="337"/>
      <c r="J7" s="337"/>
      <c r="K7" s="337">
        <f t="shared" ref="K7:K14" si="3">SUM(I7:J7)</f>
        <v>0</v>
      </c>
      <c r="L7" s="337">
        <f t="shared" ref="L7:L22" si="4">H7+K7</f>
        <v>1548809.43</v>
      </c>
      <c r="M7" s="337">
        <f t="shared" ref="M7:M22" si="5">P7+S7</f>
        <v>31190.570000000065</v>
      </c>
      <c r="N7" s="337">
        <v>100000</v>
      </c>
      <c r="O7" s="337">
        <f t="shared" si="0"/>
        <v>0</v>
      </c>
      <c r="P7" s="337">
        <f t="shared" ref="P7:P22" si="6">G7-L7</f>
        <v>31190.570000000065</v>
      </c>
      <c r="Q7" s="337"/>
      <c r="R7" s="337"/>
      <c r="S7" s="337">
        <f t="shared" ref="S7:S22" si="7">SUM(Q7:R7)</f>
        <v>0</v>
      </c>
      <c r="T7" s="337">
        <f t="shared" ref="T7:T22" si="8">P7-M7+S7</f>
        <v>0</v>
      </c>
      <c r="U7" s="337">
        <f t="shared" si="1"/>
        <v>100000</v>
      </c>
      <c r="V7" s="337">
        <f t="shared" ref="V7:V22" si="9">U7-W7-X7-Y7</f>
        <v>100000</v>
      </c>
      <c r="W7" s="337"/>
      <c r="X7" s="337"/>
      <c r="Y7" s="414"/>
      <c r="Z7" s="241"/>
      <c r="AA7" s="241"/>
      <c r="AB7" s="13">
        <f t="shared" ref="AB7:AB15" si="10">SUM(Z7:AA7)</f>
        <v>0</v>
      </c>
      <c r="AC7" s="241"/>
      <c r="AD7" s="241"/>
      <c r="AE7" s="13">
        <f t="shared" ref="AE7:AE15" si="11">SUM(AC7:AD7)</f>
        <v>0</v>
      </c>
      <c r="AF7" s="241"/>
      <c r="AG7" s="241"/>
      <c r="AH7" s="13">
        <f t="shared" ref="AH7:AH15" si="12">SUM(AF7:AG7)</f>
        <v>0</v>
      </c>
      <c r="AI7" s="241"/>
      <c r="AJ7" s="241"/>
      <c r="AK7" s="13">
        <f t="shared" ref="AK7:AK22" si="13">SUM(AI7:AJ7)</f>
        <v>0</v>
      </c>
      <c r="AL7" s="241"/>
      <c r="AM7" s="241"/>
      <c r="AN7" s="13">
        <f t="shared" ref="AN7:AN22" si="14">SUM(AL7:AM7)</f>
        <v>0</v>
      </c>
      <c r="AO7" s="241"/>
      <c r="AP7" s="241"/>
      <c r="AQ7" s="13">
        <f t="shared" ref="AQ7:AQ22" si="15">SUM(AO7:AP7)</f>
        <v>0</v>
      </c>
      <c r="AR7" s="241"/>
      <c r="AS7" s="241"/>
      <c r="AT7" s="13">
        <f t="shared" ref="AT7:AT22" si="16">SUM(AR7:AS7)</f>
        <v>0</v>
      </c>
      <c r="AU7" s="241"/>
      <c r="AV7" s="241"/>
      <c r="AW7" s="13">
        <f t="shared" ref="AW7:AW22" si="17">SUM(AU7:AV7)</f>
        <v>0</v>
      </c>
      <c r="AX7" s="241"/>
      <c r="AY7" s="241"/>
      <c r="AZ7" s="13">
        <f t="shared" ref="AZ7:AZ22" si="18">SUM(AX7:AY7)</f>
        <v>0</v>
      </c>
      <c r="BA7" s="241"/>
      <c r="BB7" s="241"/>
      <c r="BC7" s="13">
        <f t="shared" ref="BC7:BC22" si="19">SUM(BA7:BB7)</f>
        <v>0</v>
      </c>
      <c r="BD7" s="241"/>
      <c r="BE7" s="241"/>
      <c r="BF7" s="13">
        <f t="shared" ref="BF7:BF22" si="20">SUM(BD7:BE7)</f>
        <v>0</v>
      </c>
      <c r="BG7" s="13">
        <f>BF7+AB7+AE7+AH7+AN7+AK7+AQ7+AT7+AW7+AZ7+BC7</f>
        <v>0</v>
      </c>
      <c r="BH7" s="14"/>
      <c r="BI7" s="14">
        <f>BG7+BH7</f>
        <v>0</v>
      </c>
      <c r="BJ7" s="242">
        <f>U7-BI7</f>
        <v>100000</v>
      </c>
      <c r="BK7" s="242">
        <f>BI7</f>
        <v>0</v>
      </c>
      <c r="BL7" s="13"/>
      <c r="BM7" s="241"/>
      <c r="BN7" s="14">
        <f>BH7</f>
        <v>0</v>
      </c>
      <c r="BO7" s="241"/>
      <c r="BP7" s="241"/>
      <c r="BQ7" s="14">
        <f>BJ7</f>
        <v>100000</v>
      </c>
      <c r="BR7" s="241"/>
      <c r="BS7" s="241"/>
      <c r="BT7" s="414">
        <v>935000</v>
      </c>
    </row>
    <row r="8" spans="1:72" s="413" customFormat="1">
      <c r="A8" s="414">
        <f t="shared" ref="A8:A22" si="21">1+A7</f>
        <v>2</v>
      </c>
      <c r="B8" s="414">
        <v>649</v>
      </c>
      <c r="C8" s="414" t="s">
        <v>143</v>
      </c>
      <c r="D8" s="337">
        <v>70000</v>
      </c>
      <c r="E8" s="337">
        <v>70000</v>
      </c>
      <c r="F8" s="337">
        <f t="shared" si="2"/>
        <v>0</v>
      </c>
      <c r="G8" s="337">
        <v>70000</v>
      </c>
      <c r="H8" s="337">
        <v>43111.48</v>
      </c>
      <c r="I8" s="337"/>
      <c r="J8" s="337"/>
      <c r="K8" s="337">
        <f t="shared" si="3"/>
        <v>0</v>
      </c>
      <c r="L8" s="337">
        <f t="shared" si="4"/>
        <v>43111.48</v>
      </c>
      <c r="M8" s="337">
        <f t="shared" si="5"/>
        <v>26888.519999999997</v>
      </c>
      <c r="N8" s="337"/>
      <c r="O8" s="337">
        <f t="shared" si="0"/>
        <v>0</v>
      </c>
      <c r="P8" s="337">
        <f t="shared" si="6"/>
        <v>26888.519999999997</v>
      </c>
      <c r="Q8" s="337"/>
      <c r="R8" s="337"/>
      <c r="S8" s="337">
        <f t="shared" si="7"/>
        <v>0</v>
      </c>
      <c r="T8" s="337">
        <f t="shared" si="8"/>
        <v>0</v>
      </c>
      <c r="U8" s="337">
        <f t="shared" si="1"/>
        <v>0</v>
      </c>
      <c r="V8" s="337">
        <f t="shared" si="9"/>
        <v>0</v>
      </c>
      <c r="W8" s="337"/>
      <c r="X8" s="337"/>
      <c r="Y8" s="414"/>
      <c r="Z8" s="241"/>
      <c r="AA8" s="241"/>
      <c r="AB8" s="13">
        <f t="shared" si="10"/>
        <v>0</v>
      </c>
      <c r="AC8" s="241"/>
      <c r="AD8" s="241"/>
      <c r="AE8" s="13">
        <f t="shared" si="11"/>
        <v>0</v>
      </c>
      <c r="AF8" s="241"/>
      <c r="AG8" s="241"/>
      <c r="AH8" s="13">
        <f t="shared" si="12"/>
        <v>0</v>
      </c>
      <c r="AI8" s="241"/>
      <c r="AJ8" s="241"/>
      <c r="AK8" s="13">
        <f t="shared" si="13"/>
        <v>0</v>
      </c>
      <c r="AL8" s="241"/>
      <c r="AM8" s="241"/>
      <c r="AN8" s="13">
        <f t="shared" si="14"/>
        <v>0</v>
      </c>
      <c r="AO8" s="241"/>
      <c r="AP8" s="241"/>
      <c r="AQ8" s="13">
        <f t="shared" si="15"/>
        <v>0</v>
      </c>
      <c r="AR8" s="241"/>
      <c r="AS8" s="241"/>
      <c r="AT8" s="13">
        <f t="shared" si="16"/>
        <v>0</v>
      </c>
      <c r="AU8" s="241"/>
      <c r="AV8" s="241"/>
      <c r="AW8" s="13">
        <f t="shared" si="17"/>
        <v>0</v>
      </c>
      <c r="AX8" s="241"/>
      <c r="AY8" s="241"/>
      <c r="AZ8" s="13">
        <f t="shared" si="18"/>
        <v>0</v>
      </c>
      <c r="BA8" s="241"/>
      <c r="BB8" s="241"/>
      <c r="BC8" s="13">
        <f t="shared" si="19"/>
        <v>0</v>
      </c>
      <c r="BD8" s="241"/>
      <c r="BE8" s="241"/>
      <c r="BF8" s="13">
        <f t="shared" si="20"/>
        <v>0</v>
      </c>
      <c r="BG8" s="13">
        <f t="shared" ref="BG8:BG22" si="22">BF8+AB8+AE8+AH8+AN8+AK8+AQ8+AT8+AW8+AZ8+BC8</f>
        <v>0</v>
      </c>
      <c r="BH8" s="14"/>
      <c r="BI8" s="14">
        <f t="shared" ref="BI8:BI22" si="23">BG8+BH8</f>
        <v>0</v>
      </c>
      <c r="BJ8" s="242">
        <f t="shared" ref="BJ8:BJ22" si="24">U8-BI8</f>
        <v>0</v>
      </c>
      <c r="BK8" s="242">
        <f t="shared" ref="BK8:BK22" si="25">BI8</f>
        <v>0</v>
      </c>
      <c r="BL8" s="13"/>
      <c r="BM8" s="241"/>
      <c r="BN8" s="14">
        <f t="shared" ref="BN8:BN22" si="26">BH8</f>
        <v>0</v>
      </c>
      <c r="BO8" s="241"/>
      <c r="BP8" s="241"/>
      <c r="BQ8" s="14">
        <f t="shared" ref="BQ8:BQ22" si="27">BJ8</f>
        <v>0</v>
      </c>
      <c r="BR8" s="241"/>
      <c r="BS8" s="241"/>
      <c r="BT8" s="414">
        <v>930000</v>
      </c>
    </row>
    <row r="9" spans="1:72" s="413" customFormat="1">
      <c r="A9" s="414">
        <f t="shared" si="21"/>
        <v>3</v>
      </c>
      <c r="B9" s="414">
        <v>1066</v>
      </c>
      <c r="C9" s="414" t="s">
        <v>144</v>
      </c>
      <c r="D9" s="337">
        <v>75000</v>
      </c>
      <c r="E9" s="337">
        <v>75000</v>
      </c>
      <c r="F9" s="337">
        <f t="shared" si="2"/>
        <v>0</v>
      </c>
      <c r="G9" s="337">
        <v>75000</v>
      </c>
      <c r="H9" s="337">
        <v>40172</v>
      </c>
      <c r="I9" s="337"/>
      <c r="J9" s="337"/>
      <c r="K9" s="337">
        <f t="shared" si="3"/>
        <v>0</v>
      </c>
      <c r="L9" s="337">
        <f t="shared" si="4"/>
        <v>40172</v>
      </c>
      <c r="M9" s="337">
        <f t="shared" si="5"/>
        <v>34828</v>
      </c>
      <c r="N9" s="337"/>
      <c r="O9" s="337">
        <f t="shared" si="0"/>
        <v>0</v>
      </c>
      <c r="P9" s="337">
        <f t="shared" si="6"/>
        <v>34828</v>
      </c>
      <c r="Q9" s="337"/>
      <c r="R9" s="337"/>
      <c r="S9" s="337">
        <f t="shared" si="7"/>
        <v>0</v>
      </c>
      <c r="T9" s="337">
        <f t="shared" si="8"/>
        <v>0</v>
      </c>
      <c r="U9" s="337">
        <f t="shared" si="1"/>
        <v>0</v>
      </c>
      <c r="V9" s="337">
        <f t="shared" si="9"/>
        <v>0</v>
      </c>
      <c r="W9" s="337"/>
      <c r="X9" s="337"/>
      <c r="Y9" s="414"/>
      <c r="Z9" s="241"/>
      <c r="AA9" s="241"/>
      <c r="AB9" s="13">
        <f t="shared" si="10"/>
        <v>0</v>
      </c>
      <c r="AC9" s="241"/>
      <c r="AD9" s="241"/>
      <c r="AE9" s="13">
        <f t="shared" si="11"/>
        <v>0</v>
      </c>
      <c r="AF9" s="241"/>
      <c r="AG9" s="241"/>
      <c r="AH9" s="13">
        <f t="shared" si="12"/>
        <v>0</v>
      </c>
      <c r="AI9" s="241"/>
      <c r="AJ9" s="241"/>
      <c r="AK9" s="13">
        <f t="shared" si="13"/>
        <v>0</v>
      </c>
      <c r="AL9" s="241"/>
      <c r="AM9" s="241"/>
      <c r="AN9" s="13">
        <f t="shared" si="14"/>
        <v>0</v>
      </c>
      <c r="AO9" s="241"/>
      <c r="AP9" s="241"/>
      <c r="AQ9" s="13">
        <f t="shared" si="15"/>
        <v>0</v>
      </c>
      <c r="AR9" s="241"/>
      <c r="AS9" s="241"/>
      <c r="AT9" s="13">
        <f t="shared" si="16"/>
        <v>0</v>
      </c>
      <c r="AU9" s="241"/>
      <c r="AV9" s="241"/>
      <c r="AW9" s="13">
        <f t="shared" si="17"/>
        <v>0</v>
      </c>
      <c r="AX9" s="241"/>
      <c r="AY9" s="241"/>
      <c r="AZ9" s="13">
        <f t="shared" si="18"/>
        <v>0</v>
      </c>
      <c r="BA9" s="241"/>
      <c r="BB9" s="241"/>
      <c r="BC9" s="13">
        <f t="shared" si="19"/>
        <v>0</v>
      </c>
      <c r="BD9" s="241"/>
      <c r="BE9" s="241"/>
      <c r="BF9" s="13">
        <f t="shared" si="20"/>
        <v>0</v>
      </c>
      <c r="BG9" s="13">
        <f t="shared" si="22"/>
        <v>0</v>
      </c>
      <c r="BH9" s="14"/>
      <c r="BI9" s="14">
        <f t="shared" si="23"/>
        <v>0</v>
      </c>
      <c r="BJ9" s="242">
        <f t="shared" si="24"/>
        <v>0</v>
      </c>
      <c r="BK9" s="242">
        <f t="shared" si="25"/>
        <v>0</v>
      </c>
      <c r="BL9" s="13"/>
      <c r="BM9" s="241"/>
      <c r="BN9" s="14">
        <f t="shared" si="26"/>
        <v>0</v>
      </c>
      <c r="BO9" s="241"/>
      <c r="BP9" s="241"/>
      <c r="BQ9" s="14">
        <f t="shared" si="27"/>
        <v>0</v>
      </c>
      <c r="BR9" s="241"/>
      <c r="BS9" s="241"/>
      <c r="BT9" s="414">
        <v>935000</v>
      </c>
    </row>
    <row r="10" spans="1:72" s="413" customFormat="1">
      <c r="A10" s="414">
        <f t="shared" si="21"/>
        <v>4</v>
      </c>
      <c r="B10" s="414">
        <v>1177</v>
      </c>
      <c r="C10" s="414" t="s">
        <v>145</v>
      </c>
      <c r="D10" s="337">
        <v>41850000</v>
      </c>
      <c r="E10" s="337">
        <v>41850000</v>
      </c>
      <c r="F10" s="337">
        <f t="shared" si="2"/>
        <v>0</v>
      </c>
      <c r="G10" s="337">
        <v>28957000</v>
      </c>
      <c r="H10" s="337">
        <v>26727455.199999999</v>
      </c>
      <c r="I10" s="337"/>
      <c r="J10" s="337"/>
      <c r="K10" s="337">
        <f t="shared" si="3"/>
        <v>0</v>
      </c>
      <c r="L10" s="337">
        <f t="shared" si="4"/>
        <v>26727455.199999999</v>
      </c>
      <c r="M10" s="337">
        <f t="shared" si="5"/>
        <v>2229544.8000000007</v>
      </c>
      <c r="N10" s="337">
        <v>2000000</v>
      </c>
      <c r="O10" s="337">
        <f t="shared" si="0"/>
        <v>10893000</v>
      </c>
      <c r="P10" s="337">
        <f t="shared" si="6"/>
        <v>2229544.8000000007</v>
      </c>
      <c r="Q10" s="337"/>
      <c r="R10" s="337"/>
      <c r="S10" s="337">
        <f t="shared" si="7"/>
        <v>0</v>
      </c>
      <c r="T10" s="337">
        <f t="shared" si="8"/>
        <v>0</v>
      </c>
      <c r="U10" s="337">
        <f t="shared" si="1"/>
        <v>2000000</v>
      </c>
      <c r="V10" s="337">
        <f t="shared" si="9"/>
        <v>2000000</v>
      </c>
      <c r="W10" s="337"/>
      <c r="X10" s="337"/>
      <c r="Y10" s="414"/>
      <c r="Z10" s="241"/>
      <c r="AA10" s="241"/>
      <c r="AB10" s="13">
        <f t="shared" si="10"/>
        <v>0</v>
      </c>
      <c r="AC10" s="241"/>
      <c r="AD10" s="241"/>
      <c r="AE10" s="13">
        <f t="shared" si="11"/>
        <v>0</v>
      </c>
      <c r="AF10" s="241"/>
      <c r="AG10" s="241"/>
      <c r="AH10" s="13">
        <f t="shared" si="12"/>
        <v>0</v>
      </c>
      <c r="AI10" s="241"/>
      <c r="AJ10" s="241"/>
      <c r="AK10" s="13">
        <f t="shared" si="13"/>
        <v>0</v>
      </c>
      <c r="AL10" s="241"/>
      <c r="AM10" s="241"/>
      <c r="AN10" s="13">
        <f t="shared" si="14"/>
        <v>0</v>
      </c>
      <c r="AO10" s="241"/>
      <c r="AP10" s="241"/>
      <c r="AQ10" s="13">
        <f t="shared" si="15"/>
        <v>0</v>
      </c>
      <c r="AR10" s="241"/>
      <c r="AS10" s="241"/>
      <c r="AT10" s="13">
        <f t="shared" si="16"/>
        <v>0</v>
      </c>
      <c r="AU10" s="241"/>
      <c r="AV10" s="241"/>
      <c r="AW10" s="13">
        <f t="shared" si="17"/>
        <v>0</v>
      </c>
      <c r="AX10" s="241"/>
      <c r="AY10" s="241"/>
      <c r="AZ10" s="13">
        <f t="shared" si="18"/>
        <v>0</v>
      </c>
      <c r="BA10" s="241"/>
      <c r="BB10" s="241"/>
      <c r="BC10" s="13">
        <f t="shared" si="19"/>
        <v>0</v>
      </c>
      <c r="BD10" s="241"/>
      <c r="BE10" s="241"/>
      <c r="BF10" s="13">
        <f t="shared" si="20"/>
        <v>0</v>
      </c>
      <c r="BG10" s="13">
        <f t="shared" si="22"/>
        <v>0</v>
      </c>
      <c r="BH10" s="14"/>
      <c r="BI10" s="14">
        <f t="shared" si="23"/>
        <v>0</v>
      </c>
      <c r="BJ10" s="242">
        <f t="shared" si="24"/>
        <v>2000000</v>
      </c>
      <c r="BK10" s="242">
        <f t="shared" si="25"/>
        <v>0</v>
      </c>
      <c r="BL10" s="13"/>
      <c r="BM10" s="241"/>
      <c r="BN10" s="14">
        <f t="shared" si="26"/>
        <v>0</v>
      </c>
      <c r="BO10" s="241"/>
      <c r="BP10" s="241"/>
      <c r="BQ10" s="14">
        <f t="shared" si="27"/>
        <v>2000000</v>
      </c>
      <c r="BR10" s="241"/>
      <c r="BS10" s="241"/>
      <c r="BT10" s="414">
        <v>930000</v>
      </c>
    </row>
    <row r="11" spans="1:72" s="413" customFormat="1">
      <c r="A11" s="414">
        <f t="shared" si="21"/>
        <v>5</v>
      </c>
      <c r="B11" s="414">
        <v>1258</v>
      </c>
      <c r="C11" s="414" t="s">
        <v>146</v>
      </c>
      <c r="D11" s="337">
        <v>1400000</v>
      </c>
      <c r="E11" s="337">
        <v>1400000</v>
      </c>
      <c r="F11" s="337">
        <f t="shared" si="2"/>
        <v>0</v>
      </c>
      <c r="G11" s="337">
        <v>900000</v>
      </c>
      <c r="H11" s="337">
        <v>840425.35</v>
      </c>
      <c r="I11" s="337"/>
      <c r="J11" s="337"/>
      <c r="K11" s="337">
        <f t="shared" si="3"/>
        <v>0</v>
      </c>
      <c r="L11" s="337">
        <f t="shared" si="4"/>
        <v>840425.35</v>
      </c>
      <c r="M11" s="337">
        <f t="shared" si="5"/>
        <v>59574.650000000023</v>
      </c>
      <c r="N11" s="337">
        <v>50000</v>
      </c>
      <c r="O11" s="337">
        <f t="shared" si="0"/>
        <v>450000</v>
      </c>
      <c r="P11" s="337">
        <f t="shared" si="6"/>
        <v>59574.650000000023</v>
      </c>
      <c r="Q11" s="337"/>
      <c r="R11" s="337"/>
      <c r="S11" s="337">
        <f t="shared" si="7"/>
        <v>0</v>
      </c>
      <c r="T11" s="337">
        <f t="shared" si="8"/>
        <v>0</v>
      </c>
      <c r="U11" s="337">
        <f t="shared" si="1"/>
        <v>50000</v>
      </c>
      <c r="V11" s="337">
        <f t="shared" si="9"/>
        <v>50000</v>
      </c>
      <c r="W11" s="337"/>
      <c r="X11" s="337"/>
      <c r="Y11" s="414"/>
      <c r="Z11" s="13"/>
      <c r="AA11" s="13"/>
      <c r="AB11" s="13">
        <f t="shared" si="10"/>
        <v>0</v>
      </c>
      <c r="AC11" s="13"/>
      <c r="AD11" s="13"/>
      <c r="AE11" s="13">
        <f t="shared" si="11"/>
        <v>0</v>
      </c>
      <c r="AF11" s="13"/>
      <c r="AG11" s="13"/>
      <c r="AH11" s="13">
        <f t="shared" si="12"/>
        <v>0</v>
      </c>
      <c r="AI11" s="13"/>
      <c r="AJ11" s="13"/>
      <c r="AK11" s="13">
        <f t="shared" si="13"/>
        <v>0</v>
      </c>
      <c r="AL11" s="13"/>
      <c r="AM11" s="13"/>
      <c r="AN11" s="13">
        <f t="shared" si="14"/>
        <v>0</v>
      </c>
      <c r="AO11" s="13"/>
      <c r="AP11" s="13"/>
      <c r="AQ11" s="13">
        <f t="shared" si="15"/>
        <v>0</v>
      </c>
      <c r="AR11" s="13"/>
      <c r="AS11" s="13"/>
      <c r="AT11" s="13">
        <f t="shared" si="16"/>
        <v>0</v>
      </c>
      <c r="AU11" s="13"/>
      <c r="AV11" s="13"/>
      <c r="AW11" s="13">
        <f t="shared" si="17"/>
        <v>0</v>
      </c>
      <c r="AX11" s="13"/>
      <c r="AY11" s="13"/>
      <c r="AZ11" s="13">
        <f t="shared" si="18"/>
        <v>0</v>
      </c>
      <c r="BA11" s="13"/>
      <c r="BB11" s="13"/>
      <c r="BC11" s="13">
        <f t="shared" si="19"/>
        <v>0</v>
      </c>
      <c r="BD11" s="13"/>
      <c r="BE11" s="13"/>
      <c r="BF11" s="13">
        <f t="shared" si="20"/>
        <v>0</v>
      </c>
      <c r="BG11" s="13">
        <f t="shared" si="22"/>
        <v>0</v>
      </c>
      <c r="BH11" s="14"/>
      <c r="BI11" s="14">
        <f t="shared" si="23"/>
        <v>0</v>
      </c>
      <c r="BJ11" s="242">
        <f t="shared" si="24"/>
        <v>50000</v>
      </c>
      <c r="BK11" s="242">
        <f t="shared" si="25"/>
        <v>0</v>
      </c>
      <c r="BL11" s="13"/>
      <c r="BM11" s="241"/>
      <c r="BN11" s="14">
        <f t="shared" si="26"/>
        <v>0</v>
      </c>
      <c r="BO11" s="241"/>
      <c r="BP11" s="241"/>
      <c r="BQ11" s="14">
        <f t="shared" si="27"/>
        <v>50000</v>
      </c>
      <c r="BR11" s="241"/>
      <c r="BS11" s="241"/>
      <c r="BT11" s="414">
        <v>930000</v>
      </c>
    </row>
    <row r="12" spans="1:72" s="413" customFormat="1">
      <c r="A12" s="414">
        <f t="shared" si="21"/>
        <v>6</v>
      </c>
      <c r="B12" s="414">
        <v>1330</v>
      </c>
      <c r="C12" s="414" t="s">
        <v>147</v>
      </c>
      <c r="D12" s="337">
        <v>60700000</v>
      </c>
      <c r="E12" s="337">
        <v>60700000</v>
      </c>
      <c r="F12" s="337">
        <f t="shared" si="2"/>
        <v>0</v>
      </c>
      <c r="G12" s="337">
        <v>17249825</v>
      </c>
      <c r="H12" s="337">
        <v>3651488.63</v>
      </c>
      <c r="I12" s="337">
        <v>6107</v>
      </c>
      <c r="J12" s="337"/>
      <c r="K12" s="337">
        <f t="shared" si="3"/>
        <v>6107</v>
      </c>
      <c r="L12" s="337">
        <f t="shared" si="4"/>
        <v>3657595.63</v>
      </c>
      <c r="M12" s="337">
        <f t="shared" si="5"/>
        <v>13592229.370000001</v>
      </c>
      <c r="N12" s="337"/>
      <c r="O12" s="337">
        <f t="shared" si="0"/>
        <v>43450175</v>
      </c>
      <c r="P12" s="337">
        <f t="shared" si="6"/>
        <v>13592229.370000001</v>
      </c>
      <c r="Q12" s="337"/>
      <c r="R12" s="337"/>
      <c r="S12" s="337">
        <f t="shared" si="7"/>
        <v>0</v>
      </c>
      <c r="T12" s="337">
        <f t="shared" si="8"/>
        <v>0</v>
      </c>
      <c r="U12" s="337">
        <f t="shared" si="1"/>
        <v>0</v>
      </c>
      <c r="V12" s="337">
        <f t="shared" si="9"/>
        <v>0</v>
      </c>
      <c r="W12" s="337"/>
      <c r="X12" s="337"/>
      <c r="Y12" s="414"/>
      <c r="Z12" s="13"/>
      <c r="AA12" s="13"/>
      <c r="AB12" s="13">
        <f t="shared" si="10"/>
        <v>0</v>
      </c>
      <c r="AC12" s="13"/>
      <c r="AD12" s="13"/>
      <c r="AE12" s="13">
        <f t="shared" si="11"/>
        <v>0</v>
      </c>
      <c r="AF12" s="13"/>
      <c r="AG12" s="13"/>
      <c r="AH12" s="13">
        <f t="shared" si="12"/>
        <v>0</v>
      </c>
      <c r="AI12" s="13"/>
      <c r="AJ12" s="13"/>
      <c r="AK12" s="13">
        <f t="shared" si="13"/>
        <v>0</v>
      </c>
      <c r="AL12" s="13"/>
      <c r="AM12" s="13"/>
      <c r="AN12" s="13">
        <f t="shared" si="14"/>
        <v>0</v>
      </c>
      <c r="AO12" s="13"/>
      <c r="AP12" s="13"/>
      <c r="AQ12" s="13">
        <f t="shared" si="15"/>
        <v>0</v>
      </c>
      <c r="AR12" s="13"/>
      <c r="AS12" s="13"/>
      <c r="AT12" s="13">
        <f t="shared" si="16"/>
        <v>0</v>
      </c>
      <c r="AU12" s="13"/>
      <c r="AV12" s="13"/>
      <c r="AW12" s="13">
        <f t="shared" si="17"/>
        <v>0</v>
      </c>
      <c r="AX12" s="13"/>
      <c r="AY12" s="13"/>
      <c r="AZ12" s="13">
        <f t="shared" si="18"/>
        <v>0</v>
      </c>
      <c r="BA12" s="13"/>
      <c r="BB12" s="13"/>
      <c r="BC12" s="13">
        <f t="shared" si="19"/>
        <v>0</v>
      </c>
      <c r="BD12" s="13"/>
      <c r="BE12" s="13"/>
      <c r="BF12" s="13">
        <f t="shared" si="20"/>
        <v>0</v>
      </c>
      <c r="BG12" s="13">
        <f t="shared" si="22"/>
        <v>0</v>
      </c>
      <c r="BH12" s="14"/>
      <c r="BI12" s="14">
        <f t="shared" si="23"/>
        <v>0</v>
      </c>
      <c r="BJ12" s="242">
        <f t="shared" si="24"/>
        <v>0</v>
      </c>
      <c r="BK12" s="242">
        <f t="shared" si="25"/>
        <v>0</v>
      </c>
      <c r="BL12" s="13"/>
      <c r="BM12" s="241"/>
      <c r="BN12" s="14">
        <f t="shared" si="26"/>
        <v>0</v>
      </c>
      <c r="BO12" s="241"/>
      <c r="BP12" s="241"/>
      <c r="BQ12" s="14">
        <f t="shared" si="27"/>
        <v>0</v>
      </c>
      <c r="BR12" s="241"/>
      <c r="BS12" s="241"/>
      <c r="BT12" s="414">
        <v>930000</v>
      </c>
    </row>
    <row r="13" spans="1:72" s="413" customFormat="1" ht="30">
      <c r="A13" s="414">
        <f t="shared" si="21"/>
        <v>7</v>
      </c>
      <c r="B13" s="394">
        <v>1339</v>
      </c>
      <c r="C13" s="394" t="s">
        <v>1096</v>
      </c>
      <c r="D13" s="337">
        <v>1250000</v>
      </c>
      <c r="E13" s="337">
        <v>1250000</v>
      </c>
      <c r="F13" s="337">
        <f t="shared" si="2"/>
        <v>0</v>
      </c>
      <c r="G13" s="337">
        <v>1250000</v>
      </c>
      <c r="H13" s="337">
        <v>1218825</v>
      </c>
      <c r="I13" s="337"/>
      <c r="J13" s="337"/>
      <c r="K13" s="337">
        <f t="shared" si="3"/>
        <v>0</v>
      </c>
      <c r="L13" s="337">
        <f t="shared" si="4"/>
        <v>1218825</v>
      </c>
      <c r="M13" s="337">
        <f t="shared" si="5"/>
        <v>31175</v>
      </c>
      <c r="N13" s="337"/>
      <c r="O13" s="337">
        <f t="shared" si="0"/>
        <v>0</v>
      </c>
      <c r="P13" s="337">
        <f t="shared" si="6"/>
        <v>31175</v>
      </c>
      <c r="Q13" s="337"/>
      <c r="R13" s="337"/>
      <c r="S13" s="337">
        <f t="shared" si="7"/>
        <v>0</v>
      </c>
      <c r="T13" s="337">
        <f t="shared" si="8"/>
        <v>0</v>
      </c>
      <c r="U13" s="337">
        <f t="shared" si="1"/>
        <v>0</v>
      </c>
      <c r="V13" s="337">
        <f t="shared" si="9"/>
        <v>0</v>
      </c>
      <c r="W13" s="337"/>
      <c r="X13" s="337"/>
      <c r="Y13" s="414"/>
      <c r="Z13" s="13"/>
      <c r="AA13" s="13"/>
      <c r="AB13" s="13">
        <f t="shared" si="10"/>
        <v>0</v>
      </c>
      <c r="AC13" s="13"/>
      <c r="AD13" s="13"/>
      <c r="AE13" s="13">
        <f t="shared" si="11"/>
        <v>0</v>
      </c>
      <c r="AF13" s="13"/>
      <c r="AG13" s="13"/>
      <c r="AH13" s="13">
        <f t="shared" si="12"/>
        <v>0</v>
      </c>
      <c r="AI13" s="13"/>
      <c r="AJ13" s="13"/>
      <c r="AK13" s="13">
        <f t="shared" si="13"/>
        <v>0</v>
      </c>
      <c r="AL13" s="13"/>
      <c r="AM13" s="13"/>
      <c r="AN13" s="13">
        <f t="shared" si="14"/>
        <v>0</v>
      </c>
      <c r="AO13" s="13"/>
      <c r="AP13" s="13"/>
      <c r="AQ13" s="13">
        <f t="shared" si="15"/>
        <v>0</v>
      </c>
      <c r="AR13" s="13"/>
      <c r="AS13" s="13"/>
      <c r="AT13" s="13">
        <f t="shared" si="16"/>
        <v>0</v>
      </c>
      <c r="AU13" s="13"/>
      <c r="AV13" s="13"/>
      <c r="AW13" s="13">
        <f t="shared" si="17"/>
        <v>0</v>
      </c>
      <c r="AX13" s="13"/>
      <c r="AY13" s="13"/>
      <c r="AZ13" s="13">
        <f t="shared" si="18"/>
        <v>0</v>
      </c>
      <c r="BA13" s="13"/>
      <c r="BB13" s="13"/>
      <c r="BC13" s="13">
        <f t="shared" si="19"/>
        <v>0</v>
      </c>
      <c r="BD13" s="13"/>
      <c r="BE13" s="13"/>
      <c r="BF13" s="13">
        <f t="shared" si="20"/>
        <v>0</v>
      </c>
      <c r="BG13" s="13">
        <f t="shared" si="22"/>
        <v>0</v>
      </c>
      <c r="BH13" s="14"/>
      <c r="BI13" s="14">
        <f t="shared" si="23"/>
        <v>0</v>
      </c>
      <c r="BJ13" s="242">
        <f t="shared" si="24"/>
        <v>0</v>
      </c>
      <c r="BK13" s="242">
        <f t="shared" si="25"/>
        <v>0</v>
      </c>
      <c r="BL13" s="13"/>
      <c r="BM13" s="241"/>
      <c r="BN13" s="14">
        <f t="shared" si="26"/>
        <v>0</v>
      </c>
      <c r="BO13" s="241"/>
      <c r="BP13" s="241"/>
      <c r="BQ13" s="14">
        <f t="shared" si="27"/>
        <v>0</v>
      </c>
      <c r="BR13" s="241"/>
      <c r="BS13" s="241"/>
      <c r="BT13" s="414">
        <v>930000</v>
      </c>
    </row>
    <row r="14" spans="1:72" s="413" customFormat="1">
      <c r="A14" s="414">
        <f t="shared" si="21"/>
        <v>8</v>
      </c>
      <c r="B14" s="414">
        <v>1369</v>
      </c>
      <c r="C14" s="414" t="s">
        <v>148</v>
      </c>
      <c r="D14" s="337">
        <v>1100700</v>
      </c>
      <c r="E14" s="337">
        <v>1100700</v>
      </c>
      <c r="F14" s="337">
        <f t="shared" si="2"/>
        <v>0</v>
      </c>
      <c r="G14" s="337">
        <v>570700</v>
      </c>
      <c r="H14" s="337">
        <v>552097</v>
      </c>
      <c r="I14" s="337"/>
      <c r="J14" s="337"/>
      <c r="K14" s="337">
        <f t="shared" si="3"/>
        <v>0</v>
      </c>
      <c r="L14" s="337">
        <f t="shared" si="4"/>
        <v>552097</v>
      </c>
      <c r="M14" s="337">
        <f t="shared" si="5"/>
        <v>18603</v>
      </c>
      <c r="N14" s="337">
        <v>100000</v>
      </c>
      <c r="O14" s="337">
        <f t="shared" si="0"/>
        <v>430000</v>
      </c>
      <c r="P14" s="337">
        <f t="shared" si="6"/>
        <v>18603</v>
      </c>
      <c r="Q14" s="337"/>
      <c r="R14" s="337"/>
      <c r="S14" s="337">
        <f t="shared" si="7"/>
        <v>0</v>
      </c>
      <c r="T14" s="337">
        <f t="shared" si="8"/>
        <v>0</v>
      </c>
      <c r="U14" s="337">
        <f t="shared" si="1"/>
        <v>100000</v>
      </c>
      <c r="V14" s="337">
        <f t="shared" si="9"/>
        <v>100000</v>
      </c>
      <c r="W14" s="337"/>
      <c r="X14" s="337"/>
      <c r="Y14" s="414"/>
      <c r="Z14" s="241"/>
      <c r="AA14" s="241"/>
      <c r="AB14" s="13">
        <f t="shared" si="10"/>
        <v>0</v>
      </c>
      <c r="AC14" s="241"/>
      <c r="AD14" s="241"/>
      <c r="AE14" s="13">
        <f t="shared" si="11"/>
        <v>0</v>
      </c>
      <c r="AF14" s="241"/>
      <c r="AG14" s="241"/>
      <c r="AH14" s="13">
        <f t="shared" si="12"/>
        <v>0</v>
      </c>
      <c r="AI14" s="241"/>
      <c r="AJ14" s="241"/>
      <c r="AK14" s="13">
        <f t="shared" si="13"/>
        <v>0</v>
      </c>
      <c r="AL14" s="241"/>
      <c r="AM14" s="241"/>
      <c r="AN14" s="13">
        <f t="shared" si="14"/>
        <v>0</v>
      </c>
      <c r="AO14" s="241"/>
      <c r="AP14" s="241"/>
      <c r="AQ14" s="13">
        <f t="shared" si="15"/>
        <v>0</v>
      </c>
      <c r="AR14" s="241"/>
      <c r="AS14" s="241"/>
      <c r="AT14" s="13">
        <f t="shared" si="16"/>
        <v>0</v>
      </c>
      <c r="AU14" s="241"/>
      <c r="AV14" s="241"/>
      <c r="AW14" s="13">
        <f t="shared" si="17"/>
        <v>0</v>
      </c>
      <c r="AX14" s="241"/>
      <c r="AY14" s="241"/>
      <c r="AZ14" s="13">
        <f t="shared" si="18"/>
        <v>0</v>
      </c>
      <c r="BA14" s="241"/>
      <c r="BB14" s="241"/>
      <c r="BC14" s="13">
        <f t="shared" si="19"/>
        <v>0</v>
      </c>
      <c r="BD14" s="241"/>
      <c r="BE14" s="241"/>
      <c r="BF14" s="13">
        <f t="shared" si="20"/>
        <v>0</v>
      </c>
      <c r="BG14" s="13">
        <f t="shared" si="22"/>
        <v>0</v>
      </c>
      <c r="BH14" s="14"/>
      <c r="BI14" s="14">
        <f t="shared" si="23"/>
        <v>0</v>
      </c>
      <c r="BJ14" s="242">
        <f t="shared" si="24"/>
        <v>100000</v>
      </c>
      <c r="BK14" s="242">
        <f t="shared" si="25"/>
        <v>0</v>
      </c>
      <c r="BL14" s="13"/>
      <c r="BM14" s="241"/>
      <c r="BN14" s="14">
        <f t="shared" si="26"/>
        <v>0</v>
      </c>
      <c r="BO14" s="241"/>
      <c r="BP14" s="241"/>
      <c r="BQ14" s="14">
        <f t="shared" si="27"/>
        <v>100000</v>
      </c>
      <c r="BR14" s="241"/>
      <c r="BS14" s="241"/>
      <c r="BT14" s="414">
        <v>930000</v>
      </c>
    </row>
    <row r="15" spans="1:72" s="413" customFormat="1">
      <c r="A15" s="414">
        <f t="shared" si="21"/>
        <v>9</v>
      </c>
      <c r="B15" s="414">
        <v>1704</v>
      </c>
      <c r="C15" s="414" t="s">
        <v>149</v>
      </c>
      <c r="D15" s="337">
        <v>5784000</v>
      </c>
      <c r="E15" s="337">
        <v>5784000</v>
      </c>
      <c r="F15" s="337">
        <f t="shared" si="2"/>
        <v>0</v>
      </c>
      <c r="G15" s="337">
        <v>5000</v>
      </c>
      <c r="H15" s="337">
        <v>1903.73</v>
      </c>
      <c r="I15" s="337"/>
      <c r="J15" s="337"/>
      <c r="K15" s="337">
        <f t="shared" ref="K15:K22" si="28">SUM(I15:J15)</f>
        <v>0</v>
      </c>
      <c r="L15" s="337">
        <f t="shared" si="4"/>
        <v>1903.73</v>
      </c>
      <c r="M15" s="337">
        <f t="shared" si="5"/>
        <v>3096.27</v>
      </c>
      <c r="N15" s="337">
        <v>25000</v>
      </c>
      <c r="O15" s="337">
        <f t="shared" si="0"/>
        <v>5754000</v>
      </c>
      <c r="P15" s="337">
        <f t="shared" si="6"/>
        <v>3096.27</v>
      </c>
      <c r="Q15" s="337"/>
      <c r="R15" s="337"/>
      <c r="S15" s="337">
        <f t="shared" si="7"/>
        <v>0</v>
      </c>
      <c r="T15" s="337">
        <f t="shared" si="8"/>
        <v>0</v>
      </c>
      <c r="U15" s="337">
        <f t="shared" si="1"/>
        <v>25000</v>
      </c>
      <c r="V15" s="337">
        <f t="shared" si="9"/>
        <v>25000</v>
      </c>
      <c r="W15" s="337"/>
      <c r="X15" s="337"/>
      <c r="Y15" s="414"/>
      <c r="Z15" s="13"/>
      <c r="AA15" s="13"/>
      <c r="AB15" s="13">
        <f t="shared" si="10"/>
        <v>0</v>
      </c>
      <c r="AC15" s="13"/>
      <c r="AD15" s="13"/>
      <c r="AE15" s="13">
        <f t="shared" si="11"/>
        <v>0</v>
      </c>
      <c r="AF15" s="13"/>
      <c r="AG15" s="13"/>
      <c r="AH15" s="13">
        <f t="shared" si="12"/>
        <v>0</v>
      </c>
      <c r="AI15" s="13"/>
      <c r="AJ15" s="13"/>
      <c r="AK15" s="13">
        <f t="shared" si="13"/>
        <v>0</v>
      </c>
      <c r="AL15" s="13"/>
      <c r="AM15" s="13"/>
      <c r="AN15" s="13">
        <f t="shared" si="14"/>
        <v>0</v>
      </c>
      <c r="AO15" s="13"/>
      <c r="AP15" s="13"/>
      <c r="AQ15" s="13">
        <f t="shared" si="15"/>
        <v>0</v>
      </c>
      <c r="AR15" s="13"/>
      <c r="AS15" s="13"/>
      <c r="AT15" s="13">
        <f t="shared" si="16"/>
        <v>0</v>
      </c>
      <c r="AU15" s="13"/>
      <c r="AV15" s="13"/>
      <c r="AW15" s="13">
        <f t="shared" si="17"/>
        <v>0</v>
      </c>
      <c r="AX15" s="13"/>
      <c r="AY15" s="13"/>
      <c r="AZ15" s="13">
        <f t="shared" si="18"/>
        <v>0</v>
      </c>
      <c r="BA15" s="13"/>
      <c r="BB15" s="13"/>
      <c r="BC15" s="13">
        <f t="shared" si="19"/>
        <v>0</v>
      </c>
      <c r="BD15" s="13"/>
      <c r="BE15" s="14">
        <v>25000</v>
      </c>
      <c r="BF15" s="14">
        <f t="shared" si="20"/>
        <v>25000</v>
      </c>
      <c r="BG15" s="14">
        <f t="shared" si="22"/>
        <v>25000</v>
      </c>
      <c r="BH15" s="14"/>
      <c r="BI15" s="14">
        <f t="shared" si="23"/>
        <v>25000</v>
      </c>
      <c r="BJ15" s="242">
        <f t="shared" si="24"/>
        <v>0</v>
      </c>
      <c r="BK15" s="242">
        <f t="shared" si="25"/>
        <v>25000</v>
      </c>
      <c r="BL15" s="13"/>
      <c r="BM15" s="241"/>
      <c r="BN15" s="14">
        <f t="shared" si="26"/>
        <v>0</v>
      </c>
      <c r="BO15" s="241"/>
      <c r="BP15" s="241"/>
      <c r="BQ15" s="14">
        <f t="shared" si="27"/>
        <v>0</v>
      </c>
      <c r="BR15" s="241"/>
      <c r="BS15" s="241"/>
      <c r="BT15" s="414">
        <v>930000</v>
      </c>
    </row>
    <row r="16" spans="1:72" s="413" customFormat="1">
      <c r="A16" s="414">
        <f t="shared" si="21"/>
        <v>10</v>
      </c>
      <c r="B16" s="394">
        <v>1715</v>
      </c>
      <c r="C16" s="394" t="s">
        <v>1175</v>
      </c>
      <c r="D16" s="337">
        <v>8645000</v>
      </c>
      <c r="E16" s="337">
        <v>8645000</v>
      </c>
      <c r="F16" s="337">
        <f t="shared" si="2"/>
        <v>0</v>
      </c>
      <c r="G16" s="337">
        <v>8150000</v>
      </c>
      <c r="H16" s="337">
        <v>8130200</v>
      </c>
      <c r="I16" s="337"/>
      <c r="J16" s="337"/>
      <c r="K16" s="337">
        <f t="shared" si="28"/>
        <v>0</v>
      </c>
      <c r="L16" s="337">
        <f t="shared" si="4"/>
        <v>8130200</v>
      </c>
      <c r="M16" s="337">
        <f t="shared" si="5"/>
        <v>19800</v>
      </c>
      <c r="N16" s="337"/>
      <c r="O16" s="337">
        <f t="shared" si="0"/>
        <v>495000</v>
      </c>
      <c r="P16" s="337">
        <f t="shared" si="6"/>
        <v>19800</v>
      </c>
      <c r="Q16" s="337"/>
      <c r="R16" s="337"/>
      <c r="S16" s="337">
        <f t="shared" si="7"/>
        <v>0</v>
      </c>
      <c r="T16" s="337">
        <f t="shared" si="8"/>
        <v>0</v>
      </c>
      <c r="U16" s="337">
        <f t="shared" si="1"/>
        <v>0</v>
      </c>
      <c r="V16" s="337">
        <f t="shared" si="9"/>
        <v>0</v>
      </c>
      <c r="W16" s="337"/>
      <c r="X16" s="337"/>
      <c r="Y16" s="414"/>
      <c r="Z16" s="13"/>
      <c r="AA16" s="13"/>
      <c r="AB16" s="13">
        <f>SUM(Z16:AA16)</f>
        <v>0</v>
      </c>
      <c r="AC16" s="13"/>
      <c r="AD16" s="13"/>
      <c r="AE16" s="13">
        <f>SUM(AC16:AD16)</f>
        <v>0</v>
      </c>
      <c r="AF16" s="13"/>
      <c r="AG16" s="13"/>
      <c r="AH16" s="13">
        <f>SUM(AF16:AG16)</f>
        <v>0</v>
      </c>
      <c r="AI16" s="13"/>
      <c r="AJ16" s="13"/>
      <c r="AK16" s="13">
        <f t="shared" si="13"/>
        <v>0</v>
      </c>
      <c r="AL16" s="13"/>
      <c r="AM16" s="13"/>
      <c r="AN16" s="13">
        <f t="shared" si="14"/>
        <v>0</v>
      </c>
      <c r="AO16" s="13"/>
      <c r="AP16" s="13"/>
      <c r="AQ16" s="13">
        <f t="shared" si="15"/>
        <v>0</v>
      </c>
      <c r="AR16" s="13"/>
      <c r="AS16" s="13"/>
      <c r="AT16" s="13">
        <f t="shared" si="16"/>
        <v>0</v>
      </c>
      <c r="AU16" s="13"/>
      <c r="AV16" s="13"/>
      <c r="AW16" s="13">
        <f t="shared" si="17"/>
        <v>0</v>
      </c>
      <c r="AX16" s="13"/>
      <c r="AY16" s="13"/>
      <c r="AZ16" s="13">
        <f t="shared" si="18"/>
        <v>0</v>
      </c>
      <c r="BA16" s="13"/>
      <c r="BB16" s="13"/>
      <c r="BC16" s="13">
        <f t="shared" si="19"/>
        <v>0</v>
      </c>
      <c r="BD16" s="13"/>
      <c r="BE16" s="13"/>
      <c r="BF16" s="13">
        <f t="shared" si="20"/>
        <v>0</v>
      </c>
      <c r="BG16" s="13">
        <f t="shared" si="22"/>
        <v>0</v>
      </c>
      <c r="BH16" s="14"/>
      <c r="BI16" s="14">
        <f t="shared" si="23"/>
        <v>0</v>
      </c>
      <c r="BJ16" s="242">
        <f t="shared" si="24"/>
        <v>0</v>
      </c>
      <c r="BK16" s="242">
        <f t="shared" si="25"/>
        <v>0</v>
      </c>
      <c r="BL16" s="13"/>
      <c r="BM16" s="241"/>
      <c r="BN16" s="14">
        <f t="shared" si="26"/>
        <v>0</v>
      </c>
      <c r="BO16" s="241"/>
      <c r="BP16" s="241"/>
      <c r="BQ16" s="14">
        <f t="shared" si="27"/>
        <v>0</v>
      </c>
      <c r="BR16" s="241"/>
      <c r="BS16" s="241"/>
      <c r="BT16" s="414">
        <v>930000</v>
      </c>
    </row>
    <row r="17" spans="1:72" s="413" customFormat="1">
      <c r="A17" s="414">
        <f t="shared" si="21"/>
        <v>11</v>
      </c>
      <c r="B17" s="414">
        <v>1791</v>
      </c>
      <c r="C17" s="414" t="s">
        <v>150</v>
      </c>
      <c r="D17" s="337">
        <v>570000</v>
      </c>
      <c r="E17" s="337">
        <v>500000</v>
      </c>
      <c r="F17" s="337">
        <f t="shared" si="2"/>
        <v>70000</v>
      </c>
      <c r="G17" s="337">
        <v>500000</v>
      </c>
      <c r="H17" s="337">
        <v>104150</v>
      </c>
      <c r="I17" s="337"/>
      <c r="J17" s="337"/>
      <c r="K17" s="337">
        <f t="shared" si="28"/>
        <v>0</v>
      </c>
      <c r="L17" s="337">
        <f t="shared" si="4"/>
        <v>104150</v>
      </c>
      <c r="M17" s="337">
        <f t="shared" si="5"/>
        <v>395850</v>
      </c>
      <c r="N17" s="337">
        <v>70000</v>
      </c>
      <c r="O17" s="337">
        <f t="shared" si="0"/>
        <v>0</v>
      </c>
      <c r="P17" s="337">
        <f t="shared" si="6"/>
        <v>395850</v>
      </c>
      <c r="Q17" s="337"/>
      <c r="R17" s="337"/>
      <c r="S17" s="337">
        <f t="shared" si="7"/>
        <v>0</v>
      </c>
      <c r="T17" s="337">
        <f t="shared" si="8"/>
        <v>0</v>
      </c>
      <c r="U17" s="337">
        <f t="shared" si="1"/>
        <v>70000</v>
      </c>
      <c r="V17" s="337">
        <f t="shared" si="9"/>
        <v>70000</v>
      </c>
      <c r="W17" s="337"/>
      <c r="X17" s="337"/>
      <c r="Y17" s="414"/>
      <c r="Z17" s="241"/>
      <c r="AA17" s="241"/>
      <c r="AB17" s="13">
        <f t="shared" ref="AB17:AB22" si="29">SUM(Z17:AA17)</f>
        <v>0</v>
      </c>
      <c r="AC17" s="241"/>
      <c r="AD17" s="241"/>
      <c r="AE17" s="13">
        <f t="shared" ref="AE17:AE22" si="30">SUM(AC17:AD17)</f>
        <v>0</v>
      </c>
      <c r="AF17" s="241"/>
      <c r="AG17" s="241"/>
      <c r="AH17" s="13">
        <f t="shared" ref="AH17:AH22" si="31">SUM(AF17:AG17)</f>
        <v>0</v>
      </c>
      <c r="AI17" s="241"/>
      <c r="AJ17" s="241"/>
      <c r="AK17" s="13">
        <f t="shared" si="13"/>
        <v>0</v>
      </c>
      <c r="AL17" s="241"/>
      <c r="AM17" s="241"/>
      <c r="AN17" s="13">
        <f t="shared" si="14"/>
        <v>0</v>
      </c>
      <c r="AO17" s="241"/>
      <c r="AP17" s="241"/>
      <c r="AQ17" s="13">
        <f t="shared" si="15"/>
        <v>0</v>
      </c>
      <c r="AR17" s="241"/>
      <c r="AS17" s="241"/>
      <c r="AT17" s="13">
        <f t="shared" si="16"/>
        <v>0</v>
      </c>
      <c r="AU17" s="241"/>
      <c r="AV17" s="241"/>
      <c r="AW17" s="13">
        <f t="shared" si="17"/>
        <v>0</v>
      </c>
      <c r="AX17" s="241"/>
      <c r="AY17" s="241"/>
      <c r="AZ17" s="13">
        <f t="shared" si="18"/>
        <v>0</v>
      </c>
      <c r="BA17" s="241"/>
      <c r="BB17" s="241"/>
      <c r="BC17" s="13">
        <f t="shared" si="19"/>
        <v>0</v>
      </c>
      <c r="BD17" s="241"/>
      <c r="BE17" s="241"/>
      <c r="BF17" s="13">
        <f t="shared" si="20"/>
        <v>0</v>
      </c>
      <c r="BG17" s="13">
        <f t="shared" si="22"/>
        <v>0</v>
      </c>
      <c r="BH17" s="14"/>
      <c r="BI17" s="14">
        <f t="shared" si="23"/>
        <v>0</v>
      </c>
      <c r="BJ17" s="242">
        <f t="shared" si="24"/>
        <v>70000</v>
      </c>
      <c r="BK17" s="242">
        <f t="shared" si="25"/>
        <v>0</v>
      </c>
      <c r="BL17" s="13"/>
      <c r="BM17" s="241"/>
      <c r="BN17" s="14">
        <f t="shared" si="26"/>
        <v>0</v>
      </c>
      <c r="BO17" s="241"/>
      <c r="BP17" s="241"/>
      <c r="BQ17" s="14">
        <f t="shared" si="27"/>
        <v>70000</v>
      </c>
      <c r="BR17" s="241"/>
      <c r="BS17" s="241"/>
      <c r="BT17" s="414">
        <v>930000</v>
      </c>
    </row>
    <row r="18" spans="1:72" s="413" customFormat="1">
      <c r="A18" s="414">
        <f t="shared" si="21"/>
        <v>12</v>
      </c>
      <c r="B18" s="414">
        <v>1801</v>
      </c>
      <c r="C18" s="414" t="s">
        <v>245</v>
      </c>
      <c r="D18" s="337">
        <v>36000000</v>
      </c>
      <c r="E18" s="337">
        <v>36000000</v>
      </c>
      <c r="F18" s="337">
        <f t="shared" si="2"/>
        <v>0</v>
      </c>
      <c r="G18" s="337">
        <v>36000000</v>
      </c>
      <c r="H18" s="337">
        <v>30345661.890000001</v>
      </c>
      <c r="I18" s="337"/>
      <c r="J18" s="337"/>
      <c r="K18" s="337">
        <f t="shared" si="28"/>
        <v>0</v>
      </c>
      <c r="L18" s="337">
        <f t="shared" si="4"/>
        <v>30345661.890000001</v>
      </c>
      <c r="M18" s="337">
        <f t="shared" si="5"/>
        <v>5654338.1099999994</v>
      </c>
      <c r="N18" s="337"/>
      <c r="O18" s="337">
        <f t="shared" si="0"/>
        <v>0</v>
      </c>
      <c r="P18" s="337">
        <f t="shared" si="6"/>
        <v>5654338.1099999994</v>
      </c>
      <c r="Q18" s="337"/>
      <c r="R18" s="337"/>
      <c r="S18" s="337">
        <f t="shared" si="7"/>
        <v>0</v>
      </c>
      <c r="T18" s="337">
        <f t="shared" si="8"/>
        <v>0</v>
      </c>
      <c r="U18" s="337">
        <f t="shared" si="1"/>
        <v>0</v>
      </c>
      <c r="V18" s="337">
        <f t="shared" si="9"/>
        <v>0</v>
      </c>
      <c r="W18" s="337"/>
      <c r="X18" s="337"/>
      <c r="Y18" s="414"/>
      <c r="Z18" s="241"/>
      <c r="AA18" s="241"/>
      <c r="AB18" s="13">
        <f t="shared" si="29"/>
        <v>0</v>
      </c>
      <c r="AC18" s="241"/>
      <c r="AD18" s="241"/>
      <c r="AE18" s="13">
        <f t="shared" si="30"/>
        <v>0</v>
      </c>
      <c r="AF18" s="241"/>
      <c r="AG18" s="241"/>
      <c r="AH18" s="13">
        <f t="shared" si="31"/>
        <v>0</v>
      </c>
      <c r="AI18" s="241"/>
      <c r="AJ18" s="241"/>
      <c r="AK18" s="13">
        <f t="shared" si="13"/>
        <v>0</v>
      </c>
      <c r="AL18" s="241"/>
      <c r="AM18" s="241"/>
      <c r="AN18" s="13">
        <f t="shared" si="14"/>
        <v>0</v>
      </c>
      <c r="AO18" s="241"/>
      <c r="AP18" s="241"/>
      <c r="AQ18" s="13">
        <f t="shared" si="15"/>
        <v>0</v>
      </c>
      <c r="AR18" s="241"/>
      <c r="AS18" s="241"/>
      <c r="AT18" s="13">
        <f t="shared" si="16"/>
        <v>0</v>
      </c>
      <c r="AU18" s="241"/>
      <c r="AV18" s="241"/>
      <c r="AW18" s="13">
        <f t="shared" si="17"/>
        <v>0</v>
      </c>
      <c r="AX18" s="241"/>
      <c r="AY18" s="241"/>
      <c r="AZ18" s="13">
        <f t="shared" si="18"/>
        <v>0</v>
      </c>
      <c r="BA18" s="241"/>
      <c r="BB18" s="241"/>
      <c r="BC18" s="13">
        <f t="shared" si="19"/>
        <v>0</v>
      </c>
      <c r="BD18" s="241"/>
      <c r="BE18" s="241"/>
      <c r="BF18" s="13">
        <f t="shared" si="20"/>
        <v>0</v>
      </c>
      <c r="BG18" s="13">
        <f t="shared" si="22"/>
        <v>0</v>
      </c>
      <c r="BH18" s="14"/>
      <c r="BI18" s="14">
        <f t="shared" si="23"/>
        <v>0</v>
      </c>
      <c r="BJ18" s="242">
        <f t="shared" si="24"/>
        <v>0</v>
      </c>
      <c r="BK18" s="242">
        <f t="shared" si="25"/>
        <v>0</v>
      </c>
      <c r="BL18" s="13"/>
      <c r="BM18" s="241"/>
      <c r="BN18" s="14">
        <f t="shared" si="26"/>
        <v>0</v>
      </c>
      <c r="BO18" s="241"/>
      <c r="BP18" s="241"/>
      <c r="BQ18" s="14">
        <f t="shared" si="27"/>
        <v>0</v>
      </c>
      <c r="BR18" s="241"/>
      <c r="BS18" s="241"/>
      <c r="BT18" s="414">
        <v>930000</v>
      </c>
    </row>
    <row r="19" spans="1:72" s="413" customFormat="1">
      <c r="A19" s="414">
        <f t="shared" si="21"/>
        <v>13</v>
      </c>
      <c r="B19" s="414">
        <v>1816</v>
      </c>
      <c r="C19" s="414" t="s">
        <v>246</v>
      </c>
      <c r="D19" s="337">
        <v>565000</v>
      </c>
      <c r="E19" s="337">
        <v>565000</v>
      </c>
      <c r="F19" s="337">
        <f t="shared" si="2"/>
        <v>0</v>
      </c>
      <c r="G19" s="337">
        <v>565000</v>
      </c>
      <c r="H19" s="337">
        <v>400000</v>
      </c>
      <c r="I19" s="337"/>
      <c r="J19" s="337"/>
      <c r="K19" s="337">
        <f t="shared" si="28"/>
        <v>0</v>
      </c>
      <c r="L19" s="337">
        <f t="shared" si="4"/>
        <v>400000</v>
      </c>
      <c r="M19" s="337">
        <f t="shared" si="5"/>
        <v>165000</v>
      </c>
      <c r="N19" s="337"/>
      <c r="O19" s="337">
        <f t="shared" si="0"/>
        <v>0</v>
      </c>
      <c r="P19" s="337">
        <f t="shared" si="6"/>
        <v>165000</v>
      </c>
      <c r="Q19" s="337"/>
      <c r="R19" s="337"/>
      <c r="S19" s="337">
        <f t="shared" si="7"/>
        <v>0</v>
      </c>
      <c r="T19" s="337">
        <f t="shared" si="8"/>
        <v>0</v>
      </c>
      <c r="U19" s="337">
        <f t="shared" si="1"/>
        <v>0</v>
      </c>
      <c r="V19" s="337">
        <f t="shared" si="9"/>
        <v>0</v>
      </c>
      <c r="W19" s="337"/>
      <c r="X19" s="337"/>
      <c r="Y19" s="414"/>
      <c r="Z19" s="241"/>
      <c r="AA19" s="241"/>
      <c r="AB19" s="13">
        <f t="shared" si="29"/>
        <v>0</v>
      </c>
      <c r="AC19" s="241"/>
      <c r="AD19" s="241"/>
      <c r="AE19" s="13">
        <f t="shared" si="30"/>
        <v>0</v>
      </c>
      <c r="AF19" s="241"/>
      <c r="AG19" s="241"/>
      <c r="AH19" s="13">
        <f t="shared" si="31"/>
        <v>0</v>
      </c>
      <c r="AI19" s="241"/>
      <c r="AJ19" s="241"/>
      <c r="AK19" s="13">
        <f t="shared" si="13"/>
        <v>0</v>
      </c>
      <c r="AL19" s="241"/>
      <c r="AM19" s="241"/>
      <c r="AN19" s="13">
        <f t="shared" si="14"/>
        <v>0</v>
      </c>
      <c r="AO19" s="241"/>
      <c r="AP19" s="241"/>
      <c r="AQ19" s="13">
        <f t="shared" si="15"/>
        <v>0</v>
      </c>
      <c r="AR19" s="241"/>
      <c r="AS19" s="241"/>
      <c r="AT19" s="13">
        <f t="shared" si="16"/>
        <v>0</v>
      </c>
      <c r="AU19" s="241"/>
      <c r="AV19" s="241"/>
      <c r="AW19" s="13">
        <f t="shared" si="17"/>
        <v>0</v>
      </c>
      <c r="AX19" s="241"/>
      <c r="AY19" s="241"/>
      <c r="AZ19" s="13">
        <f t="shared" si="18"/>
        <v>0</v>
      </c>
      <c r="BA19" s="241"/>
      <c r="BB19" s="241"/>
      <c r="BC19" s="13">
        <f t="shared" si="19"/>
        <v>0</v>
      </c>
      <c r="BD19" s="241"/>
      <c r="BE19" s="241"/>
      <c r="BF19" s="13">
        <f t="shared" si="20"/>
        <v>0</v>
      </c>
      <c r="BG19" s="13">
        <f t="shared" si="22"/>
        <v>0</v>
      </c>
      <c r="BH19" s="14"/>
      <c r="BI19" s="14">
        <f t="shared" si="23"/>
        <v>0</v>
      </c>
      <c r="BJ19" s="242">
        <f t="shared" si="24"/>
        <v>0</v>
      </c>
      <c r="BK19" s="242">
        <f t="shared" si="25"/>
        <v>0</v>
      </c>
      <c r="BL19" s="13"/>
      <c r="BM19" s="241"/>
      <c r="BN19" s="14">
        <f t="shared" si="26"/>
        <v>0</v>
      </c>
      <c r="BO19" s="241"/>
      <c r="BP19" s="241"/>
      <c r="BQ19" s="14">
        <f t="shared" si="27"/>
        <v>0</v>
      </c>
      <c r="BR19" s="241"/>
      <c r="BS19" s="241"/>
      <c r="BT19" s="414">
        <v>930000</v>
      </c>
    </row>
    <row r="20" spans="1:72" s="413" customFormat="1">
      <c r="A20" s="414">
        <f>1+A19</f>
        <v>14</v>
      </c>
      <c r="B20" s="414">
        <v>1983</v>
      </c>
      <c r="C20" s="414" t="s">
        <v>375</v>
      </c>
      <c r="D20" s="337">
        <v>800000</v>
      </c>
      <c r="E20" s="337"/>
      <c r="F20" s="337">
        <f t="shared" si="2"/>
        <v>800000</v>
      </c>
      <c r="G20" s="337"/>
      <c r="H20" s="337"/>
      <c r="I20" s="337"/>
      <c r="J20" s="337"/>
      <c r="K20" s="337">
        <f t="shared" si="28"/>
        <v>0</v>
      </c>
      <c r="L20" s="337">
        <f t="shared" si="4"/>
        <v>0</v>
      </c>
      <c r="M20" s="337">
        <f t="shared" si="5"/>
        <v>0</v>
      </c>
      <c r="N20" s="337">
        <v>100000</v>
      </c>
      <c r="O20" s="337">
        <f t="shared" si="0"/>
        <v>700000</v>
      </c>
      <c r="P20" s="337">
        <f t="shared" si="6"/>
        <v>0</v>
      </c>
      <c r="Q20" s="337"/>
      <c r="R20" s="337"/>
      <c r="S20" s="337">
        <f t="shared" si="7"/>
        <v>0</v>
      </c>
      <c r="T20" s="337">
        <f t="shared" si="8"/>
        <v>0</v>
      </c>
      <c r="U20" s="337">
        <f t="shared" si="1"/>
        <v>100000</v>
      </c>
      <c r="V20" s="337">
        <f t="shared" si="9"/>
        <v>100000</v>
      </c>
      <c r="W20" s="337"/>
      <c r="X20" s="337"/>
      <c r="Y20" s="414"/>
      <c r="Z20" s="241"/>
      <c r="AA20" s="241"/>
      <c r="AB20" s="13">
        <f t="shared" si="29"/>
        <v>0</v>
      </c>
      <c r="AC20" s="241"/>
      <c r="AD20" s="241"/>
      <c r="AE20" s="13">
        <f t="shared" si="30"/>
        <v>0</v>
      </c>
      <c r="AF20" s="241"/>
      <c r="AG20" s="241"/>
      <c r="AH20" s="13">
        <f t="shared" si="31"/>
        <v>0</v>
      </c>
      <c r="AI20" s="241"/>
      <c r="AJ20" s="241"/>
      <c r="AK20" s="13">
        <f t="shared" si="13"/>
        <v>0</v>
      </c>
      <c r="AL20" s="241"/>
      <c r="AM20" s="241"/>
      <c r="AN20" s="13">
        <f t="shared" si="14"/>
        <v>0</v>
      </c>
      <c r="AO20" s="241"/>
      <c r="AP20" s="241"/>
      <c r="AQ20" s="13">
        <f t="shared" si="15"/>
        <v>0</v>
      </c>
      <c r="AR20" s="241"/>
      <c r="AS20" s="241"/>
      <c r="AT20" s="13">
        <f t="shared" si="16"/>
        <v>0</v>
      </c>
      <c r="AU20" s="241"/>
      <c r="AV20" s="241"/>
      <c r="AW20" s="13">
        <f t="shared" si="17"/>
        <v>0</v>
      </c>
      <c r="AX20" s="241"/>
      <c r="AY20" s="241"/>
      <c r="AZ20" s="13">
        <f t="shared" si="18"/>
        <v>0</v>
      </c>
      <c r="BA20" s="241"/>
      <c r="BB20" s="241"/>
      <c r="BC20" s="13">
        <f t="shared" si="19"/>
        <v>0</v>
      </c>
      <c r="BD20" s="241"/>
      <c r="BE20" s="241"/>
      <c r="BF20" s="13">
        <f t="shared" si="20"/>
        <v>0</v>
      </c>
      <c r="BG20" s="13">
        <f t="shared" si="22"/>
        <v>0</v>
      </c>
      <c r="BH20" s="14"/>
      <c r="BI20" s="14">
        <f t="shared" si="23"/>
        <v>0</v>
      </c>
      <c r="BJ20" s="242">
        <f t="shared" si="24"/>
        <v>100000</v>
      </c>
      <c r="BK20" s="242">
        <f t="shared" si="25"/>
        <v>0</v>
      </c>
      <c r="BL20" s="13"/>
      <c r="BM20" s="241"/>
      <c r="BN20" s="14">
        <f t="shared" si="26"/>
        <v>0</v>
      </c>
      <c r="BO20" s="241"/>
      <c r="BP20" s="241"/>
      <c r="BQ20" s="14">
        <f t="shared" si="27"/>
        <v>100000</v>
      </c>
      <c r="BR20" s="241"/>
      <c r="BS20" s="241"/>
      <c r="BT20" s="414">
        <v>930000</v>
      </c>
    </row>
    <row r="21" spans="1:72" s="413" customFormat="1">
      <c r="A21" s="414">
        <f t="shared" si="21"/>
        <v>15</v>
      </c>
      <c r="B21" s="414">
        <v>1984</v>
      </c>
      <c r="C21" s="414" t="s">
        <v>376</v>
      </c>
      <c r="D21" s="337">
        <v>450000</v>
      </c>
      <c r="E21" s="337"/>
      <c r="F21" s="337">
        <f t="shared" si="2"/>
        <v>450000</v>
      </c>
      <c r="G21" s="337"/>
      <c r="H21" s="337"/>
      <c r="I21" s="337"/>
      <c r="J21" s="337"/>
      <c r="K21" s="337">
        <f t="shared" si="28"/>
        <v>0</v>
      </c>
      <c r="L21" s="337">
        <f t="shared" si="4"/>
        <v>0</v>
      </c>
      <c r="M21" s="337">
        <f t="shared" si="5"/>
        <v>0</v>
      </c>
      <c r="N21" s="337">
        <v>100000</v>
      </c>
      <c r="O21" s="337">
        <f t="shared" si="0"/>
        <v>350000</v>
      </c>
      <c r="P21" s="337">
        <f t="shared" si="6"/>
        <v>0</v>
      </c>
      <c r="Q21" s="337"/>
      <c r="R21" s="337"/>
      <c r="S21" s="337">
        <f t="shared" si="7"/>
        <v>0</v>
      </c>
      <c r="T21" s="337">
        <f t="shared" si="8"/>
        <v>0</v>
      </c>
      <c r="U21" s="337">
        <f t="shared" si="1"/>
        <v>100000</v>
      </c>
      <c r="V21" s="337">
        <f t="shared" si="9"/>
        <v>100000</v>
      </c>
      <c r="W21" s="337"/>
      <c r="X21" s="337"/>
      <c r="Y21" s="414"/>
      <c r="Z21" s="241"/>
      <c r="AA21" s="241"/>
      <c r="AB21" s="13">
        <f t="shared" si="29"/>
        <v>0</v>
      </c>
      <c r="AC21" s="241"/>
      <c r="AD21" s="241"/>
      <c r="AE21" s="13">
        <f t="shared" si="30"/>
        <v>0</v>
      </c>
      <c r="AF21" s="241"/>
      <c r="AG21" s="241"/>
      <c r="AH21" s="13">
        <f t="shared" si="31"/>
        <v>0</v>
      </c>
      <c r="AI21" s="241"/>
      <c r="AJ21" s="241"/>
      <c r="AK21" s="13">
        <f t="shared" si="13"/>
        <v>0</v>
      </c>
      <c r="AL21" s="241"/>
      <c r="AM21" s="241"/>
      <c r="AN21" s="13">
        <f t="shared" si="14"/>
        <v>0</v>
      </c>
      <c r="AO21" s="241"/>
      <c r="AP21" s="241"/>
      <c r="AQ21" s="13">
        <f t="shared" si="15"/>
        <v>0</v>
      </c>
      <c r="AR21" s="241"/>
      <c r="AS21" s="241"/>
      <c r="AT21" s="13">
        <f t="shared" si="16"/>
        <v>0</v>
      </c>
      <c r="AU21" s="241"/>
      <c r="AV21" s="241"/>
      <c r="AW21" s="13">
        <f t="shared" si="17"/>
        <v>0</v>
      </c>
      <c r="AX21" s="241"/>
      <c r="AY21" s="241"/>
      <c r="AZ21" s="13">
        <f t="shared" si="18"/>
        <v>0</v>
      </c>
      <c r="BA21" s="241"/>
      <c r="BB21" s="241"/>
      <c r="BC21" s="13">
        <f t="shared" si="19"/>
        <v>0</v>
      </c>
      <c r="BD21" s="241"/>
      <c r="BE21" s="241"/>
      <c r="BF21" s="13">
        <f t="shared" si="20"/>
        <v>0</v>
      </c>
      <c r="BG21" s="13">
        <f t="shared" si="22"/>
        <v>0</v>
      </c>
      <c r="BH21" s="14"/>
      <c r="BI21" s="14">
        <f t="shared" si="23"/>
        <v>0</v>
      </c>
      <c r="BJ21" s="242">
        <f t="shared" si="24"/>
        <v>100000</v>
      </c>
      <c r="BK21" s="242">
        <f t="shared" si="25"/>
        <v>0</v>
      </c>
      <c r="BL21" s="13"/>
      <c r="BM21" s="241"/>
      <c r="BN21" s="14">
        <f t="shared" si="26"/>
        <v>0</v>
      </c>
      <c r="BO21" s="241"/>
      <c r="BP21" s="241"/>
      <c r="BQ21" s="14">
        <f t="shared" si="27"/>
        <v>100000</v>
      </c>
      <c r="BR21" s="241"/>
      <c r="BS21" s="241"/>
      <c r="BT21" s="414">
        <v>930000</v>
      </c>
    </row>
    <row r="22" spans="1:72" s="413" customFormat="1">
      <c r="A22" s="414">
        <f t="shared" si="21"/>
        <v>16</v>
      </c>
      <c r="B22" s="414">
        <v>1985</v>
      </c>
      <c r="C22" s="414" t="s">
        <v>377</v>
      </c>
      <c r="D22" s="337">
        <v>600000</v>
      </c>
      <c r="E22" s="337"/>
      <c r="F22" s="337">
        <f t="shared" si="2"/>
        <v>600000</v>
      </c>
      <c r="G22" s="337"/>
      <c r="H22" s="337"/>
      <c r="I22" s="337"/>
      <c r="J22" s="337"/>
      <c r="K22" s="337">
        <f t="shared" si="28"/>
        <v>0</v>
      </c>
      <c r="L22" s="337">
        <f t="shared" si="4"/>
        <v>0</v>
      </c>
      <c r="M22" s="337">
        <f t="shared" si="5"/>
        <v>0</v>
      </c>
      <c r="N22" s="337">
        <v>100000</v>
      </c>
      <c r="O22" s="337">
        <f t="shared" si="0"/>
        <v>500000</v>
      </c>
      <c r="P22" s="337">
        <f t="shared" si="6"/>
        <v>0</v>
      </c>
      <c r="Q22" s="337"/>
      <c r="R22" s="337"/>
      <c r="S22" s="337">
        <f t="shared" si="7"/>
        <v>0</v>
      </c>
      <c r="T22" s="337">
        <f t="shared" si="8"/>
        <v>0</v>
      </c>
      <c r="U22" s="337">
        <f t="shared" si="1"/>
        <v>100000</v>
      </c>
      <c r="V22" s="337">
        <f t="shared" si="9"/>
        <v>100000</v>
      </c>
      <c r="W22" s="337"/>
      <c r="X22" s="337"/>
      <c r="Y22" s="414"/>
      <c r="Z22" s="241"/>
      <c r="AA22" s="241"/>
      <c r="AB22" s="13">
        <f t="shared" si="29"/>
        <v>0</v>
      </c>
      <c r="AC22" s="241"/>
      <c r="AD22" s="241"/>
      <c r="AE22" s="13">
        <f t="shared" si="30"/>
        <v>0</v>
      </c>
      <c r="AF22" s="241"/>
      <c r="AG22" s="241"/>
      <c r="AH22" s="13">
        <f t="shared" si="31"/>
        <v>0</v>
      </c>
      <c r="AI22" s="241"/>
      <c r="AJ22" s="241"/>
      <c r="AK22" s="13">
        <f t="shared" si="13"/>
        <v>0</v>
      </c>
      <c r="AL22" s="241"/>
      <c r="AM22" s="241"/>
      <c r="AN22" s="13">
        <f t="shared" si="14"/>
        <v>0</v>
      </c>
      <c r="AO22" s="241"/>
      <c r="AP22" s="241"/>
      <c r="AQ22" s="13">
        <f t="shared" si="15"/>
        <v>0</v>
      </c>
      <c r="AR22" s="241"/>
      <c r="AS22" s="241"/>
      <c r="AT22" s="13">
        <f t="shared" si="16"/>
        <v>0</v>
      </c>
      <c r="AU22" s="241"/>
      <c r="AV22" s="241"/>
      <c r="AW22" s="13">
        <f t="shared" si="17"/>
        <v>0</v>
      </c>
      <c r="AX22" s="241"/>
      <c r="AY22" s="241"/>
      <c r="AZ22" s="13">
        <f t="shared" si="18"/>
        <v>0</v>
      </c>
      <c r="BA22" s="241"/>
      <c r="BB22" s="241"/>
      <c r="BC22" s="13">
        <f t="shared" si="19"/>
        <v>0</v>
      </c>
      <c r="BD22" s="241"/>
      <c r="BE22" s="241"/>
      <c r="BF22" s="13">
        <f t="shared" si="20"/>
        <v>0</v>
      </c>
      <c r="BG22" s="13">
        <f t="shared" si="22"/>
        <v>0</v>
      </c>
      <c r="BH22" s="14"/>
      <c r="BI22" s="14">
        <f t="shared" si="23"/>
        <v>0</v>
      </c>
      <c r="BJ22" s="242">
        <f t="shared" si="24"/>
        <v>100000</v>
      </c>
      <c r="BK22" s="242">
        <f t="shared" si="25"/>
        <v>0</v>
      </c>
      <c r="BL22" s="13"/>
      <c r="BM22" s="241"/>
      <c r="BN22" s="14">
        <f t="shared" si="26"/>
        <v>0</v>
      </c>
      <c r="BO22" s="241"/>
      <c r="BP22" s="241"/>
      <c r="BQ22" s="14">
        <f t="shared" si="27"/>
        <v>100000</v>
      </c>
      <c r="BR22" s="241"/>
      <c r="BS22" s="241"/>
      <c r="BT22" s="414">
        <v>930000</v>
      </c>
    </row>
    <row r="23" spans="1:72" s="426" customFormat="1" ht="15.75">
      <c r="A23" s="427">
        <f>A22</f>
        <v>16</v>
      </c>
      <c r="B23" s="427" t="s">
        <v>82</v>
      </c>
      <c r="C23" s="427" t="s">
        <v>151</v>
      </c>
      <c r="D23" s="460">
        <f t="shared" ref="D23:BS23" si="32">SUM(D7:D22)</f>
        <v>161539700</v>
      </c>
      <c r="E23" s="460">
        <f t="shared" si="32"/>
        <v>159519700</v>
      </c>
      <c r="F23" s="460">
        <f t="shared" si="32"/>
        <v>2020000</v>
      </c>
      <c r="G23" s="460">
        <f t="shared" si="32"/>
        <v>95872525</v>
      </c>
      <c r="H23" s="460">
        <f t="shared" si="32"/>
        <v>73604299.710000008</v>
      </c>
      <c r="I23" s="460">
        <f t="shared" si="32"/>
        <v>6107</v>
      </c>
      <c r="J23" s="460">
        <f t="shared" si="32"/>
        <v>0</v>
      </c>
      <c r="K23" s="460">
        <f t="shared" si="32"/>
        <v>6107</v>
      </c>
      <c r="L23" s="460">
        <f t="shared" si="32"/>
        <v>73610406.710000008</v>
      </c>
      <c r="M23" s="460">
        <f t="shared" si="32"/>
        <v>22262118.289999999</v>
      </c>
      <c r="N23" s="460">
        <f t="shared" si="32"/>
        <v>2645000</v>
      </c>
      <c r="O23" s="460">
        <f t="shared" si="32"/>
        <v>63022175</v>
      </c>
      <c r="P23" s="460">
        <f t="shared" si="32"/>
        <v>22262118.289999999</v>
      </c>
      <c r="Q23" s="460">
        <f t="shared" si="32"/>
        <v>0</v>
      </c>
      <c r="R23" s="460">
        <f t="shared" si="32"/>
        <v>0</v>
      </c>
      <c r="S23" s="460">
        <f t="shared" si="32"/>
        <v>0</v>
      </c>
      <c r="T23" s="460">
        <f t="shared" si="32"/>
        <v>0</v>
      </c>
      <c r="U23" s="460">
        <f t="shared" si="32"/>
        <v>2645000</v>
      </c>
      <c r="V23" s="460">
        <f t="shared" si="32"/>
        <v>2645000</v>
      </c>
      <c r="W23" s="460">
        <f t="shared" si="32"/>
        <v>0</v>
      </c>
      <c r="X23" s="460">
        <f t="shared" si="32"/>
        <v>0</v>
      </c>
      <c r="Y23" s="460">
        <f t="shared" si="32"/>
        <v>0</v>
      </c>
      <c r="Z23" s="460">
        <f t="shared" si="32"/>
        <v>0</v>
      </c>
      <c r="AA23" s="460">
        <f t="shared" si="32"/>
        <v>0</v>
      </c>
      <c r="AB23" s="460">
        <f t="shared" si="32"/>
        <v>0</v>
      </c>
      <c r="AC23" s="460">
        <f t="shared" si="32"/>
        <v>0</v>
      </c>
      <c r="AD23" s="460">
        <f t="shared" si="32"/>
        <v>0</v>
      </c>
      <c r="AE23" s="460">
        <f t="shared" si="32"/>
        <v>0</v>
      </c>
      <c r="AF23" s="460">
        <f t="shared" si="32"/>
        <v>0</v>
      </c>
      <c r="AG23" s="460">
        <f t="shared" si="32"/>
        <v>0</v>
      </c>
      <c r="AH23" s="460">
        <f t="shared" si="32"/>
        <v>0</v>
      </c>
      <c r="AI23" s="460">
        <f t="shared" si="32"/>
        <v>0</v>
      </c>
      <c r="AJ23" s="460">
        <f t="shared" si="32"/>
        <v>0</v>
      </c>
      <c r="AK23" s="460">
        <f t="shared" si="32"/>
        <v>0</v>
      </c>
      <c r="AL23" s="460">
        <f t="shared" si="32"/>
        <v>0</v>
      </c>
      <c r="AM23" s="460">
        <f t="shared" si="32"/>
        <v>0</v>
      </c>
      <c r="AN23" s="460">
        <f t="shared" si="32"/>
        <v>0</v>
      </c>
      <c r="AO23" s="460">
        <f t="shared" si="32"/>
        <v>0</v>
      </c>
      <c r="AP23" s="460">
        <f t="shared" si="32"/>
        <v>0</v>
      </c>
      <c r="AQ23" s="460">
        <f t="shared" si="32"/>
        <v>0</v>
      </c>
      <c r="AR23" s="460">
        <f t="shared" si="32"/>
        <v>0</v>
      </c>
      <c r="AS23" s="460">
        <f t="shared" si="32"/>
        <v>0</v>
      </c>
      <c r="AT23" s="460">
        <f t="shared" si="32"/>
        <v>0</v>
      </c>
      <c r="AU23" s="460">
        <f t="shared" si="32"/>
        <v>0</v>
      </c>
      <c r="AV23" s="460">
        <f t="shared" si="32"/>
        <v>0</v>
      </c>
      <c r="AW23" s="460">
        <f t="shared" si="32"/>
        <v>0</v>
      </c>
      <c r="AX23" s="460">
        <f t="shared" si="32"/>
        <v>0</v>
      </c>
      <c r="AY23" s="460">
        <f t="shared" si="32"/>
        <v>0</v>
      </c>
      <c r="AZ23" s="460">
        <f t="shared" si="32"/>
        <v>0</v>
      </c>
      <c r="BA23" s="460">
        <f t="shared" si="32"/>
        <v>0</v>
      </c>
      <c r="BB23" s="460">
        <f t="shared" si="32"/>
        <v>0</v>
      </c>
      <c r="BC23" s="460">
        <f t="shared" si="32"/>
        <v>0</v>
      </c>
      <c r="BD23" s="460">
        <f t="shared" si="32"/>
        <v>0</v>
      </c>
      <c r="BE23" s="460">
        <f t="shared" si="32"/>
        <v>25000</v>
      </c>
      <c r="BF23" s="460">
        <f t="shared" si="32"/>
        <v>25000</v>
      </c>
      <c r="BG23" s="460">
        <f t="shared" si="32"/>
        <v>25000</v>
      </c>
      <c r="BH23" s="460">
        <f t="shared" si="32"/>
        <v>0</v>
      </c>
      <c r="BI23" s="460">
        <f t="shared" si="32"/>
        <v>25000</v>
      </c>
      <c r="BJ23" s="460">
        <f>SUM(BJ7:BJ22)</f>
        <v>2620000</v>
      </c>
      <c r="BK23" s="460">
        <f t="shared" si="32"/>
        <v>25000</v>
      </c>
      <c r="BL23" s="460">
        <f>SUM(BL7:BL22)</f>
        <v>0</v>
      </c>
      <c r="BM23" s="460">
        <f>SUM(BM7:BM22)</f>
        <v>0</v>
      </c>
      <c r="BN23" s="460">
        <f>SUM(BN7:BN22)</f>
        <v>0</v>
      </c>
      <c r="BO23" s="460">
        <f>SUM(BO7:BO22)</f>
        <v>0</v>
      </c>
      <c r="BP23" s="460">
        <f>SUM(BP7:BP22)</f>
        <v>0</v>
      </c>
      <c r="BQ23" s="460">
        <f t="shared" si="32"/>
        <v>2620000</v>
      </c>
      <c r="BR23" s="460">
        <f t="shared" si="32"/>
        <v>0</v>
      </c>
      <c r="BS23" s="460">
        <f t="shared" si="32"/>
        <v>0</v>
      </c>
      <c r="BT23" s="427"/>
    </row>
    <row r="24" spans="1:72" s="413" customFormat="1">
      <c r="A24" s="414"/>
      <c r="B24" s="414"/>
      <c r="C24" s="414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>
        <f>D24-L24-M24-N24</f>
        <v>0</v>
      </c>
      <c r="P24" s="337"/>
      <c r="Q24" s="337"/>
      <c r="R24" s="337"/>
      <c r="S24" s="337"/>
      <c r="T24" s="337">
        <f>P24-M24+R24</f>
        <v>0</v>
      </c>
      <c r="U24" s="337">
        <f t="shared" si="1"/>
        <v>0</v>
      </c>
      <c r="V24" s="337"/>
      <c r="W24" s="337"/>
      <c r="X24" s="337"/>
      <c r="Y24" s="414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414"/>
    </row>
    <row r="25" spans="1:72"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:72"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:72">
      <c r="L27" s="474">
        <f>K23+H23</f>
        <v>73610406.710000008</v>
      </c>
      <c r="M27" s="474">
        <f>L23+P23</f>
        <v>95872525</v>
      </c>
      <c r="P27" s="474">
        <f>G23-L23</f>
        <v>22262118.289999992</v>
      </c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:72"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:72"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:72"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</row>
    <row r="31" spans="1:72"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</row>
    <row r="32" spans="1:72"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</row>
    <row r="33" spans="26:71"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</row>
    <row r="34" spans="26:71"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</row>
    <row r="35" spans="26:71"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</row>
    <row r="36" spans="26:71"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</row>
    <row r="37" spans="26:71"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</row>
    <row r="38" spans="26:71"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</row>
    <row r="39" spans="26:71"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</row>
    <row r="40" spans="26:71"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</row>
    <row r="41" spans="26:71"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</row>
    <row r="42" spans="26:71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26:71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26:71"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</row>
    <row r="45" spans="26:71"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</row>
    <row r="46" spans="26:71"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</row>
    <row r="47" spans="26:71"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</row>
    <row r="48" spans="26:71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U3:W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6"/>
  <sheetViews>
    <sheetView showZeros="0" rightToLeft="1" zoomScaleNormal="100" workbookViewId="0">
      <pane xSplit="2" ySplit="5" topLeftCell="C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252" customWidth="1"/>
    <col min="2" max="2" width="6.7109375" style="239" customWidth="1"/>
    <col min="3" max="3" width="36.140625" style="239" customWidth="1"/>
    <col min="4" max="4" width="11" style="251" hidden="1" customWidth="1"/>
    <col min="5" max="5" width="10.85546875" style="251" hidden="1" customWidth="1"/>
    <col min="6" max="6" width="10.28515625" style="251" hidden="1" customWidth="1"/>
    <col min="7" max="10" width="12.7109375" style="251" hidden="1" customWidth="1"/>
    <col min="11" max="11" width="11.28515625" style="251" hidden="1" customWidth="1"/>
    <col min="12" max="12" width="10.7109375" style="251" hidden="1" customWidth="1"/>
    <col min="13" max="13" width="10.85546875" style="251" hidden="1" customWidth="1"/>
    <col min="14" max="17" width="11.140625" style="251" hidden="1" customWidth="1"/>
    <col min="18" max="19" width="12" style="251" hidden="1" customWidth="1"/>
    <col min="20" max="20" width="8.42578125" style="251" hidden="1" customWidth="1"/>
    <col min="21" max="21" width="11.85546875" style="239" bestFit="1" customWidth="1"/>
    <col min="22" max="22" width="10.28515625" style="239" bestFit="1" customWidth="1"/>
    <col min="23" max="23" width="9.5703125" style="239" customWidth="1"/>
    <col min="24" max="24" width="9" style="239" hidden="1" customWidth="1"/>
    <col min="25" max="25" width="11.140625" style="239" customWidth="1"/>
    <col min="26" max="60" width="10" style="239" hidden="1" customWidth="1"/>
    <col min="61" max="61" width="12" style="239" customWidth="1"/>
    <col min="62" max="62" width="10" style="239" customWidth="1"/>
    <col min="63" max="63" width="11.5703125" style="239" customWidth="1"/>
    <col min="64" max="64" width="10" style="239" customWidth="1"/>
    <col min="65" max="65" width="14.7109375" style="239" customWidth="1"/>
    <col min="66" max="71" width="10" style="239" hidden="1" customWidth="1"/>
    <col min="72" max="72" width="7.85546875" style="239" hidden="1" customWidth="1"/>
    <col min="73" max="16384" width="9.140625" style="239"/>
  </cols>
  <sheetData>
    <row r="1" spans="1:72" ht="18.75">
      <c r="A1" s="777" t="s">
        <v>951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645"/>
      <c r="BO1" s="645"/>
      <c r="BP1" s="645"/>
      <c r="BQ1" s="388"/>
      <c r="BR1" s="388"/>
      <c r="BS1" s="388"/>
    </row>
    <row r="2" spans="1:72" ht="18.7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2">
      <c r="U3" s="835" t="s">
        <v>191</v>
      </c>
      <c r="V3" s="836"/>
      <c r="W3" s="836"/>
      <c r="X3" s="836"/>
      <c r="Y3" s="837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817" t="s">
        <v>636</v>
      </c>
      <c r="BE3" s="818"/>
      <c r="BF3" s="819"/>
      <c r="BG3" s="817" t="s">
        <v>636</v>
      </c>
      <c r="BH3" s="818"/>
      <c r="BI3" s="819"/>
      <c r="BJ3" s="618"/>
      <c r="BK3" s="621" t="s">
        <v>1094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2" s="390" customFormat="1" ht="86.25" customHeight="1">
      <c r="A4" s="12" t="s">
        <v>659</v>
      </c>
      <c r="B4" s="12" t="s">
        <v>1</v>
      </c>
      <c r="C4" s="12" t="s">
        <v>2</v>
      </c>
      <c r="D4" s="12" t="s">
        <v>3</v>
      </c>
      <c r="E4" s="12" t="s">
        <v>4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10</v>
      </c>
      <c r="L4" s="12" t="s">
        <v>11</v>
      </c>
      <c r="M4" s="12" t="s">
        <v>637</v>
      </c>
      <c r="N4" s="12" t="s">
        <v>638</v>
      </c>
      <c r="O4" s="12" t="s">
        <v>639</v>
      </c>
      <c r="P4" s="12" t="s">
        <v>12</v>
      </c>
      <c r="Q4" s="12" t="s">
        <v>640</v>
      </c>
      <c r="R4" s="12" t="s">
        <v>641</v>
      </c>
      <c r="S4" s="12" t="s">
        <v>642</v>
      </c>
      <c r="T4" s="12" t="s">
        <v>643</v>
      </c>
      <c r="U4" s="12" t="s">
        <v>644</v>
      </c>
      <c r="V4" s="12" t="s">
        <v>13</v>
      </c>
      <c r="W4" s="12" t="s">
        <v>14</v>
      </c>
      <c r="X4" s="12" t="s">
        <v>15</v>
      </c>
      <c r="Y4" s="12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12" t="s">
        <v>16</v>
      </c>
    </row>
    <row r="5" spans="1:72" s="244" customFormat="1">
      <c r="A5" s="241"/>
      <c r="B5" s="241"/>
      <c r="C5" s="241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3"/>
    </row>
    <row r="6" spans="1:72" s="244" customFormat="1">
      <c r="A6" s="241">
        <v>1</v>
      </c>
      <c r="B6" s="241">
        <v>529</v>
      </c>
      <c r="C6" s="241" t="s">
        <v>138</v>
      </c>
      <c r="D6" s="242">
        <f>500000+50000</f>
        <v>550000</v>
      </c>
      <c r="E6" s="242">
        <v>500000</v>
      </c>
      <c r="F6" s="242">
        <f>D6-E6</f>
        <v>50000</v>
      </c>
      <c r="G6" s="242">
        <v>450000</v>
      </c>
      <c r="H6" s="242">
        <v>344087.43</v>
      </c>
      <c r="I6" s="242"/>
      <c r="J6" s="242"/>
      <c r="K6" s="242">
        <f>SUM(I6:J6)</f>
        <v>0</v>
      </c>
      <c r="L6" s="242">
        <f>H6+K6</f>
        <v>344087.43</v>
      </c>
      <c r="M6" s="242">
        <f>P6+S6</f>
        <v>155912.57</v>
      </c>
      <c r="N6" s="242">
        <v>50000</v>
      </c>
      <c r="O6" s="242">
        <f>D6-L6-M6-N6</f>
        <v>0</v>
      </c>
      <c r="P6" s="242">
        <f>G6-L6</f>
        <v>105912.57</v>
      </c>
      <c r="Q6" s="484">
        <v>50000</v>
      </c>
      <c r="R6" s="242"/>
      <c r="S6" s="242">
        <f>SUM(Q6:R6)</f>
        <v>50000</v>
      </c>
      <c r="T6" s="242">
        <f>P6-M6+S6</f>
        <v>0</v>
      </c>
      <c r="U6" s="242">
        <f>N6-T6</f>
        <v>50000</v>
      </c>
      <c r="V6" s="242">
        <f>U6-W6-X6-Y6</f>
        <v>50000</v>
      </c>
      <c r="W6" s="242"/>
      <c r="X6" s="242"/>
      <c r="Y6" s="242"/>
      <c r="Z6" s="241"/>
      <c r="AA6" s="241"/>
      <c r="AB6" s="241">
        <f>SUM(Z6:AA6)</f>
        <v>0</v>
      </c>
      <c r="AC6" s="241"/>
      <c r="AD6" s="241"/>
      <c r="AE6" s="241">
        <f>SUM(AC6:AD6)</f>
        <v>0</v>
      </c>
      <c r="AF6" s="241"/>
      <c r="AG6" s="241"/>
      <c r="AH6" s="241">
        <f>SUM(AF6:AG6)</f>
        <v>0</v>
      </c>
      <c r="AI6" s="241"/>
      <c r="AJ6" s="241"/>
      <c r="AK6" s="241">
        <f>SUM(AI6:AJ6)</f>
        <v>0</v>
      </c>
      <c r="AL6" s="241"/>
      <c r="AM6" s="241"/>
      <c r="AN6" s="241">
        <f>SUM(AL6:AM6)</f>
        <v>0</v>
      </c>
      <c r="AO6" s="241"/>
      <c r="AP6" s="241"/>
      <c r="AQ6" s="241">
        <f>SUM(AO6:AP6)</f>
        <v>0</v>
      </c>
      <c r="AR6" s="241"/>
      <c r="AS6" s="241"/>
      <c r="AT6" s="241">
        <f>SUM(AR6:AS6)</f>
        <v>0</v>
      </c>
      <c r="AU6" s="241"/>
      <c r="AV6" s="241"/>
      <c r="AW6" s="241">
        <f>SUM(AU6:AV6)</f>
        <v>0</v>
      </c>
      <c r="AX6" s="241"/>
      <c r="AY6" s="241"/>
      <c r="AZ6" s="241">
        <f>SUM(AX6:AY6)</f>
        <v>0</v>
      </c>
      <c r="BA6" s="242">
        <v>50000</v>
      </c>
      <c r="BB6" s="241"/>
      <c r="BC6" s="242">
        <f>SUM(BA6:BB6)</f>
        <v>50000</v>
      </c>
      <c r="BD6" s="242"/>
      <c r="BE6" s="241"/>
      <c r="BF6" s="242">
        <f>SUM(BD6:BE6)</f>
        <v>0</v>
      </c>
      <c r="BG6" s="242">
        <f>BF6+AB6+AE6+AH6+AK6+AN6+AQ6+AT6+AW6+AZ6+BC6</f>
        <v>50000</v>
      </c>
      <c r="BH6" s="242"/>
      <c r="BI6" s="242">
        <f>BH6+BG6</f>
        <v>50000</v>
      </c>
      <c r="BJ6" s="242">
        <f>U6-BI6</f>
        <v>0</v>
      </c>
      <c r="BK6" s="242">
        <f>BI6</f>
        <v>50000</v>
      </c>
      <c r="BL6" s="242">
        <f>BD6</f>
        <v>0</v>
      </c>
      <c r="BM6" s="241"/>
      <c r="BN6" s="242">
        <f>BH6</f>
        <v>0</v>
      </c>
      <c r="BO6" s="241"/>
      <c r="BP6" s="241"/>
      <c r="BQ6" s="242">
        <f>BJ6</f>
        <v>0</v>
      </c>
      <c r="BR6" s="241"/>
      <c r="BS6" s="241"/>
      <c r="BT6" s="241">
        <v>764000</v>
      </c>
    </row>
    <row r="7" spans="1:72" s="244" customFormat="1">
      <c r="A7" s="241">
        <f>A6+1</f>
        <v>2</v>
      </c>
      <c r="B7" s="13">
        <v>1209</v>
      </c>
      <c r="C7" s="13" t="s">
        <v>139</v>
      </c>
      <c r="D7" s="242">
        <f>3000000-2060000</f>
        <v>940000</v>
      </c>
      <c r="E7" s="242">
        <v>3000000</v>
      </c>
      <c r="F7" s="242">
        <f>D7-E7</f>
        <v>-2060000</v>
      </c>
      <c r="G7" s="242">
        <v>940000</v>
      </c>
      <c r="H7" s="242">
        <v>912429</v>
      </c>
      <c r="I7" s="242"/>
      <c r="J7" s="242"/>
      <c r="K7" s="242">
        <f>SUM(I7:J7)</f>
        <v>0</v>
      </c>
      <c r="L7" s="242">
        <f>H7+K7</f>
        <v>912429</v>
      </c>
      <c r="M7" s="242">
        <f>P7+S7</f>
        <v>27571</v>
      </c>
      <c r="N7" s="242"/>
      <c r="O7" s="242">
        <f>D7-L7-M7-N7</f>
        <v>0</v>
      </c>
      <c r="P7" s="242">
        <f>G7-L7</f>
        <v>27571</v>
      </c>
      <c r="Q7" s="242"/>
      <c r="R7" s="242"/>
      <c r="S7" s="242">
        <f>SUM(Q7:R7)</f>
        <v>0</v>
      </c>
      <c r="T7" s="242">
        <f>P7-M7+S7</f>
        <v>0</v>
      </c>
      <c r="U7" s="242">
        <f>N7-T7</f>
        <v>0</v>
      </c>
      <c r="V7" s="242">
        <f>U7-W7-X7-Y7</f>
        <v>0</v>
      </c>
      <c r="W7" s="242"/>
      <c r="X7" s="242"/>
      <c r="Y7" s="242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>
        <f>SUM(AI7:AJ7)</f>
        <v>0</v>
      </c>
      <c r="AL7" s="241"/>
      <c r="AM7" s="241"/>
      <c r="AN7" s="241">
        <f>SUM(AL7:AM7)</f>
        <v>0</v>
      </c>
      <c r="AO7" s="241"/>
      <c r="AP7" s="241"/>
      <c r="AQ7" s="241">
        <f>SUM(AO7:AP7)</f>
        <v>0</v>
      </c>
      <c r="AR7" s="241"/>
      <c r="AS7" s="241"/>
      <c r="AT7" s="241">
        <f>SUM(AR7:AS7)</f>
        <v>0</v>
      </c>
      <c r="AU7" s="241"/>
      <c r="AV7" s="241"/>
      <c r="AW7" s="241">
        <f>SUM(AU7:AV7)</f>
        <v>0</v>
      </c>
      <c r="AX7" s="241"/>
      <c r="AY7" s="241"/>
      <c r="AZ7" s="241">
        <f>SUM(AX7:AY7)</f>
        <v>0</v>
      </c>
      <c r="BA7" s="241"/>
      <c r="BB7" s="241"/>
      <c r="BC7" s="241">
        <f>SUM(BA7:BB7)</f>
        <v>0</v>
      </c>
      <c r="BD7" s="241"/>
      <c r="BE7" s="241"/>
      <c r="BF7" s="241">
        <f>SUM(BD7:BE7)</f>
        <v>0</v>
      </c>
      <c r="BG7" s="242">
        <f>BF7+AB7+AE7+AH7+AK7+AN7+AQ7+AT7+AW7+AZ7+BC7</f>
        <v>0</v>
      </c>
      <c r="BH7" s="242"/>
      <c r="BI7" s="242">
        <f>BH7+BG7</f>
        <v>0</v>
      </c>
      <c r="BJ7" s="242">
        <f>U7-BI7</f>
        <v>0</v>
      </c>
      <c r="BK7" s="242"/>
      <c r="BL7" s="242"/>
      <c r="BM7" s="241"/>
      <c r="BN7" s="242"/>
      <c r="BO7" s="241"/>
      <c r="BP7" s="241"/>
      <c r="BQ7" s="242"/>
      <c r="BR7" s="241"/>
      <c r="BS7" s="241"/>
      <c r="BT7" s="241">
        <v>870000</v>
      </c>
    </row>
    <row r="8" spans="1:72" s="244" customFormat="1" ht="16.899999999999999" customHeight="1">
      <c r="A8" s="241">
        <v>3</v>
      </c>
      <c r="B8" s="241">
        <v>1210</v>
      </c>
      <c r="C8" s="241" t="s">
        <v>140</v>
      </c>
      <c r="D8" s="242">
        <f>93900000-16900000</f>
        <v>77000000</v>
      </c>
      <c r="E8" s="242">
        <v>77000000</v>
      </c>
      <c r="F8" s="242">
        <f>D8-E8</f>
        <v>0</v>
      </c>
      <c r="G8" s="242">
        <v>53900000</v>
      </c>
      <c r="H8" s="242">
        <v>52825241</v>
      </c>
      <c r="I8" s="242"/>
      <c r="J8" s="242"/>
      <c r="K8" s="242">
        <f>SUM(I8:J8)</f>
        <v>0</v>
      </c>
      <c r="L8" s="242">
        <f>H8+K8</f>
        <v>52825241</v>
      </c>
      <c r="M8" s="242">
        <f>P8+S8</f>
        <v>4424759</v>
      </c>
      <c r="N8" s="242">
        <v>11500000</v>
      </c>
      <c r="O8" s="242">
        <f>D8-L8-M8-N8</f>
        <v>8250000</v>
      </c>
      <c r="P8" s="242">
        <f>G8-L8</f>
        <v>1074759</v>
      </c>
      <c r="Q8" s="482">
        <v>3350000</v>
      </c>
      <c r="R8" s="242"/>
      <c r="S8" s="242">
        <f>SUM(Q8:R8)</f>
        <v>3350000</v>
      </c>
      <c r="T8" s="242">
        <f>P8-M8+S8</f>
        <v>0</v>
      </c>
      <c r="U8" s="242">
        <f>N8-T8</f>
        <v>11500000</v>
      </c>
      <c r="V8" s="242">
        <f>U8-W8-X8-Y8</f>
        <v>0</v>
      </c>
      <c r="W8" s="242"/>
      <c r="X8" s="242"/>
      <c r="Y8" s="242">
        <v>11500000</v>
      </c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>
        <f>SUM(AI8:AJ8)</f>
        <v>0</v>
      </c>
      <c r="AL8" s="241"/>
      <c r="AM8" s="241"/>
      <c r="AN8" s="241">
        <f>SUM(AL8:AM8)</f>
        <v>0</v>
      </c>
      <c r="AO8" s="241"/>
      <c r="AP8" s="241"/>
      <c r="AQ8" s="241">
        <f>SUM(AO8:AP8)</f>
        <v>0</v>
      </c>
      <c r="AR8" s="241"/>
      <c r="AS8" s="241"/>
      <c r="AT8" s="241">
        <f>SUM(AR8:AS8)</f>
        <v>0</v>
      </c>
      <c r="AU8" s="242">
        <v>500000</v>
      </c>
      <c r="AV8" s="241"/>
      <c r="AW8" s="242">
        <f>SUM(AU8:AV8)</f>
        <v>500000</v>
      </c>
      <c r="AX8" s="242"/>
      <c r="AY8" s="241"/>
      <c r="AZ8" s="242">
        <f>SUM(AX8:AY8)</f>
        <v>0</v>
      </c>
      <c r="BA8" s="242">
        <v>500000</v>
      </c>
      <c r="BB8" s="241"/>
      <c r="BC8" s="242">
        <f>SUM(BA8:BB8)</f>
        <v>500000</v>
      </c>
      <c r="BD8" s="242">
        <v>1000000</v>
      </c>
      <c r="BE8" s="241"/>
      <c r="BF8" s="242">
        <f>SUM(BD8:BE8)</f>
        <v>1000000</v>
      </c>
      <c r="BG8" s="242">
        <f>BF8+AB8+AE8+AH8+AK8+AN8+AQ8+AT8+AW8+AZ8+BC8</f>
        <v>2000000</v>
      </c>
      <c r="BH8" s="242">
        <v>1500000</v>
      </c>
      <c r="BI8" s="242">
        <f>BH8+BG8</f>
        <v>3500000</v>
      </c>
      <c r="BJ8" s="242">
        <f>U8-BI8</f>
        <v>8000000</v>
      </c>
      <c r="BK8" s="242"/>
      <c r="BL8" s="242"/>
      <c r="BM8" s="242">
        <f>BI8</f>
        <v>3500000</v>
      </c>
      <c r="BN8" s="242"/>
      <c r="BO8" s="241"/>
      <c r="BP8" s="242">
        <f>BH8</f>
        <v>1500000</v>
      </c>
      <c r="BQ8" s="242"/>
      <c r="BR8" s="241"/>
      <c r="BS8" s="242">
        <f>BJ8</f>
        <v>8000000</v>
      </c>
      <c r="BT8" s="241">
        <v>870000</v>
      </c>
    </row>
    <row r="9" spans="1:72" s="250" customFormat="1" ht="15.75">
      <c r="A9" s="248">
        <f>A8</f>
        <v>3</v>
      </c>
      <c r="B9" s="248" t="s">
        <v>82</v>
      </c>
      <c r="C9" s="248" t="s">
        <v>141</v>
      </c>
      <c r="D9" s="249">
        <f t="shared" ref="D9:AI9" si="0">SUM(D6:D8)</f>
        <v>78490000</v>
      </c>
      <c r="E9" s="249">
        <f t="shared" si="0"/>
        <v>80500000</v>
      </c>
      <c r="F9" s="249">
        <f t="shared" si="0"/>
        <v>-2010000</v>
      </c>
      <c r="G9" s="249">
        <f t="shared" si="0"/>
        <v>55290000</v>
      </c>
      <c r="H9" s="249">
        <f t="shared" si="0"/>
        <v>54081757.43</v>
      </c>
      <c r="I9" s="249">
        <f t="shared" si="0"/>
        <v>0</v>
      </c>
      <c r="J9" s="249">
        <f t="shared" si="0"/>
        <v>0</v>
      </c>
      <c r="K9" s="249">
        <f t="shared" si="0"/>
        <v>0</v>
      </c>
      <c r="L9" s="249">
        <f t="shared" si="0"/>
        <v>54081757.43</v>
      </c>
      <c r="M9" s="249">
        <f t="shared" si="0"/>
        <v>4608242.57</v>
      </c>
      <c r="N9" s="249">
        <f t="shared" si="0"/>
        <v>11550000</v>
      </c>
      <c r="O9" s="249">
        <f t="shared" si="0"/>
        <v>8250000</v>
      </c>
      <c r="P9" s="249">
        <f t="shared" si="0"/>
        <v>1208242.57</v>
      </c>
      <c r="Q9" s="249">
        <f t="shared" si="0"/>
        <v>3400000</v>
      </c>
      <c r="R9" s="249">
        <f t="shared" si="0"/>
        <v>0</v>
      </c>
      <c r="S9" s="249">
        <f t="shared" si="0"/>
        <v>3400000</v>
      </c>
      <c r="T9" s="249">
        <f t="shared" si="0"/>
        <v>0</v>
      </c>
      <c r="U9" s="249">
        <f t="shared" si="0"/>
        <v>11550000</v>
      </c>
      <c r="V9" s="249">
        <f t="shared" si="0"/>
        <v>50000</v>
      </c>
      <c r="W9" s="249">
        <f t="shared" si="0"/>
        <v>0</v>
      </c>
      <c r="X9" s="249">
        <f t="shared" si="0"/>
        <v>0</v>
      </c>
      <c r="Y9" s="249">
        <f t="shared" si="0"/>
        <v>11500000</v>
      </c>
      <c r="Z9" s="249">
        <f t="shared" si="0"/>
        <v>0</v>
      </c>
      <c r="AA9" s="249">
        <f t="shared" si="0"/>
        <v>0</v>
      </c>
      <c r="AB9" s="249">
        <f t="shared" si="0"/>
        <v>0</v>
      </c>
      <c r="AC9" s="249">
        <f t="shared" si="0"/>
        <v>0</v>
      </c>
      <c r="AD9" s="249">
        <f t="shared" si="0"/>
        <v>0</v>
      </c>
      <c r="AE9" s="249">
        <f t="shared" si="0"/>
        <v>0</v>
      </c>
      <c r="AF9" s="249">
        <f t="shared" si="0"/>
        <v>0</v>
      </c>
      <c r="AG9" s="249">
        <f t="shared" si="0"/>
        <v>0</v>
      </c>
      <c r="AH9" s="249">
        <f t="shared" si="0"/>
        <v>0</v>
      </c>
      <c r="AI9" s="249">
        <f t="shared" si="0"/>
        <v>0</v>
      </c>
      <c r="AJ9" s="249">
        <f t="shared" ref="AJ9:BS9" si="1">SUM(AJ6:AJ8)</f>
        <v>0</v>
      </c>
      <c r="AK9" s="249">
        <f t="shared" si="1"/>
        <v>0</v>
      </c>
      <c r="AL9" s="249">
        <f t="shared" si="1"/>
        <v>0</v>
      </c>
      <c r="AM9" s="249">
        <f t="shared" si="1"/>
        <v>0</v>
      </c>
      <c r="AN9" s="249">
        <f t="shared" si="1"/>
        <v>0</v>
      </c>
      <c r="AO9" s="249">
        <f t="shared" si="1"/>
        <v>0</v>
      </c>
      <c r="AP9" s="249">
        <f t="shared" si="1"/>
        <v>0</v>
      </c>
      <c r="AQ9" s="249">
        <f t="shared" si="1"/>
        <v>0</v>
      </c>
      <c r="AR9" s="249">
        <f t="shared" si="1"/>
        <v>0</v>
      </c>
      <c r="AS9" s="249">
        <f t="shared" si="1"/>
        <v>0</v>
      </c>
      <c r="AT9" s="249">
        <f t="shared" si="1"/>
        <v>0</v>
      </c>
      <c r="AU9" s="249">
        <f t="shared" si="1"/>
        <v>500000</v>
      </c>
      <c r="AV9" s="249">
        <f t="shared" si="1"/>
        <v>0</v>
      </c>
      <c r="AW9" s="249">
        <f t="shared" si="1"/>
        <v>500000</v>
      </c>
      <c r="AX9" s="249">
        <f t="shared" si="1"/>
        <v>0</v>
      </c>
      <c r="AY9" s="249">
        <f t="shared" si="1"/>
        <v>0</v>
      </c>
      <c r="AZ9" s="249">
        <f t="shared" si="1"/>
        <v>0</v>
      </c>
      <c r="BA9" s="249">
        <f t="shared" si="1"/>
        <v>550000</v>
      </c>
      <c r="BB9" s="249">
        <f t="shared" si="1"/>
        <v>0</v>
      </c>
      <c r="BC9" s="249">
        <f t="shared" si="1"/>
        <v>550000</v>
      </c>
      <c r="BD9" s="249">
        <f t="shared" si="1"/>
        <v>1000000</v>
      </c>
      <c r="BE9" s="249">
        <f t="shared" si="1"/>
        <v>0</v>
      </c>
      <c r="BF9" s="249">
        <f t="shared" si="1"/>
        <v>1000000</v>
      </c>
      <c r="BG9" s="249">
        <f t="shared" si="1"/>
        <v>2050000</v>
      </c>
      <c r="BH9" s="249">
        <f t="shared" si="1"/>
        <v>1500000</v>
      </c>
      <c r="BI9" s="249">
        <f t="shared" si="1"/>
        <v>3550000</v>
      </c>
      <c r="BJ9" s="249">
        <f t="shared" si="1"/>
        <v>8000000</v>
      </c>
      <c r="BK9" s="249">
        <f t="shared" si="1"/>
        <v>50000</v>
      </c>
      <c r="BL9" s="249">
        <f>SUM(BL6:BL8)</f>
        <v>0</v>
      </c>
      <c r="BM9" s="249">
        <f>SUM(BM6:BM8)</f>
        <v>3500000</v>
      </c>
      <c r="BN9" s="249">
        <f>SUM(BN6:BN8)</f>
        <v>0</v>
      </c>
      <c r="BO9" s="249">
        <f>SUM(BO6:BO8)</f>
        <v>0</v>
      </c>
      <c r="BP9" s="249">
        <f>SUM(BP6:BP8)</f>
        <v>1500000</v>
      </c>
      <c r="BQ9" s="249">
        <f t="shared" si="1"/>
        <v>0</v>
      </c>
      <c r="BR9" s="249">
        <f t="shared" si="1"/>
        <v>0</v>
      </c>
      <c r="BS9" s="249">
        <f t="shared" si="1"/>
        <v>8000000</v>
      </c>
      <c r="BT9" s="248"/>
    </row>
    <row r="10" spans="1:72" s="244" customFormat="1">
      <c r="A10" s="241"/>
      <c r="B10" s="241"/>
      <c r="C10" s="241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>
        <f>D10-L10-M10-N10</f>
        <v>0</v>
      </c>
      <c r="P10" s="242"/>
      <c r="Q10" s="242"/>
      <c r="R10" s="242"/>
      <c r="S10" s="242"/>
      <c r="T10" s="242">
        <f>P10-M10+R10</f>
        <v>0</v>
      </c>
      <c r="U10" s="242">
        <f>N10-T10</f>
        <v>0</v>
      </c>
      <c r="V10" s="242"/>
      <c r="W10" s="242"/>
      <c r="X10" s="242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</row>
    <row r="11" spans="1:72" s="529" customFormat="1"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  <c r="P11" s="251"/>
      <c r="Q11" s="530"/>
      <c r="R11" s="530"/>
      <c r="S11" s="530"/>
      <c r="T11" s="251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</row>
    <row r="12" spans="1:72" hidden="1">
      <c r="L12" s="215">
        <f>K9+H9</f>
        <v>54081757.43</v>
      </c>
      <c r="M12" s="215">
        <f>P9+S9</f>
        <v>4608242.57</v>
      </c>
      <c r="N12" s="530"/>
      <c r="P12" s="215">
        <f>G9-L9</f>
        <v>1208242.5700000003</v>
      </c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</row>
    <row r="13" spans="1:72" hidden="1"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</row>
    <row r="14" spans="1:72" hidden="1">
      <c r="P14" s="251" t="s">
        <v>372</v>
      </c>
      <c r="Q14" s="215">
        <f>'[2]שיפוצי בתים עמידר'!$AY$12</f>
        <v>3400000</v>
      </c>
      <c r="Z14" s="490"/>
      <c r="AA14" s="490"/>
      <c r="AB14" s="490"/>
      <c r="AC14" s="490"/>
      <c r="AD14" s="490"/>
      <c r="AE14" s="490"/>
      <c r="AF14" s="490"/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0"/>
      <c r="AU14" s="490"/>
      <c r="AV14" s="490"/>
      <c r="AW14" s="490"/>
      <c r="AX14" s="490"/>
      <c r="AY14" s="490"/>
      <c r="AZ14" s="490"/>
      <c r="BA14" s="490"/>
      <c r="BB14" s="490"/>
      <c r="BC14" s="490"/>
      <c r="BD14" s="490"/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</row>
    <row r="15" spans="1:72" hidden="1"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</row>
    <row r="16" spans="1:72" hidden="1">
      <c r="P16" s="251" t="s">
        <v>395</v>
      </c>
      <c r="Q16" s="251">
        <f>'[5]שיפוצי בתים עמידר'!$AZ$11</f>
        <v>900000</v>
      </c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</row>
    <row r="17" spans="16:71" hidden="1">
      <c r="P17" s="251" t="s">
        <v>396</v>
      </c>
      <c r="Q17" s="251">
        <f>'[7]שיפוצי בתים עמידר'!$BC$11</f>
        <v>2500000</v>
      </c>
      <c r="Z17" s="490"/>
      <c r="AA17" s="490"/>
      <c r="AB17" s="490"/>
      <c r="AC17" s="490"/>
      <c r="AD17" s="490"/>
      <c r="AE17" s="490"/>
      <c r="AF17" s="490"/>
      <c r="AG17" s="490"/>
      <c r="AH17" s="490"/>
      <c r="AI17" s="490"/>
      <c r="AJ17" s="490"/>
      <c r="AK17" s="490"/>
      <c r="AL17" s="490"/>
      <c r="AM17" s="490"/>
      <c r="AN17" s="490"/>
      <c r="AO17" s="490"/>
      <c r="AP17" s="490"/>
      <c r="AQ17" s="490"/>
      <c r="AR17" s="490"/>
      <c r="AS17" s="490"/>
      <c r="AT17" s="490"/>
      <c r="AU17" s="490"/>
      <c r="AV17" s="490"/>
      <c r="AW17" s="490"/>
      <c r="AX17" s="490"/>
      <c r="AY17" s="490"/>
      <c r="AZ17" s="490"/>
      <c r="BA17" s="490"/>
      <c r="BB17" s="490"/>
      <c r="BC17" s="490"/>
      <c r="BD17" s="490"/>
      <c r="BE17" s="490"/>
      <c r="BF17" s="490"/>
      <c r="BG17" s="490"/>
      <c r="BH17" s="490"/>
      <c r="BI17" s="490"/>
      <c r="BJ17" s="490"/>
      <c r="BK17" s="490"/>
      <c r="BL17" s="490"/>
      <c r="BM17" s="490"/>
      <c r="BN17" s="490"/>
      <c r="BO17" s="490"/>
      <c r="BP17" s="490"/>
      <c r="BQ17" s="490"/>
      <c r="BR17" s="490"/>
      <c r="BS17" s="490"/>
    </row>
    <row r="18" spans="16:71" hidden="1">
      <c r="Q18" s="251">
        <f>SUM(Q16:Q17)</f>
        <v>3400000</v>
      </c>
      <c r="Z18" s="490"/>
      <c r="AA18" s="490"/>
      <c r="AB18" s="490"/>
      <c r="AC18" s="490"/>
      <c r="AD18" s="490"/>
      <c r="AE18" s="490"/>
      <c r="AF18" s="490"/>
      <c r="AG18" s="490"/>
      <c r="AH18" s="490"/>
      <c r="AI18" s="490"/>
      <c r="AJ18" s="490"/>
      <c r="AK18" s="490"/>
      <c r="AL18" s="490"/>
      <c r="AM18" s="490"/>
      <c r="AN18" s="490"/>
      <c r="AO18" s="490"/>
      <c r="AP18" s="490"/>
      <c r="AQ18" s="490"/>
      <c r="AR18" s="490"/>
      <c r="AS18" s="490"/>
      <c r="AT18" s="490"/>
      <c r="AU18" s="490"/>
      <c r="AV18" s="490"/>
      <c r="AW18" s="490"/>
      <c r="AX18" s="490"/>
      <c r="AY18" s="490"/>
      <c r="AZ18" s="490"/>
      <c r="BA18" s="490"/>
      <c r="BB18" s="490"/>
      <c r="BC18" s="490"/>
      <c r="BD18" s="490"/>
      <c r="BE18" s="490"/>
      <c r="BF18" s="490"/>
      <c r="BG18" s="490"/>
      <c r="BH18" s="490"/>
      <c r="BI18" s="490"/>
      <c r="BJ18" s="490"/>
      <c r="BK18" s="490"/>
      <c r="BL18" s="490"/>
      <c r="BM18" s="490"/>
      <c r="BN18" s="490"/>
      <c r="BO18" s="490"/>
      <c r="BP18" s="490"/>
      <c r="BQ18" s="490"/>
      <c r="BR18" s="490"/>
      <c r="BS18" s="490"/>
    </row>
    <row r="19" spans="16:71">
      <c r="Z19" s="490"/>
      <c r="AA19" s="490"/>
      <c r="AB19" s="490"/>
      <c r="AC19" s="490"/>
      <c r="AD19" s="490"/>
      <c r="AE19" s="490"/>
      <c r="AF19" s="490"/>
      <c r="AG19" s="490"/>
      <c r="AH19" s="490"/>
      <c r="AI19" s="490"/>
      <c r="AJ19" s="490"/>
      <c r="AK19" s="490"/>
      <c r="AL19" s="490"/>
      <c r="AM19" s="490"/>
      <c r="AN19" s="490"/>
      <c r="AO19" s="490"/>
      <c r="AP19" s="490"/>
      <c r="AQ19" s="490"/>
      <c r="AR19" s="490"/>
      <c r="AS19" s="490"/>
      <c r="AT19" s="490"/>
      <c r="AU19" s="490"/>
      <c r="AV19" s="490"/>
      <c r="AW19" s="490"/>
      <c r="AX19" s="490"/>
      <c r="AY19" s="490"/>
      <c r="AZ19" s="490"/>
      <c r="BA19" s="490"/>
      <c r="BB19" s="490"/>
      <c r="BC19" s="490"/>
      <c r="BD19" s="490"/>
      <c r="BE19" s="490"/>
      <c r="BF19" s="490"/>
      <c r="BG19" s="490"/>
      <c r="BH19" s="490"/>
      <c r="BI19" s="490"/>
      <c r="BJ19" s="490"/>
      <c r="BK19" s="490"/>
      <c r="BL19" s="490"/>
      <c r="BM19" s="490"/>
      <c r="BN19" s="490"/>
      <c r="BO19" s="490"/>
      <c r="BP19" s="490"/>
      <c r="BQ19" s="490"/>
      <c r="BR19" s="490"/>
      <c r="BS19" s="490"/>
    </row>
    <row r="20" spans="16:71"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0"/>
      <c r="AV20" s="490"/>
      <c r="AW20" s="490"/>
      <c r="AX20" s="490"/>
      <c r="AY20" s="490"/>
      <c r="AZ20" s="490"/>
      <c r="BA20" s="490"/>
      <c r="BB20" s="490"/>
      <c r="BC20" s="490"/>
      <c r="BD20" s="490"/>
      <c r="BE20" s="490"/>
      <c r="BF20" s="490"/>
      <c r="BG20" s="490"/>
      <c r="BH20" s="490"/>
      <c r="BI20" s="490"/>
      <c r="BJ20" s="490"/>
      <c r="BK20" s="490"/>
      <c r="BL20" s="490"/>
      <c r="BM20" s="490"/>
      <c r="BN20" s="490"/>
      <c r="BO20" s="490"/>
      <c r="BP20" s="490"/>
      <c r="BQ20" s="490"/>
      <c r="BR20" s="490"/>
      <c r="BS20" s="490"/>
    </row>
    <row r="21" spans="16:71"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</row>
    <row r="22" spans="16:71"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0"/>
      <c r="BE22" s="490"/>
      <c r="BF22" s="490"/>
      <c r="BG22" s="490"/>
      <c r="BH22" s="490"/>
      <c r="BI22" s="490"/>
      <c r="BJ22" s="490"/>
      <c r="BK22" s="490"/>
      <c r="BL22" s="490"/>
      <c r="BM22" s="490"/>
      <c r="BN22" s="490"/>
      <c r="BO22" s="490"/>
      <c r="BP22" s="490"/>
      <c r="BQ22" s="490"/>
      <c r="BR22" s="490"/>
      <c r="BS22" s="490"/>
    </row>
    <row r="23" spans="16:71"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  <c r="BM23" s="490"/>
      <c r="BN23" s="490"/>
      <c r="BO23" s="490"/>
      <c r="BP23" s="490"/>
      <c r="BQ23" s="490"/>
      <c r="BR23" s="490"/>
      <c r="BS23" s="490"/>
    </row>
    <row r="24" spans="16:71"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</row>
    <row r="25" spans="16:71"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6:71"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6:71"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6:71"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6:71"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6:71"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</row>
    <row r="31" spans="16:71"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</row>
    <row r="32" spans="16:71"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</row>
    <row r="33" spans="26:71"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</row>
    <row r="34" spans="26:71"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</row>
    <row r="35" spans="26:71"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</row>
    <row r="36" spans="26:71"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</row>
    <row r="37" spans="26:71"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</row>
    <row r="38" spans="26:71"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</row>
    <row r="39" spans="26:71"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</row>
    <row r="40" spans="26:71"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</row>
    <row r="41" spans="26:71"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</row>
    <row r="42" spans="26:71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26:71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26:71"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</row>
    <row r="45" spans="26:71"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</row>
    <row r="46" spans="26:71"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</row>
    <row r="47" spans="26:71"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</row>
    <row r="48" spans="26:71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5">
    <mergeCell ref="U3:Y3"/>
    <mergeCell ref="Z3:AB3"/>
    <mergeCell ref="AC3:AE3"/>
    <mergeCell ref="AF3:AH3"/>
    <mergeCell ref="AI3:AK3"/>
    <mergeCell ref="AO4:AQ4"/>
    <mergeCell ref="AR4:AT4"/>
    <mergeCell ref="AU4:AW4"/>
    <mergeCell ref="AL3:AN3"/>
    <mergeCell ref="AO3:AQ3"/>
    <mergeCell ref="AR3:AT3"/>
    <mergeCell ref="AU3:AW3"/>
    <mergeCell ref="Z4:AB4"/>
    <mergeCell ref="AC4:AE4"/>
    <mergeCell ref="AF4:AH4"/>
    <mergeCell ref="AI4:AK4"/>
    <mergeCell ref="AL4:AN4"/>
    <mergeCell ref="BQ3:BS3"/>
    <mergeCell ref="BG3:BI3"/>
    <mergeCell ref="AX4:AZ4"/>
    <mergeCell ref="BA4:BC4"/>
    <mergeCell ref="BD4:BF4"/>
    <mergeCell ref="BD3:BF3"/>
    <mergeCell ref="AX3:AZ3"/>
    <mergeCell ref="BA3:BC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126"/>
  <sheetViews>
    <sheetView showZeros="0" rightToLeft="1" zoomScaleNormal="100" workbookViewId="0">
      <pane xSplit="2" ySplit="6" topLeftCell="C7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40625" defaultRowHeight="15"/>
  <cols>
    <col min="1" max="1" width="5.28515625" style="402" customWidth="1"/>
    <col min="2" max="2" width="6.7109375" style="400" customWidth="1"/>
    <col min="3" max="3" width="39.7109375" style="400" customWidth="1"/>
    <col min="4" max="4" width="12.7109375" style="405" hidden="1" customWidth="1"/>
    <col min="5" max="5" width="11.140625" style="405" hidden="1" customWidth="1"/>
    <col min="6" max="6" width="10.5703125" style="405" hidden="1" customWidth="1"/>
    <col min="7" max="10" width="12.7109375" style="405" hidden="1" customWidth="1"/>
    <col min="11" max="11" width="11.28515625" style="405" hidden="1" customWidth="1"/>
    <col min="12" max="12" width="11.7109375" style="405" hidden="1" customWidth="1"/>
    <col min="13" max="13" width="11.5703125" style="405" hidden="1" customWidth="1"/>
    <col min="14" max="14" width="11.140625" style="405" hidden="1" customWidth="1"/>
    <col min="15" max="15" width="11.5703125" style="405" hidden="1" customWidth="1"/>
    <col min="16" max="17" width="11.140625" style="405" hidden="1" customWidth="1"/>
    <col min="18" max="19" width="12" style="405" hidden="1" customWidth="1"/>
    <col min="20" max="20" width="8.85546875" style="405" hidden="1" customWidth="1"/>
    <col min="21" max="21" width="11.85546875" style="403" bestFit="1" customWidth="1"/>
    <col min="22" max="23" width="11.85546875" style="400" customWidth="1"/>
    <col min="24" max="24" width="11.85546875" style="400" hidden="1" customWidth="1"/>
    <col min="25" max="25" width="12.7109375" style="400" hidden="1" customWidth="1"/>
    <col min="26" max="60" width="10" style="239" hidden="1" customWidth="1"/>
    <col min="61" max="61" width="12.85546875" style="239" customWidth="1"/>
    <col min="62" max="62" width="10" style="239" customWidth="1"/>
    <col min="63" max="63" width="12" style="239" customWidth="1"/>
    <col min="64" max="64" width="12.7109375" style="239" customWidth="1"/>
    <col min="65" max="65" width="11.7109375" style="239" customWidth="1"/>
    <col min="66" max="71" width="10" style="239" hidden="1" customWidth="1"/>
    <col min="72" max="72" width="7.85546875" style="400" hidden="1" customWidth="1"/>
    <col min="73" max="74" width="9.140625" style="400" customWidth="1"/>
    <col min="75" max="16384" width="9.140625" style="400"/>
  </cols>
  <sheetData>
    <row r="1" spans="1:74" s="496" customFormat="1" ht="18.75">
      <c r="A1" s="654" t="s">
        <v>952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547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645"/>
      <c r="BO1" s="645"/>
      <c r="BP1" s="645"/>
      <c r="BQ1" s="388"/>
      <c r="BR1" s="388"/>
      <c r="BS1" s="388"/>
    </row>
    <row r="2" spans="1:74" ht="18.75">
      <c r="A2" s="654"/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645"/>
      <c r="BO2" s="645"/>
      <c r="BP2" s="645"/>
      <c r="BQ2" s="388"/>
      <c r="BR2" s="388"/>
      <c r="BS2" s="388"/>
    </row>
    <row r="3" spans="1:74">
      <c r="U3" s="841" t="s">
        <v>191</v>
      </c>
      <c r="V3" s="842"/>
      <c r="W3" s="843"/>
      <c r="Z3" s="817" t="s">
        <v>636</v>
      </c>
      <c r="AA3" s="818"/>
      <c r="AB3" s="819"/>
      <c r="AC3" s="817" t="s">
        <v>636</v>
      </c>
      <c r="AD3" s="818"/>
      <c r="AE3" s="819"/>
      <c r="AF3" s="817" t="s">
        <v>636</v>
      </c>
      <c r="AG3" s="818"/>
      <c r="AH3" s="819"/>
      <c r="AI3" s="817" t="s">
        <v>636</v>
      </c>
      <c r="AJ3" s="818"/>
      <c r="AK3" s="819"/>
      <c r="AL3" s="817" t="s">
        <v>636</v>
      </c>
      <c r="AM3" s="818"/>
      <c r="AN3" s="819"/>
      <c r="AO3" s="817" t="s">
        <v>636</v>
      </c>
      <c r="AP3" s="818"/>
      <c r="AQ3" s="819"/>
      <c r="AR3" s="817" t="s">
        <v>636</v>
      </c>
      <c r="AS3" s="818"/>
      <c r="AT3" s="819"/>
      <c r="AU3" s="817" t="s">
        <v>636</v>
      </c>
      <c r="AV3" s="818"/>
      <c r="AW3" s="819"/>
      <c r="AX3" s="817" t="s">
        <v>636</v>
      </c>
      <c r="AY3" s="818"/>
      <c r="AZ3" s="819"/>
      <c r="BA3" s="817" t="s">
        <v>636</v>
      </c>
      <c r="BB3" s="818"/>
      <c r="BC3" s="819"/>
      <c r="BD3" s="617" t="s">
        <v>636</v>
      </c>
      <c r="BE3" s="618"/>
      <c r="BF3" s="619"/>
      <c r="BG3" s="817" t="s">
        <v>636</v>
      </c>
      <c r="BH3" s="818"/>
      <c r="BI3" s="819"/>
      <c r="BJ3" s="618"/>
      <c r="BK3" s="621" t="s">
        <v>1094</v>
      </c>
      <c r="BL3" s="621"/>
      <c r="BM3" s="621"/>
      <c r="BN3" s="617" t="s">
        <v>883</v>
      </c>
      <c r="BO3" s="618"/>
      <c r="BP3" s="619"/>
      <c r="BQ3" s="817" t="s">
        <v>934</v>
      </c>
      <c r="BR3" s="818"/>
      <c r="BS3" s="819"/>
    </row>
    <row r="4" spans="1:74" s="498" customFormat="1" ht="86.25" customHeight="1">
      <c r="A4" s="361" t="s">
        <v>659</v>
      </c>
      <c r="B4" s="361" t="s">
        <v>1</v>
      </c>
      <c r="C4" s="361" t="s">
        <v>2</v>
      </c>
      <c r="D4" s="361" t="s">
        <v>3</v>
      </c>
      <c r="E4" s="361" t="s">
        <v>4</v>
      </c>
      <c r="F4" s="361" t="s">
        <v>5</v>
      </c>
      <c r="G4" s="361" t="s">
        <v>6</v>
      </c>
      <c r="H4" s="361" t="s">
        <v>7</v>
      </c>
      <c r="I4" s="361" t="s">
        <v>8</v>
      </c>
      <c r="J4" s="361" t="s">
        <v>9</v>
      </c>
      <c r="K4" s="361" t="s">
        <v>10</v>
      </c>
      <c r="L4" s="361" t="s">
        <v>11</v>
      </c>
      <c r="M4" s="12" t="s">
        <v>637</v>
      </c>
      <c r="N4" s="361" t="s">
        <v>638</v>
      </c>
      <c r="O4" s="361" t="s">
        <v>639</v>
      </c>
      <c r="P4" s="361" t="s">
        <v>12</v>
      </c>
      <c r="Q4" s="361" t="s">
        <v>640</v>
      </c>
      <c r="R4" s="361" t="s">
        <v>641</v>
      </c>
      <c r="S4" s="361" t="s">
        <v>642</v>
      </c>
      <c r="T4" s="361" t="s">
        <v>643</v>
      </c>
      <c r="U4" s="548" t="s">
        <v>644</v>
      </c>
      <c r="V4" s="361" t="s">
        <v>13</v>
      </c>
      <c r="W4" s="361" t="s">
        <v>14</v>
      </c>
      <c r="X4" s="361" t="s">
        <v>15</v>
      </c>
      <c r="Y4" s="361" t="s">
        <v>184</v>
      </c>
      <c r="Z4" s="823" t="s">
        <v>660</v>
      </c>
      <c r="AA4" s="824"/>
      <c r="AB4" s="825"/>
      <c r="AC4" s="823" t="s">
        <v>661</v>
      </c>
      <c r="AD4" s="824"/>
      <c r="AE4" s="825"/>
      <c r="AF4" s="823" t="s">
        <v>662</v>
      </c>
      <c r="AG4" s="824"/>
      <c r="AH4" s="825"/>
      <c r="AI4" s="823" t="s">
        <v>663</v>
      </c>
      <c r="AJ4" s="824"/>
      <c r="AK4" s="825"/>
      <c r="AL4" s="823" t="s">
        <v>664</v>
      </c>
      <c r="AM4" s="824"/>
      <c r="AN4" s="825"/>
      <c r="AO4" s="823" t="s">
        <v>665</v>
      </c>
      <c r="AP4" s="824"/>
      <c r="AQ4" s="825"/>
      <c r="AR4" s="823" t="s">
        <v>666</v>
      </c>
      <c r="AS4" s="824"/>
      <c r="AT4" s="825"/>
      <c r="AU4" s="823" t="s">
        <v>667</v>
      </c>
      <c r="AV4" s="824"/>
      <c r="AW4" s="825"/>
      <c r="AX4" s="823" t="s">
        <v>668</v>
      </c>
      <c r="AY4" s="824"/>
      <c r="AZ4" s="825"/>
      <c r="BA4" s="823" t="s">
        <v>669</v>
      </c>
      <c r="BB4" s="824"/>
      <c r="BC4" s="825"/>
      <c r="BD4" s="823" t="s">
        <v>461</v>
      </c>
      <c r="BE4" s="824"/>
      <c r="BF4" s="825"/>
      <c r="BG4" s="12" t="s">
        <v>938</v>
      </c>
      <c r="BH4" s="12" t="s">
        <v>939</v>
      </c>
      <c r="BI4" s="12" t="s">
        <v>940</v>
      </c>
      <c r="BJ4" s="12" t="s">
        <v>656</v>
      </c>
      <c r="BK4" s="12" t="s">
        <v>13</v>
      </c>
      <c r="BL4" s="12" t="s">
        <v>14</v>
      </c>
      <c r="BM4" s="12" t="s">
        <v>184</v>
      </c>
      <c r="BN4" s="12" t="s">
        <v>13</v>
      </c>
      <c r="BO4" s="12" t="s">
        <v>14</v>
      </c>
      <c r="BP4" s="498" t="s">
        <v>184</v>
      </c>
      <c r="BQ4" s="12" t="s">
        <v>13</v>
      </c>
      <c r="BR4" s="12" t="s">
        <v>14</v>
      </c>
      <c r="BS4" s="498" t="s">
        <v>184</v>
      </c>
      <c r="BT4" s="361" t="s">
        <v>16</v>
      </c>
    </row>
    <row r="5" spans="1:74" s="413" customFormat="1">
      <c r="A5" s="414"/>
      <c r="B5" s="414"/>
      <c r="C5" s="414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416"/>
      <c r="V5" s="337"/>
      <c r="W5" s="337"/>
      <c r="X5" s="337"/>
      <c r="Y5" s="414"/>
      <c r="Z5" s="391">
        <v>750</v>
      </c>
      <c r="AA5" s="391">
        <v>950</v>
      </c>
      <c r="AB5" s="391" t="s">
        <v>208</v>
      </c>
      <c r="AC5" s="391">
        <v>750</v>
      </c>
      <c r="AD5" s="391">
        <v>950</v>
      </c>
      <c r="AE5" s="391" t="s">
        <v>208</v>
      </c>
      <c r="AF5" s="391">
        <v>750</v>
      </c>
      <c r="AG5" s="391">
        <v>950</v>
      </c>
      <c r="AH5" s="391" t="s">
        <v>208</v>
      </c>
      <c r="AI5" s="391">
        <v>750</v>
      </c>
      <c r="AJ5" s="391">
        <v>950</v>
      </c>
      <c r="AK5" s="391" t="s">
        <v>208</v>
      </c>
      <c r="AL5" s="391">
        <v>750</v>
      </c>
      <c r="AM5" s="391">
        <v>950</v>
      </c>
      <c r="AN5" s="391" t="s">
        <v>208</v>
      </c>
      <c r="AO5" s="391">
        <v>750</v>
      </c>
      <c r="AP5" s="391">
        <v>950</v>
      </c>
      <c r="AQ5" s="391" t="s">
        <v>208</v>
      </c>
      <c r="AR5" s="391">
        <v>750</v>
      </c>
      <c r="AS5" s="391">
        <v>950</v>
      </c>
      <c r="AT5" s="391" t="s">
        <v>208</v>
      </c>
      <c r="AU5" s="391">
        <v>750</v>
      </c>
      <c r="AV5" s="391">
        <v>950</v>
      </c>
      <c r="AW5" s="391" t="s">
        <v>208</v>
      </c>
      <c r="AX5" s="391">
        <v>750</v>
      </c>
      <c r="AY5" s="391">
        <v>950</v>
      </c>
      <c r="AZ5" s="391" t="s">
        <v>208</v>
      </c>
      <c r="BA5" s="391">
        <v>750</v>
      </c>
      <c r="BB5" s="391">
        <v>950</v>
      </c>
      <c r="BC5" s="391" t="s">
        <v>208</v>
      </c>
      <c r="BD5" s="391">
        <v>750</v>
      </c>
      <c r="BE5" s="391">
        <v>950</v>
      </c>
      <c r="BF5" s="391" t="s">
        <v>208</v>
      </c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409"/>
    </row>
    <row r="6" spans="1:74" s="413" customFormat="1">
      <c r="A6" s="414"/>
      <c r="B6" s="414"/>
      <c r="C6" s="414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>
        <f>D6-L6-M6-N6</f>
        <v>0</v>
      </c>
      <c r="P6" s="337"/>
      <c r="Q6" s="337"/>
      <c r="R6" s="337"/>
      <c r="S6" s="337"/>
      <c r="T6" s="337"/>
      <c r="U6" s="416">
        <f>N6-T6</f>
        <v>0</v>
      </c>
      <c r="V6" s="337"/>
      <c r="W6" s="337"/>
      <c r="X6" s="337"/>
      <c r="Y6" s="414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414"/>
    </row>
    <row r="7" spans="1:74" s="413" customFormat="1">
      <c r="A7" s="414">
        <f>A6+1</f>
        <v>1</v>
      </c>
      <c r="B7" s="549">
        <v>499</v>
      </c>
      <c r="C7" s="549" t="s">
        <v>776</v>
      </c>
      <c r="D7" s="337">
        <v>1810000</v>
      </c>
      <c r="E7" s="337">
        <v>1810000</v>
      </c>
      <c r="F7" s="337">
        <f t="shared" ref="F7:F18" si="0">D7-E7</f>
        <v>0</v>
      </c>
      <c r="G7" s="337">
        <v>1675000</v>
      </c>
      <c r="H7" s="337">
        <v>1668941.2</v>
      </c>
      <c r="I7" s="337"/>
      <c r="J7" s="337"/>
      <c r="K7" s="337">
        <f t="shared" ref="K7:K18" si="1">SUM(I7:J7)</f>
        <v>0</v>
      </c>
      <c r="L7" s="337">
        <f t="shared" ref="L7:L18" si="2">H7+K7</f>
        <v>1668941.2</v>
      </c>
      <c r="M7" s="337">
        <f t="shared" ref="M7:M18" si="3">P7+S7</f>
        <v>6058.8000000000466</v>
      </c>
      <c r="N7" s="337"/>
      <c r="O7" s="337">
        <f t="shared" ref="O7:O18" si="4">D7-L7-M7-N7</f>
        <v>135000</v>
      </c>
      <c r="P7" s="337">
        <f t="shared" ref="P7:P18" si="5">G7-L7</f>
        <v>6058.8000000000466</v>
      </c>
      <c r="Q7" s="337"/>
      <c r="R7" s="337"/>
      <c r="S7" s="337">
        <f t="shared" ref="S7:S18" si="6">SUM(Q7:R7)</f>
        <v>0</v>
      </c>
      <c r="T7" s="337">
        <f t="shared" ref="T7:T18" si="7">P7-M7+S7</f>
        <v>0</v>
      </c>
      <c r="U7" s="416">
        <f t="shared" ref="U7:U18" si="8">N7-T7</f>
        <v>0</v>
      </c>
      <c r="V7" s="337">
        <f>U7-W7-X7-Y7</f>
        <v>0</v>
      </c>
      <c r="W7" s="337"/>
      <c r="X7" s="337"/>
      <c r="Y7" s="414"/>
      <c r="Z7" s="241"/>
      <c r="AA7" s="241"/>
      <c r="AB7" s="241">
        <f>SUM(Z7:AA7)</f>
        <v>0</v>
      </c>
      <c r="AC7" s="241"/>
      <c r="AD7" s="241"/>
      <c r="AE7" s="241">
        <f>SUM(AC7:AD7)</f>
        <v>0</v>
      </c>
      <c r="AF7" s="241"/>
      <c r="AG7" s="241"/>
      <c r="AH7" s="241">
        <f>SUM(AF7:AG7)</f>
        <v>0</v>
      </c>
      <c r="AI7" s="241"/>
      <c r="AJ7" s="241"/>
      <c r="AK7" s="241">
        <f>SUM(AI7:AJ7)</f>
        <v>0</v>
      </c>
      <c r="AL7" s="241"/>
      <c r="AM7" s="241"/>
      <c r="AN7" s="241">
        <f>SUM(AL7:AM7)</f>
        <v>0</v>
      </c>
      <c r="AO7" s="241"/>
      <c r="AP7" s="241"/>
      <c r="AQ7" s="241">
        <f>SUM(AO7:AP7)</f>
        <v>0</v>
      </c>
      <c r="AR7" s="241"/>
      <c r="AS7" s="241"/>
      <c r="AT7" s="241">
        <f>SUM(AR7:AS7)</f>
        <v>0</v>
      </c>
      <c r="AU7" s="241"/>
      <c r="AV7" s="241"/>
      <c r="AW7" s="241">
        <f>SUM(AU7:AV7)</f>
        <v>0</v>
      </c>
      <c r="AX7" s="241"/>
      <c r="AY7" s="241"/>
      <c r="AZ7" s="241">
        <f>SUM(AX7:AY7)</f>
        <v>0</v>
      </c>
      <c r="BA7" s="241"/>
      <c r="BB7" s="241"/>
      <c r="BC7" s="241">
        <f>SUM(BA7:BB7)</f>
        <v>0</v>
      </c>
      <c r="BD7" s="241"/>
      <c r="BE7" s="241"/>
      <c r="BF7" s="241">
        <f>SUM(BD7:BE7)</f>
        <v>0</v>
      </c>
      <c r="BG7" s="242">
        <f>BF7+AB7+AE7+AH7+AK7+AN7+AQ7+AT7+AW7+AZ7+BC7</f>
        <v>0</v>
      </c>
      <c r="BH7" s="242"/>
      <c r="BI7" s="242">
        <f>BH7+BG7</f>
        <v>0</v>
      </c>
      <c r="BJ7" s="242">
        <f>U7-BI7</f>
        <v>0</v>
      </c>
      <c r="BK7" s="242">
        <f>BI7-BL7-BM7</f>
        <v>0</v>
      </c>
      <c r="BL7" s="241"/>
      <c r="BM7" s="241">
        <f>BD7-BL7</f>
        <v>0</v>
      </c>
      <c r="BN7" s="242">
        <f>BE7-BO7-BP7</f>
        <v>0</v>
      </c>
      <c r="BO7" s="242"/>
      <c r="BP7" s="241"/>
      <c r="BQ7" s="242">
        <f>BH7-BR7-BS7</f>
        <v>0</v>
      </c>
      <c r="BR7" s="242"/>
      <c r="BS7" s="241"/>
      <c r="BT7" s="414">
        <v>760000</v>
      </c>
    </row>
    <row r="8" spans="1:74" s="244" customFormat="1">
      <c r="A8" s="414">
        <f t="shared" ref="A8:A18" si="9">A7+1</f>
        <v>2</v>
      </c>
      <c r="B8" s="241">
        <v>1032</v>
      </c>
      <c r="C8" s="241" t="s">
        <v>340</v>
      </c>
      <c r="D8" s="242">
        <v>40500000</v>
      </c>
      <c r="E8" s="242">
        <v>40500000</v>
      </c>
      <c r="F8" s="242">
        <f>D8-E8</f>
        <v>0</v>
      </c>
      <c r="G8" s="242">
        <v>21260000</v>
      </c>
      <c r="H8" s="242">
        <v>17790841</v>
      </c>
      <c r="I8" s="242">
        <v>1269817</v>
      </c>
      <c r="J8" s="242">
        <v>577071</v>
      </c>
      <c r="K8" s="242">
        <f>SUM(I8:J8)</f>
        <v>1846888</v>
      </c>
      <c r="L8" s="242">
        <f>H8+K8</f>
        <v>19637729</v>
      </c>
      <c r="M8" s="242">
        <f>P8+S8</f>
        <v>1622271</v>
      </c>
      <c r="N8" s="242">
        <f>8000000-3000000</f>
        <v>5000000</v>
      </c>
      <c r="O8" s="242">
        <f t="shared" si="4"/>
        <v>14240000</v>
      </c>
      <c r="P8" s="242">
        <f>G8-L8</f>
        <v>1622271</v>
      </c>
      <c r="Q8" s="242"/>
      <c r="R8" s="242"/>
      <c r="S8" s="242">
        <f>SUM(Q8:R8)</f>
        <v>0</v>
      </c>
      <c r="T8" s="242">
        <f>P8-M8+S8</f>
        <v>0</v>
      </c>
      <c r="U8" s="14">
        <f>N8-T8</f>
        <v>5000000</v>
      </c>
      <c r="V8" s="242">
        <f>U8-Y8-W8-X8</f>
        <v>4900000</v>
      </c>
      <c r="W8" s="242">
        <v>100000</v>
      </c>
      <c r="X8" s="242"/>
      <c r="Y8" s="241"/>
      <c r="Z8" s="241"/>
      <c r="AA8" s="241"/>
      <c r="AB8" s="241">
        <f t="shared" ref="AB8:AB18" si="10">SUM(Z8:AA8)</f>
        <v>0</v>
      </c>
      <c r="AC8" s="241"/>
      <c r="AD8" s="241"/>
      <c r="AE8" s="241">
        <f t="shared" ref="AE8:AE18" si="11">SUM(AC8:AD8)</f>
        <v>0</v>
      </c>
      <c r="AF8" s="241"/>
      <c r="AG8" s="241"/>
      <c r="AH8" s="241">
        <f t="shared" ref="AH8:AH18" si="12">SUM(AF8:AG8)</f>
        <v>0</v>
      </c>
      <c r="AI8" s="241"/>
      <c r="AJ8" s="241"/>
      <c r="AK8" s="241">
        <f t="shared" ref="AK8:AK18" si="13">SUM(AI8:AJ8)</f>
        <v>0</v>
      </c>
      <c r="AL8" s="242">
        <v>480000</v>
      </c>
      <c r="AM8" s="242"/>
      <c r="AN8" s="242">
        <f t="shared" ref="AN8:AN18" si="14">SUM(AL8:AM8)</f>
        <v>480000</v>
      </c>
      <c r="AO8" s="242">
        <f>910000-200000</f>
        <v>710000</v>
      </c>
      <c r="AP8" s="242"/>
      <c r="AQ8" s="242">
        <f t="shared" ref="AQ8:AQ18" si="15">SUM(AO8:AP8)</f>
        <v>710000</v>
      </c>
      <c r="AR8" s="242">
        <v>200000</v>
      </c>
      <c r="AS8" s="242"/>
      <c r="AT8" s="242">
        <f t="shared" ref="AT8:AT18" si="16">SUM(AR8:AS8)</f>
        <v>200000</v>
      </c>
      <c r="AU8" s="241"/>
      <c r="AV8" s="242"/>
      <c r="AW8" s="242">
        <f t="shared" ref="AW8:AW18" si="17">SUM(AU8:AV8)</f>
        <v>0</v>
      </c>
      <c r="AX8" s="241"/>
      <c r="AY8" s="242"/>
      <c r="AZ8" s="242">
        <f t="shared" ref="AZ8:AZ18" si="18">SUM(AX8:AY8)</f>
        <v>0</v>
      </c>
      <c r="BA8" s="242">
        <f>400000+250000</f>
        <v>650000</v>
      </c>
      <c r="BB8" s="242"/>
      <c r="BC8" s="242">
        <f t="shared" ref="BC8:BC18" si="19">SUM(BA8:BB8)</f>
        <v>650000</v>
      </c>
      <c r="BD8" s="242">
        <f>1500000+500000</f>
        <v>2000000</v>
      </c>
      <c r="BE8" s="242"/>
      <c r="BF8" s="242">
        <f t="shared" ref="BF8:BF18" si="20">SUM(BD8:BE8)</f>
        <v>2000000</v>
      </c>
      <c r="BG8" s="242">
        <f t="shared" ref="BG8:BG18" si="21">BF8+AB8+AE8+AH8+AK8+AN8+AQ8+AT8+AW8+AZ8+BC8</f>
        <v>4040000</v>
      </c>
      <c r="BH8" s="242">
        <v>960000</v>
      </c>
      <c r="BI8" s="242">
        <f t="shared" ref="BI8:BI18" si="22">BH8+BG8</f>
        <v>5000000</v>
      </c>
      <c r="BJ8" s="242">
        <f t="shared" ref="BJ8:BJ18" si="23">U8-BI8</f>
        <v>0</v>
      </c>
      <c r="BK8" s="242">
        <f t="shared" ref="BK8:BK18" si="24">BI8-BL8-BM8</f>
        <v>5000000</v>
      </c>
      <c r="BL8" s="241"/>
      <c r="BM8" s="242"/>
      <c r="BN8" s="242">
        <f>BH8-BO8-BP8</f>
        <v>960000</v>
      </c>
      <c r="BO8" s="242"/>
      <c r="BP8" s="241"/>
      <c r="BQ8" s="242">
        <f>BJ8-BR8-BS8</f>
        <v>0</v>
      </c>
      <c r="BR8" s="242"/>
      <c r="BS8" s="241"/>
      <c r="BT8" s="241">
        <v>742000</v>
      </c>
      <c r="BU8" s="550"/>
    </row>
    <row r="9" spans="1:74" s="413" customFormat="1">
      <c r="A9" s="414">
        <f t="shared" si="9"/>
        <v>3</v>
      </c>
      <c r="B9" s="414">
        <v>1259</v>
      </c>
      <c r="C9" s="414" t="s">
        <v>122</v>
      </c>
      <c r="D9" s="337">
        <f>4260000+850000+350000</f>
        <v>5460000</v>
      </c>
      <c r="E9" s="337">
        <v>4260000</v>
      </c>
      <c r="F9" s="337">
        <f t="shared" si="0"/>
        <v>1200000</v>
      </c>
      <c r="G9" s="337">
        <v>2760000</v>
      </c>
      <c r="H9" s="337">
        <v>1979832.22</v>
      </c>
      <c r="I9" s="337">
        <v>292500</v>
      </c>
      <c r="J9" s="337">
        <v>139895.73000000001</v>
      </c>
      <c r="K9" s="337">
        <f t="shared" si="1"/>
        <v>432395.73</v>
      </c>
      <c r="L9" s="337">
        <f t="shared" si="2"/>
        <v>2412227.9500000002</v>
      </c>
      <c r="M9" s="337">
        <f t="shared" si="3"/>
        <v>697772.04999999981</v>
      </c>
      <c r="N9" s="337">
        <v>2350000</v>
      </c>
      <c r="O9" s="337">
        <f t="shared" si="4"/>
        <v>0</v>
      </c>
      <c r="P9" s="337">
        <f t="shared" si="5"/>
        <v>347772.04999999981</v>
      </c>
      <c r="Q9" s="421">
        <v>350000</v>
      </c>
      <c r="R9" s="337"/>
      <c r="S9" s="337">
        <f t="shared" si="6"/>
        <v>350000</v>
      </c>
      <c r="T9" s="337">
        <f t="shared" si="7"/>
        <v>0</v>
      </c>
      <c r="U9" s="416">
        <f t="shared" si="8"/>
        <v>2350000</v>
      </c>
      <c r="V9" s="337">
        <f>U9-W9-X9-Y9</f>
        <v>2350000</v>
      </c>
      <c r="W9" s="337"/>
      <c r="X9" s="337"/>
      <c r="Y9" s="414"/>
      <c r="Z9" s="241"/>
      <c r="AA9" s="241"/>
      <c r="AB9" s="241">
        <f t="shared" si="10"/>
        <v>0</v>
      </c>
      <c r="AC9" s="241"/>
      <c r="AD9" s="241"/>
      <c r="AE9" s="241">
        <f t="shared" si="11"/>
        <v>0</v>
      </c>
      <c r="AF9" s="241"/>
      <c r="AG9" s="241"/>
      <c r="AH9" s="241">
        <f t="shared" si="12"/>
        <v>0</v>
      </c>
      <c r="AI9" s="241"/>
      <c r="AJ9" s="241"/>
      <c r="AK9" s="241">
        <f t="shared" si="13"/>
        <v>0</v>
      </c>
      <c r="AL9" s="241"/>
      <c r="AM9" s="241"/>
      <c r="AN9" s="241">
        <f t="shared" si="14"/>
        <v>0</v>
      </c>
      <c r="AO9" s="241"/>
      <c r="AP9" s="241"/>
      <c r="AQ9" s="241">
        <f t="shared" si="15"/>
        <v>0</v>
      </c>
      <c r="AR9" s="241"/>
      <c r="AS9" s="241"/>
      <c r="AT9" s="241">
        <f t="shared" si="16"/>
        <v>0</v>
      </c>
      <c r="AU9" s="241"/>
      <c r="AV9" s="241"/>
      <c r="AW9" s="241">
        <f t="shared" si="17"/>
        <v>0</v>
      </c>
      <c r="AX9" s="241"/>
      <c r="AY9" s="241"/>
      <c r="AZ9" s="241">
        <f t="shared" si="18"/>
        <v>0</v>
      </c>
      <c r="BA9" s="241"/>
      <c r="BB9" s="241"/>
      <c r="BC9" s="241">
        <f t="shared" si="19"/>
        <v>0</v>
      </c>
      <c r="BD9" s="241"/>
      <c r="BE9" s="241"/>
      <c r="BF9" s="241">
        <f t="shared" si="20"/>
        <v>0</v>
      </c>
      <c r="BG9" s="242">
        <f t="shared" si="21"/>
        <v>0</v>
      </c>
      <c r="BH9" s="242">
        <v>300000</v>
      </c>
      <c r="BI9" s="242">
        <f t="shared" si="22"/>
        <v>300000</v>
      </c>
      <c r="BJ9" s="242">
        <f t="shared" si="23"/>
        <v>2050000</v>
      </c>
      <c r="BK9" s="242">
        <f t="shared" si="24"/>
        <v>300000</v>
      </c>
      <c r="BL9" s="241"/>
      <c r="BM9" s="241">
        <f t="shared" ref="BM9:BM15" si="25">BD9-BL9</f>
        <v>0</v>
      </c>
      <c r="BN9" s="242">
        <f t="shared" ref="BN9:BN18" si="26">BH9-BO9-BP9</f>
        <v>300000</v>
      </c>
      <c r="BO9" s="242"/>
      <c r="BP9" s="241"/>
      <c r="BQ9" s="242">
        <f t="shared" ref="BQ9:BQ18" si="27">BJ9-BR9-BS9</f>
        <v>2050000</v>
      </c>
      <c r="BR9" s="242"/>
      <c r="BS9" s="241"/>
      <c r="BT9" s="414">
        <v>760000</v>
      </c>
    </row>
    <row r="10" spans="1:74" s="413" customFormat="1">
      <c r="A10" s="414">
        <f t="shared" si="9"/>
        <v>4</v>
      </c>
      <c r="B10" s="414">
        <v>1260</v>
      </c>
      <c r="C10" s="414" t="s">
        <v>123</v>
      </c>
      <c r="D10" s="337">
        <f>7608000+1000000</f>
        <v>8608000</v>
      </c>
      <c r="E10" s="337">
        <v>7608000</v>
      </c>
      <c r="F10" s="337">
        <f t="shared" si="0"/>
        <v>1000000</v>
      </c>
      <c r="G10" s="337">
        <v>7608000</v>
      </c>
      <c r="H10" s="337">
        <v>6762346</v>
      </c>
      <c r="I10" s="337">
        <v>314795</v>
      </c>
      <c r="J10" s="337">
        <v>60345.39</v>
      </c>
      <c r="K10" s="337">
        <f t="shared" si="1"/>
        <v>375140.39</v>
      </c>
      <c r="L10" s="337">
        <f t="shared" si="2"/>
        <v>7137486.3899999997</v>
      </c>
      <c r="M10" s="337">
        <f t="shared" si="3"/>
        <v>470513.61000000034</v>
      </c>
      <c r="N10" s="337">
        <v>1000000</v>
      </c>
      <c r="O10" s="337">
        <f t="shared" si="4"/>
        <v>0</v>
      </c>
      <c r="P10" s="337">
        <f t="shared" si="5"/>
        <v>470513.61000000034</v>
      </c>
      <c r="Q10" s="337"/>
      <c r="R10" s="337"/>
      <c r="S10" s="337">
        <f t="shared" si="6"/>
        <v>0</v>
      </c>
      <c r="T10" s="337">
        <f t="shared" si="7"/>
        <v>0</v>
      </c>
      <c r="U10" s="416">
        <f t="shared" si="8"/>
        <v>1000000</v>
      </c>
      <c r="V10" s="337">
        <f>U10-W10-X10-Y10</f>
        <v>500000</v>
      </c>
      <c r="W10" s="337">
        <v>500000</v>
      </c>
      <c r="X10" s="337"/>
      <c r="Y10" s="414"/>
      <c r="Z10" s="241"/>
      <c r="AA10" s="241"/>
      <c r="AB10" s="241">
        <f t="shared" si="10"/>
        <v>0</v>
      </c>
      <c r="AC10" s="241"/>
      <c r="AD10" s="241"/>
      <c r="AE10" s="241">
        <f t="shared" si="11"/>
        <v>0</v>
      </c>
      <c r="AF10" s="241"/>
      <c r="AG10" s="241"/>
      <c r="AH10" s="241">
        <f t="shared" si="12"/>
        <v>0</v>
      </c>
      <c r="AI10" s="241"/>
      <c r="AJ10" s="241"/>
      <c r="AK10" s="241">
        <f t="shared" si="13"/>
        <v>0</v>
      </c>
      <c r="AL10" s="241"/>
      <c r="AM10" s="241"/>
      <c r="AN10" s="241">
        <f t="shared" si="14"/>
        <v>0</v>
      </c>
      <c r="AO10" s="241"/>
      <c r="AP10" s="241"/>
      <c r="AQ10" s="241">
        <f t="shared" si="15"/>
        <v>0</v>
      </c>
      <c r="AR10" s="241"/>
      <c r="AS10" s="241"/>
      <c r="AT10" s="241">
        <f t="shared" si="16"/>
        <v>0</v>
      </c>
      <c r="AU10" s="241"/>
      <c r="AV10" s="241"/>
      <c r="AW10" s="241">
        <f t="shared" si="17"/>
        <v>0</v>
      </c>
      <c r="AX10" s="241"/>
      <c r="AY10" s="241"/>
      <c r="AZ10" s="241">
        <f t="shared" si="18"/>
        <v>0</v>
      </c>
      <c r="BA10" s="241"/>
      <c r="BB10" s="241"/>
      <c r="BC10" s="241">
        <f t="shared" si="19"/>
        <v>0</v>
      </c>
      <c r="BD10" s="241"/>
      <c r="BE10" s="241"/>
      <c r="BF10" s="241">
        <f t="shared" si="20"/>
        <v>0</v>
      </c>
      <c r="BG10" s="242">
        <f t="shared" si="21"/>
        <v>0</v>
      </c>
      <c r="BH10" s="242">
        <v>300000</v>
      </c>
      <c r="BI10" s="242">
        <f t="shared" si="22"/>
        <v>300000</v>
      </c>
      <c r="BJ10" s="242">
        <f t="shared" si="23"/>
        <v>700000</v>
      </c>
      <c r="BK10" s="242">
        <f t="shared" si="24"/>
        <v>300000</v>
      </c>
      <c r="BL10" s="241"/>
      <c r="BM10" s="241">
        <f t="shared" si="25"/>
        <v>0</v>
      </c>
      <c r="BN10" s="242">
        <f t="shared" si="26"/>
        <v>150000</v>
      </c>
      <c r="BO10" s="242">
        <f>BH10*0.5</f>
        <v>150000</v>
      </c>
      <c r="BP10" s="241"/>
      <c r="BQ10" s="242">
        <f t="shared" si="27"/>
        <v>350000</v>
      </c>
      <c r="BR10" s="242">
        <f>BJ10*0.5</f>
        <v>350000</v>
      </c>
      <c r="BS10" s="241"/>
      <c r="BT10" s="414">
        <v>760000</v>
      </c>
    </row>
    <row r="11" spans="1:74" s="244" customFormat="1">
      <c r="A11" s="414">
        <f t="shared" si="9"/>
        <v>5</v>
      </c>
      <c r="B11" s="394">
        <v>1287</v>
      </c>
      <c r="C11" s="394" t="s">
        <v>777</v>
      </c>
      <c r="D11" s="242">
        <v>500000</v>
      </c>
      <c r="E11" s="242">
        <v>500000</v>
      </c>
      <c r="F11" s="242">
        <f t="shared" si="0"/>
        <v>0</v>
      </c>
      <c r="G11" s="242">
        <v>300000</v>
      </c>
      <c r="H11" s="242">
        <v>199999.49</v>
      </c>
      <c r="I11" s="242"/>
      <c r="J11" s="242"/>
      <c r="K11" s="242">
        <f t="shared" si="1"/>
        <v>0</v>
      </c>
      <c r="L11" s="242">
        <f t="shared" si="2"/>
        <v>199999.49</v>
      </c>
      <c r="M11" s="242">
        <f t="shared" si="3"/>
        <v>100000.51000000001</v>
      </c>
      <c r="N11" s="242"/>
      <c r="O11" s="242">
        <f t="shared" si="4"/>
        <v>200000</v>
      </c>
      <c r="P11" s="242">
        <f t="shared" si="5"/>
        <v>100000.51000000001</v>
      </c>
      <c r="Q11" s="242"/>
      <c r="R11" s="242"/>
      <c r="S11" s="242">
        <f>SUM(Q11:R11)</f>
        <v>0</v>
      </c>
      <c r="T11" s="242">
        <f t="shared" si="7"/>
        <v>0</v>
      </c>
      <c r="U11" s="14">
        <f t="shared" si="8"/>
        <v>0</v>
      </c>
      <c r="V11" s="242"/>
      <c r="W11" s="242">
        <f>U11-V11-X11-Y11</f>
        <v>0</v>
      </c>
      <c r="X11" s="242"/>
      <c r="Y11" s="241"/>
      <c r="Z11" s="13"/>
      <c r="AA11" s="13"/>
      <c r="AB11" s="241">
        <f t="shared" si="10"/>
        <v>0</v>
      </c>
      <c r="AC11" s="13"/>
      <c r="AD11" s="13"/>
      <c r="AE11" s="241">
        <f t="shared" si="11"/>
        <v>0</v>
      </c>
      <c r="AF11" s="13"/>
      <c r="AG11" s="13"/>
      <c r="AH11" s="241">
        <f t="shared" si="12"/>
        <v>0</v>
      </c>
      <c r="AI11" s="13"/>
      <c r="AJ11" s="13"/>
      <c r="AK11" s="241">
        <f t="shared" si="13"/>
        <v>0</v>
      </c>
      <c r="AL11" s="13"/>
      <c r="AM11" s="13"/>
      <c r="AN11" s="241">
        <f t="shared" si="14"/>
        <v>0</v>
      </c>
      <c r="AO11" s="13"/>
      <c r="AP11" s="13"/>
      <c r="AQ11" s="241">
        <f t="shared" si="15"/>
        <v>0</v>
      </c>
      <c r="AR11" s="241"/>
      <c r="AS11" s="13"/>
      <c r="AT11" s="241">
        <f t="shared" si="16"/>
        <v>0</v>
      </c>
      <c r="AU11" s="241"/>
      <c r="AV11" s="13"/>
      <c r="AW11" s="241">
        <f t="shared" si="17"/>
        <v>0</v>
      </c>
      <c r="AX11" s="241"/>
      <c r="AY11" s="13"/>
      <c r="AZ11" s="241">
        <f t="shared" si="18"/>
        <v>0</v>
      </c>
      <c r="BA11" s="241"/>
      <c r="BB11" s="13"/>
      <c r="BC11" s="241">
        <f t="shared" si="19"/>
        <v>0</v>
      </c>
      <c r="BD11" s="241"/>
      <c r="BE11" s="13"/>
      <c r="BF11" s="241">
        <f t="shared" si="20"/>
        <v>0</v>
      </c>
      <c r="BG11" s="242">
        <f t="shared" si="21"/>
        <v>0</v>
      </c>
      <c r="BH11" s="242"/>
      <c r="BI11" s="242">
        <f t="shared" si="22"/>
        <v>0</v>
      </c>
      <c r="BJ11" s="242">
        <f t="shared" si="23"/>
        <v>0</v>
      </c>
      <c r="BK11" s="242">
        <f t="shared" si="24"/>
        <v>0</v>
      </c>
      <c r="BL11" s="241"/>
      <c r="BM11" s="241">
        <f t="shared" si="25"/>
        <v>0</v>
      </c>
      <c r="BN11" s="242">
        <f t="shared" si="26"/>
        <v>0</v>
      </c>
      <c r="BO11" s="242"/>
      <c r="BP11" s="241"/>
      <c r="BQ11" s="242">
        <f t="shared" si="27"/>
        <v>0</v>
      </c>
      <c r="BR11" s="242"/>
      <c r="BS11" s="241"/>
      <c r="BT11" s="551">
        <v>744000</v>
      </c>
      <c r="BU11" s="490"/>
      <c r="BV11" s="490"/>
    </row>
    <row r="12" spans="1:74" s="413" customFormat="1">
      <c r="A12" s="414">
        <f t="shared" si="9"/>
        <v>6</v>
      </c>
      <c r="B12" s="414">
        <v>1422</v>
      </c>
      <c r="C12" s="414" t="s">
        <v>124</v>
      </c>
      <c r="D12" s="337">
        <v>30257000</v>
      </c>
      <c r="E12" s="337">
        <v>30257000</v>
      </c>
      <c r="F12" s="337">
        <f t="shared" si="0"/>
        <v>0</v>
      </c>
      <c r="G12" s="337">
        <v>7257000</v>
      </c>
      <c r="H12" s="337">
        <v>7257000</v>
      </c>
      <c r="I12" s="337"/>
      <c r="J12" s="337"/>
      <c r="K12" s="337">
        <f t="shared" si="1"/>
        <v>0</v>
      </c>
      <c r="L12" s="337">
        <f t="shared" si="2"/>
        <v>7257000</v>
      </c>
      <c r="M12" s="337">
        <f t="shared" si="3"/>
        <v>6925000</v>
      </c>
      <c r="N12" s="337"/>
      <c r="O12" s="337">
        <f t="shared" si="4"/>
        <v>16075000</v>
      </c>
      <c r="P12" s="337">
        <f t="shared" si="5"/>
        <v>0</v>
      </c>
      <c r="Q12" s="337"/>
      <c r="R12" s="483">
        <v>6925000</v>
      </c>
      <c r="S12" s="337">
        <f t="shared" si="6"/>
        <v>6925000</v>
      </c>
      <c r="T12" s="337">
        <f t="shared" si="7"/>
        <v>0</v>
      </c>
      <c r="U12" s="416">
        <f t="shared" si="8"/>
        <v>0</v>
      </c>
      <c r="V12" s="337">
        <f>U12-W12-X12-Y12</f>
        <v>0</v>
      </c>
      <c r="W12" s="337"/>
      <c r="X12" s="337"/>
      <c r="Y12" s="414"/>
      <c r="Z12" s="13"/>
      <c r="AA12" s="13"/>
      <c r="AB12" s="241">
        <f t="shared" si="10"/>
        <v>0</v>
      </c>
      <c r="AC12" s="13"/>
      <c r="AD12" s="13"/>
      <c r="AE12" s="241">
        <f t="shared" si="11"/>
        <v>0</v>
      </c>
      <c r="AF12" s="13"/>
      <c r="AG12" s="13"/>
      <c r="AH12" s="241">
        <f t="shared" si="12"/>
        <v>0</v>
      </c>
      <c r="AI12" s="13"/>
      <c r="AJ12" s="13"/>
      <c r="AK12" s="241">
        <f t="shared" si="13"/>
        <v>0</v>
      </c>
      <c r="AL12" s="13"/>
      <c r="AM12" s="13"/>
      <c r="AN12" s="241">
        <f t="shared" si="14"/>
        <v>0</v>
      </c>
      <c r="AO12" s="13"/>
      <c r="AP12" s="13"/>
      <c r="AQ12" s="241">
        <f t="shared" si="15"/>
        <v>0</v>
      </c>
      <c r="AR12" s="241"/>
      <c r="AS12" s="13"/>
      <c r="AT12" s="241">
        <f t="shared" si="16"/>
        <v>0</v>
      </c>
      <c r="AU12" s="241"/>
      <c r="AV12" s="13"/>
      <c r="AW12" s="241">
        <f t="shared" si="17"/>
        <v>0</v>
      </c>
      <c r="AX12" s="241"/>
      <c r="AY12" s="13"/>
      <c r="AZ12" s="241">
        <f t="shared" si="18"/>
        <v>0</v>
      </c>
      <c r="BA12" s="241"/>
      <c r="BB12" s="13"/>
      <c r="BC12" s="241">
        <f t="shared" si="19"/>
        <v>0</v>
      </c>
      <c r="BD12" s="241"/>
      <c r="BE12" s="13"/>
      <c r="BF12" s="241">
        <f t="shared" si="20"/>
        <v>0</v>
      </c>
      <c r="BG12" s="242">
        <f t="shared" si="21"/>
        <v>0</v>
      </c>
      <c r="BH12" s="242"/>
      <c r="BI12" s="242">
        <f t="shared" si="22"/>
        <v>0</v>
      </c>
      <c r="BJ12" s="242">
        <f t="shared" si="23"/>
        <v>0</v>
      </c>
      <c r="BK12" s="242">
        <f t="shared" si="24"/>
        <v>0</v>
      </c>
      <c r="BL12" s="241"/>
      <c r="BM12" s="241">
        <f t="shared" si="25"/>
        <v>0</v>
      </c>
      <c r="BN12" s="242">
        <f t="shared" si="26"/>
        <v>0</v>
      </c>
      <c r="BO12" s="242"/>
      <c r="BP12" s="241"/>
      <c r="BQ12" s="242">
        <f t="shared" si="27"/>
        <v>0</v>
      </c>
      <c r="BR12" s="242"/>
      <c r="BS12" s="241"/>
      <c r="BT12" s="414">
        <v>730000</v>
      </c>
    </row>
    <row r="13" spans="1:74" s="413" customFormat="1">
      <c r="A13" s="414">
        <f t="shared" si="9"/>
        <v>7</v>
      </c>
      <c r="B13" s="549">
        <v>1436</v>
      </c>
      <c r="C13" s="549" t="s">
        <v>778</v>
      </c>
      <c r="D13" s="337">
        <v>120000</v>
      </c>
      <c r="E13" s="337">
        <v>120000</v>
      </c>
      <c r="F13" s="337">
        <f t="shared" si="0"/>
        <v>0</v>
      </c>
      <c r="G13" s="337">
        <v>120000</v>
      </c>
      <c r="H13" s="337">
        <v>33974</v>
      </c>
      <c r="I13" s="337"/>
      <c r="J13" s="337"/>
      <c r="K13" s="337">
        <f t="shared" si="1"/>
        <v>0</v>
      </c>
      <c r="L13" s="337">
        <f t="shared" si="2"/>
        <v>33974</v>
      </c>
      <c r="M13" s="337">
        <f t="shared" si="3"/>
        <v>86026</v>
      </c>
      <c r="N13" s="337"/>
      <c r="O13" s="337">
        <f t="shared" si="4"/>
        <v>0</v>
      </c>
      <c r="P13" s="337">
        <f t="shared" si="5"/>
        <v>86026</v>
      </c>
      <c r="Q13" s="337"/>
      <c r="R13" s="337"/>
      <c r="S13" s="337">
        <f t="shared" si="6"/>
        <v>0</v>
      </c>
      <c r="T13" s="337">
        <f t="shared" si="7"/>
        <v>0</v>
      </c>
      <c r="U13" s="416">
        <f t="shared" si="8"/>
        <v>0</v>
      </c>
      <c r="V13" s="337">
        <f>U13-W13-X13-Y13</f>
        <v>0</v>
      </c>
      <c r="W13" s="337"/>
      <c r="X13" s="337"/>
      <c r="Y13" s="414"/>
      <c r="Z13" s="13"/>
      <c r="AA13" s="13"/>
      <c r="AB13" s="241">
        <f t="shared" si="10"/>
        <v>0</v>
      </c>
      <c r="AC13" s="13"/>
      <c r="AD13" s="13"/>
      <c r="AE13" s="241">
        <f t="shared" si="11"/>
        <v>0</v>
      </c>
      <c r="AF13" s="13"/>
      <c r="AG13" s="13"/>
      <c r="AH13" s="241">
        <f t="shared" si="12"/>
        <v>0</v>
      </c>
      <c r="AI13" s="13"/>
      <c r="AJ13" s="13"/>
      <c r="AK13" s="241">
        <f t="shared" si="13"/>
        <v>0</v>
      </c>
      <c r="AL13" s="13"/>
      <c r="AM13" s="13"/>
      <c r="AN13" s="241">
        <f t="shared" si="14"/>
        <v>0</v>
      </c>
      <c r="AO13" s="13"/>
      <c r="AP13" s="13"/>
      <c r="AQ13" s="241">
        <f t="shared" si="15"/>
        <v>0</v>
      </c>
      <c r="AR13" s="241"/>
      <c r="AS13" s="13"/>
      <c r="AT13" s="241">
        <f t="shared" si="16"/>
        <v>0</v>
      </c>
      <c r="AU13" s="241"/>
      <c r="AV13" s="13"/>
      <c r="AW13" s="241">
        <f t="shared" si="17"/>
        <v>0</v>
      </c>
      <c r="AX13" s="241"/>
      <c r="AY13" s="13"/>
      <c r="AZ13" s="241">
        <f t="shared" si="18"/>
        <v>0</v>
      </c>
      <c r="BA13" s="241"/>
      <c r="BB13" s="13"/>
      <c r="BC13" s="241">
        <f t="shared" si="19"/>
        <v>0</v>
      </c>
      <c r="BD13" s="241"/>
      <c r="BE13" s="13"/>
      <c r="BF13" s="241">
        <f t="shared" si="20"/>
        <v>0</v>
      </c>
      <c r="BG13" s="242">
        <f t="shared" si="21"/>
        <v>0</v>
      </c>
      <c r="BH13" s="242"/>
      <c r="BI13" s="242">
        <f t="shared" si="22"/>
        <v>0</v>
      </c>
      <c r="BJ13" s="242">
        <f t="shared" si="23"/>
        <v>0</v>
      </c>
      <c r="BK13" s="242">
        <f t="shared" si="24"/>
        <v>0</v>
      </c>
      <c r="BL13" s="241"/>
      <c r="BM13" s="241">
        <f t="shared" si="25"/>
        <v>0</v>
      </c>
      <c r="BN13" s="242">
        <f t="shared" si="26"/>
        <v>0</v>
      </c>
      <c r="BO13" s="242"/>
      <c r="BP13" s="241"/>
      <c r="BQ13" s="242">
        <f t="shared" si="27"/>
        <v>0</v>
      </c>
      <c r="BR13" s="242"/>
      <c r="BS13" s="241"/>
      <c r="BT13" s="414">
        <v>620000</v>
      </c>
    </row>
    <row r="14" spans="1:74" s="413" customFormat="1">
      <c r="A14" s="414">
        <f t="shared" si="9"/>
        <v>8</v>
      </c>
      <c r="B14" s="414">
        <v>1489</v>
      </c>
      <c r="C14" s="414" t="s">
        <v>1097</v>
      </c>
      <c r="D14" s="337">
        <v>46200000</v>
      </c>
      <c r="E14" s="337">
        <v>46200000</v>
      </c>
      <c r="F14" s="337">
        <f t="shared" si="0"/>
        <v>0</v>
      </c>
      <c r="G14" s="337">
        <v>25500000</v>
      </c>
      <c r="H14" s="337">
        <v>23229141</v>
      </c>
      <c r="I14" s="337">
        <v>1760214</v>
      </c>
      <c r="J14" s="337">
        <v>7416.97</v>
      </c>
      <c r="K14" s="337">
        <f t="shared" si="1"/>
        <v>1767630.97</v>
      </c>
      <c r="L14" s="337">
        <f t="shared" si="2"/>
        <v>24996771.969999999</v>
      </c>
      <c r="M14" s="337">
        <f t="shared" si="3"/>
        <v>503228.03000000119</v>
      </c>
      <c r="N14" s="337">
        <v>4000000</v>
      </c>
      <c r="O14" s="337">
        <f t="shared" si="4"/>
        <v>16700000</v>
      </c>
      <c r="P14" s="337">
        <f t="shared" si="5"/>
        <v>503228.03000000119</v>
      </c>
      <c r="Q14" s="337"/>
      <c r="R14" s="337"/>
      <c r="S14" s="337">
        <f t="shared" si="6"/>
        <v>0</v>
      </c>
      <c r="T14" s="337">
        <f t="shared" si="7"/>
        <v>0</v>
      </c>
      <c r="U14" s="416">
        <f t="shared" si="8"/>
        <v>4000000</v>
      </c>
      <c r="V14" s="337"/>
      <c r="W14" s="337">
        <f>U14-V14-X14-Y14</f>
        <v>4000000</v>
      </c>
      <c r="X14" s="337"/>
      <c r="Y14" s="414"/>
      <c r="Z14" s="241"/>
      <c r="AA14" s="241"/>
      <c r="AB14" s="241">
        <f t="shared" si="10"/>
        <v>0</v>
      </c>
      <c r="AC14" s="241"/>
      <c r="AD14" s="241"/>
      <c r="AE14" s="241">
        <f t="shared" si="11"/>
        <v>0</v>
      </c>
      <c r="AF14" s="337">
        <v>850000</v>
      </c>
      <c r="AG14" s="337"/>
      <c r="AH14" s="337">
        <f t="shared" si="12"/>
        <v>850000</v>
      </c>
      <c r="AI14" s="337"/>
      <c r="AJ14" s="337"/>
      <c r="AK14" s="337">
        <f t="shared" si="13"/>
        <v>0</v>
      </c>
      <c r="AL14" s="337"/>
      <c r="AM14" s="337"/>
      <c r="AN14" s="337">
        <f t="shared" si="14"/>
        <v>0</v>
      </c>
      <c r="AO14" s="242">
        <f>900000-200000</f>
        <v>700000</v>
      </c>
      <c r="AP14" s="337"/>
      <c r="AQ14" s="337">
        <f t="shared" si="15"/>
        <v>700000</v>
      </c>
      <c r="AR14" s="241"/>
      <c r="AS14" s="337"/>
      <c r="AT14" s="337">
        <f t="shared" si="16"/>
        <v>0</v>
      </c>
      <c r="AU14" s="337">
        <v>500000</v>
      </c>
      <c r="AV14" s="337"/>
      <c r="AW14" s="337">
        <f t="shared" si="17"/>
        <v>500000</v>
      </c>
      <c r="AX14" s="241"/>
      <c r="AY14" s="337"/>
      <c r="AZ14" s="337">
        <f t="shared" si="18"/>
        <v>0</v>
      </c>
      <c r="BA14" s="337">
        <v>1950000</v>
      </c>
      <c r="BB14" s="337"/>
      <c r="BC14" s="337">
        <f t="shared" si="19"/>
        <v>1950000</v>
      </c>
      <c r="BD14" s="337"/>
      <c r="BE14" s="337"/>
      <c r="BF14" s="337">
        <f t="shared" si="20"/>
        <v>0</v>
      </c>
      <c r="BG14" s="242">
        <f t="shared" si="21"/>
        <v>4000000</v>
      </c>
      <c r="BH14" s="242"/>
      <c r="BI14" s="242">
        <f t="shared" si="22"/>
        <v>4000000</v>
      </c>
      <c r="BJ14" s="242">
        <f t="shared" si="23"/>
        <v>0</v>
      </c>
      <c r="BK14" s="242">
        <f t="shared" si="24"/>
        <v>0</v>
      </c>
      <c r="BL14" s="242">
        <v>4000000</v>
      </c>
      <c r="BM14" s="241"/>
      <c r="BN14" s="242">
        <f t="shared" si="26"/>
        <v>0</v>
      </c>
      <c r="BO14" s="242"/>
      <c r="BP14" s="241"/>
      <c r="BQ14" s="242">
        <f t="shared" si="27"/>
        <v>0</v>
      </c>
      <c r="BR14" s="242"/>
      <c r="BS14" s="241"/>
      <c r="BT14" s="414">
        <v>742000</v>
      </c>
    </row>
    <row r="15" spans="1:74" s="413" customFormat="1">
      <c r="A15" s="414">
        <f t="shared" si="9"/>
        <v>9</v>
      </c>
      <c r="B15" s="414">
        <v>1688</v>
      </c>
      <c r="C15" s="414" t="s">
        <v>125</v>
      </c>
      <c r="D15" s="337">
        <v>15133000</v>
      </c>
      <c r="E15" s="337">
        <v>15133000</v>
      </c>
      <c r="F15" s="337">
        <f t="shared" si="0"/>
        <v>0</v>
      </c>
      <c r="G15" s="337">
        <v>15133000</v>
      </c>
      <c r="H15" s="337">
        <v>15133000</v>
      </c>
      <c r="I15" s="337"/>
      <c r="J15" s="337"/>
      <c r="K15" s="337">
        <f t="shared" si="1"/>
        <v>0</v>
      </c>
      <c r="L15" s="337">
        <f t="shared" si="2"/>
        <v>15133000</v>
      </c>
      <c r="M15" s="337">
        <f t="shared" si="3"/>
        <v>0</v>
      </c>
      <c r="N15" s="337"/>
      <c r="O15" s="337">
        <f t="shared" si="4"/>
        <v>0</v>
      </c>
      <c r="P15" s="337">
        <f t="shared" si="5"/>
        <v>0</v>
      </c>
      <c r="Q15" s="337"/>
      <c r="R15" s="337"/>
      <c r="S15" s="337">
        <f t="shared" si="6"/>
        <v>0</v>
      </c>
      <c r="T15" s="337">
        <f t="shared" si="7"/>
        <v>0</v>
      </c>
      <c r="U15" s="416">
        <f t="shared" si="8"/>
        <v>0</v>
      </c>
      <c r="V15" s="337">
        <f>U15-W15-X15-Y15</f>
        <v>0</v>
      </c>
      <c r="W15" s="337"/>
      <c r="X15" s="337"/>
      <c r="Y15" s="414"/>
      <c r="Z15" s="13"/>
      <c r="AA15" s="13"/>
      <c r="AB15" s="241">
        <f t="shared" si="10"/>
        <v>0</v>
      </c>
      <c r="AC15" s="13"/>
      <c r="AD15" s="13"/>
      <c r="AE15" s="241">
        <f t="shared" si="11"/>
        <v>0</v>
      </c>
      <c r="AF15" s="13"/>
      <c r="AG15" s="13"/>
      <c r="AH15" s="241">
        <f t="shared" si="12"/>
        <v>0</v>
      </c>
      <c r="AI15" s="13"/>
      <c r="AJ15" s="13"/>
      <c r="AK15" s="241">
        <f t="shared" si="13"/>
        <v>0</v>
      </c>
      <c r="AL15" s="13"/>
      <c r="AM15" s="13"/>
      <c r="AN15" s="241">
        <f t="shared" si="14"/>
        <v>0</v>
      </c>
      <c r="AO15" s="13"/>
      <c r="AP15" s="13"/>
      <c r="AQ15" s="241">
        <f t="shared" si="15"/>
        <v>0</v>
      </c>
      <c r="AR15" s="13"/>
      <c r="AS15" s="13"/>
      <c r="AT15" s="241">
        <f t="shared" si="16"/>
        <v>0</v>
      </c>
      <c r="AU15" s="13"/>
      <c r="AV15" s="13"/>
      <c r="AW15" s="241">
        <f t="shared" si="17"/>
        <v>0</v>
      </c>
      <c r="AX15" s="13"/>
      <c r="AY15" s="13"/>
      <c r="AZ15" s="241">
        <f t="shared" si="18"/>
        <v>0</v>
      </c>
      <c r="BA15" s="13"/>
      <c r="BB15" s="13"/>
      <c r="BC15" s="241">
        <f t="shared" si="19"/>
        <v>0</v>
      </c>
      <c r="BD15" s="13"/>
      <c r="BE15" s="13"/>
      <c r="BF15" s="241">
        <f t="shared" si="20"/>
        <v>0</v>
      </c>
      <c r="BG15" s="242">
        <f t="shared" si="21"/>
        <v>0</v>
      </c>
      <c r="BH15" s="242"/>
      <c r="BI15" s="242">
        <f t="shared" si="22"/>
        <v>0</v>
      </c>
      <c r="BJ15" s="242">
        <f t="shared" si="23"/>
        <v>0</v>
      </c>
      <c r="BK15" s="242">
        <f t="shared" si="24"/>
        <v>0</v>
      </c>
      <c r="BL15" s="241"/>
      <c r="BM15" s="241">
        <f t="shared" si="25"/>
        <v>0</v>
      </c>
      <c r="BN15" s="242">
        <f t="shared" si="26"/>
        <v>0</v>
      </c>
      <c r="BO15" s="242"/>
      <c r="BP15" s="241"/>
      <c r="BQ15" s="242">
        <f t="shared" si="27"/>
        <v>0</v>
      </c>
      <c r="BR15" s="242"/>
      <c r="BS15" s="241"/>
      <c r="BT15" s="414">
        <v>990000</v>
      </c>
    </row>
    <row r="16" spans="1:74" s="413" customFormat="1">
      <c r="A16" s="414">
        <f t="shared" si="9"/>
        <v>10</v>
      </c>
      <c r="B16" s="414">
        <v>1793</v>
      </c>
      <c r="C16" s="414" t="s">
        <v>779</v>
      </c>
      <c r="D16" s="337">
        <f>11588000-7491599+69619</f>
        <v>4166020</v>
      </c>
      <c r="E16" s="337">
        <v>11588000</v>
      </c>
      <c r="F16" s="337">
        <f>D16-E16</f>
        <v>-7421980</v>
      </c>
      <c r="G16" s="337">
        <v>4700000</v>
      </c>
      <c r="H16" s="337">
        <v>1299827.6399999999</v>
      </c>
      <c r="I16" s="337">
        <v>934702.64</v>
      </c>
      <c r="J16" s="337"/>
      <c r="K16" s="337">
        <f>SUM(I16:J16)</f>
        <v>934702.64</v>
      </c>
      <c r="L16" s="337">
        <f>H16+K16</f>
        <v>2234530.2799999998</v>
      </c>
      <c r="M16" s="337">
        <f>P16+S16-603599+69619</f>
        <v>1931489.7200000002</v>
      </c>
      <c r="N16" s="337"/>
      <c r="O16" s="337">
        <f>D16-L16-M16-N16</f>
        <v>0</v>
      </c>
      <c r="P16" s="337">
        <f>G16-L16</f>
        <v>2465469.7200000002</v>
      </c>
      <c r="Q16" s="337"/>
      <c r="R16" s="337"/>
      <c r="S16" s="337">
        <f>SUM(Q16:R16)</f>
        <v>0</v>
      </c>
      <c r="T16" s="337">
        <f>P16-M16+S16</f>
        <v>533980</v>
      </c>
      <c r="U16" s="416">
        <f>N16-T16</f>
        <v>-533980</v>
      </c>
      <c r="V16" s="337">
        <f>U16-W16-X16-Y16</f>
        <v>-548940</v>
      </c>
      <c r="W16" s="337">
        <v>14960</v>
      </c>
      <c r="X16" s="337"/>
      <c r="Y16" s="414"/>
      <c r="Z16" s="13"/>
      <c r="AA16" s="13"/>
      <c r="AB16" s="241">
        <f t="shared" si="10"/>
        <v>0</v>
      </c>
      <c r="AC16" s="13"/>
      <c r="AD16" s="13"/>
      <c r="AE16" s="241">
        <f t="shared" si="11"/>
        <v>0</v>
      </c>
      <c r="AF16" s="337">
        <f>-394940+14960</f>
        <v>-379980</v>
      </c>
      <c r="AG16" s="337"/>
      <c r="AH16" s="337">
        <f t="shared" si="12"/>
        <v>-379980</v>
      </c>
      <c r="AI16" s="337"/>
      <c r="AJ16" s="337"/>
      <c r="AK16" s="337">
        <f t="shared" si="13"/>
        <v>0</v>
      </c>
      <c r="AL16" s="337"/>
      <c r="AM16" s="337"/>
      <c r="AN16" s="337">
        <f t="shared" si="14"/>
        <v>0</v>
      </c>
      <c r="AO16" s="337"/>
      <c r="AP16" s="337"/>
      <c r="AQ16" s="337">
        <f t="shared" si="15"/>
        <v>0</v>
      </c>
      <c r="AR16" s="337"/>
      <c r="AS16" s="337"/>
      <c r="AT16" s="337">
        <f t="shared" si="16"/>
        <v>0</v>
      </c>
      <c r="AU16" s="337"/>
      <c r="AV16" s="337"/>
      <c r="AW16" s="337">
        <f t="shared" si="17"/>
        <v>0</v>
      </c>
      <c r="AX16" s="337"/>
      <c r="AY16" s="337"/>
      <c r="AZ16" s="337">
        <f t="shared" si="18"/>
        <v>0</v>
      </c>
      <c r="BA16" s="337"/>
      <c r="BB16" s="337"/>
      <c r="BC16" s="337">
        <f t="shared" si="19"/>
        <v>0</v>
      </c>
      <c r="BD16" s="337"/>
      <c r="BE16" s="337"/>
      <c r="BF16" s="337">
        <f t="shared" si="20"/>
        <v>0</v>
      </c>
      <c r="BG16" s="242">
        <f t="shared" si="21"/>
        <v>-379980</v>
      </c>
      <c r="BH16" s="242">
        <v>-154000</v>
      </c>
      <c r="BI16" s="242">
        <f t="shared" si="22"/>
        <v>-533980</v>
      </c>
      <c r="BJ16" s="242">
        <f t="shared" si="23"/>
        <v>0</v>
      </c>
      <c r="BK16" s="242">
        <f t="shared" si="24"/>
        <v>-548940</v>
      </c>
      <c r="BL16" s="242">
        <v>14960</v>
      </c>
      <c r="BM16" s="241"/>
      <c r="BN16" s="242">
        <f t="shared" si="26"/>
        <v>-154000</v>
      </c>
      <c r="BO16" s="242"/>
      <c r="BP16" s="241"/>
      <c r="BQ16" s="242">
        <f t="shared" si="27"/>
        <v>0</v>
      </c>
      <c r="BR16" s="242"/>
      <c r="BS16" s="241"/>
      <c r="BT16" s="414">
        <v>742000</v>
      </c>
    </row>
    <row r="17" spans="1:72" s="413" customFormat="1">
      <c r="A17" s="414">
        <f t="shared" si="9"/>
        <v>11</v>
      </c>
      <c r="B17" s="414">
        <v>1945</v>
      </c>
      <c r="C17" s="414" t="s">
        <v>397</v>
      </c>
      <c r="D17" s="337">
        <v>230000</v>
      </c>
      <c r="E17" s="337">
        <v>230000</v>
      </c>
      <c r="F17" s="337">
        <f t="shared" si="0"/>
        <v>0</v>
      </c>
      <c r="G17" s="337"/>
      <c r="H17" s="337"/>
      <c r="I17" s="337"/>
      <c r="J17" s="337"/>
      <c r="K17" s="337">
        <f t="shared" si="1"/>
        <v>0</v>
      </c>
      <c r="L17" s="337">
        <f t="shared" si="2"/>
        <v>0</v>
      </c>
      <c r="M17" s="337">
        <f t="shared" si="3"/>
        <v>230000</v>
      </c>
      <c r="N17" s="337"/>
      <c r="O17" s="337">
        <f t="shared" si="4"/>
        <v>0</v>
      </c>
      <c r="P17" s="337">
        <f t="shared" si="5"/>
        <v>0</v>
      </c>
      <c r="Q17" s="337"/>
      <c r="R17" s="337">
        <v>230000</v>
      </c>
      <c r="S17" s="337">
        <f t="shared" si="6"/>
        <v>230000</v>
      </c>
      <c r="T17" s="337">
        <f t="shared" si="7"/>
        <v>0</v>
      </c>
      <c r="U17" s="416">
        <f t="shared" si="8"/>
        <v>0</v>
      </c>
      <c r="V17" s="337">
        <f>U17-W17-X17-Y17</f>
        <v>0</v>
      </c>
      <c r="W17" s="337"/>
      <c r="X17" s="337"/>
      <c r="Y17" s="414"/>
      <c r="Z17" s="241"/>
      <c r="AA17" s="241"/>
      <c r="AB17" s="241">
        <f t="shared" si="10"/>
        <v>0</v>
      </c>
      <c r="AC17" s="241"/>
      <c r="AD17" s="241"/>
      <c r="AE17" s="241">
        <f t="shared" si="11"/>
        <v>0</v>
      </c>
      <c r="AF17" s="241"/>
      <c r="AG17" s="241"/>
      <c r="AH17" s="241">
        <f t="shared" si="12"/>
        <v>0</v>
      </c>
      <c r="AI17" s="241"/>
      <c r="AJ17" s="241"/>
      <c r="AK17" s="241">
        <f t="shared" si="13"/>
        <v>0</v>
      </c>
      <c r="AL17" s="241"/>
      <c r="AM17" s="241"/>
      <c r="AN17" s="241">
        <f t="shared" si="14"/>
        <v>0</v>
      </c>
      <c r="AO17" s="241"/>
      <c r="AP17" s="241"/>
      <c r="AQ17" s="241">
        <f t="shared" si="15"/>
        <v>0</v>
      </c>
      <c r="AR17" s="241"/>
      <c r="AS17" s="241"/>
      <c r="AT17" s="241">
        <f t="shared" si="16"/>
        <v>0</v>
      </c>
      <c r="AU17" s="241"/>
      <c r="AV17" s="241"/>
      <c r="AW17" s="241">
        <f t="shared" si="17"/>
        <v>0</v>
      </c>
      <c r="AX17" s="241"/>
      <c r="AY17" s="241"/>
      <c r="AZ17" s="241">
        <f t="shared" si="18"/>
        <v>0</v>
      </c>
      <c r="BA17" s="241"/>
      <c r="BB17" s="241"/>
      <c r="BC17" s="241">
        <f t="shared" si="19"/>
        <v>0</v>
      </c>
      <c r="BD17" s="241"/>
      <c r="BE17" s="241"/>
      <c r="BF17" s="241">
        <f t="shared" si="20"/>
        <v>0</v>
      </c>
      <c r="BG17" s="242">
        <f t="shared" si="21"/>
        <v>0</v>
      </c>
      <c r="BH17" s="242"/>
      <c r="BI17" s="242">
        <f t="shared" si="22"/>
        <v>0</v>
      </c>
      <c r="BJ17" s="242">
        <f t="shared" si="23"/>
        <v>0</v>
      </c>
      <c r="BK17" s="242">
        <f t="shared" si="24"/>
        <v>0</v>
      </c>
      <c r="BL17" s="241"/>
      <c r="BM17" s="241"/>
      <c r="BN17" s="242">
        <f t="shared" si="26"/>
        <v>0</v>
      </c>
      <c r="BO17" s="242"/>
      <c r="BP17" s="241"/>
      <c r="BQ17" s="242">
        <f t="shared" si="27"/>
        <v>0</v>
      </c>
      <c r="BR17" s="242"/>
      <c r="BS17" s="241"/>
      <c r="BT17" s="414">
        <v>760000</v>
      </c>
    </row>
    <row r="18" spans="1:72" s="413" customFormat="1">
      <c r="A18" s="414">
        <f t="shared" si="9"/>
        <v>12</v>
      </c>
      <c r="B18" s="414">
        <v>1986</v>
      </c>
      <c r="C18" s="414" t="s">
        <v>378</v>
      </c>
      <c r="D18" s="337">
        <v>10000000</v>
      </c>
      <c r="E18" s="337"/>
      <c r="F18" s="337">
        <f t="shared" si="0"/>
        <v>10000000</v>
      </c>
      <c r="G18" s="337"/>
      <c r="H18" s="337"/>
      <c r="I18" s="337"/>
      <c r="J18" s="337"/>
      <c r="K18" s="337">
        <f t="shared" si="1"/>
        <v>0</v>
      </c>
      <c r="L18" s="337">
        <f t="shared" si="2"/>
        <v>0</v>
      </c>
      <c r="M18" s="337">
        <f t="shared" si="3"/>
        <v>0</v>
      </c>
      <c r="N18" s="337">
        <f>5000000+400000-1000000</f>
        <v>4400000</v>
      </c>
      <c r="O18" s="337">
        <f t="shared" si="4"/>
        <v>5600000</v>
      </c>
      <c r="P18" s="337">
        <f t="shared" si="5"/>
        <v>0</v>
      </c>
      <c r="Q18" s="337"/>
      <c r="R18" s="337"/>
      <c r="S18" s="337">
        <f t="shared" si="6"/>
        <v>0</v>
      </c>
      <c r="T18" s="337">
        <f t="shared" si="7"/>
        <v>0</v>
      </c>
      <c r="U18" s="416">
        <f t="shared" si="8"/>
        <v>4400000</v>
      </c>
      <c r="V18" s="337">
        <f>U18-W18-X18-Y18</f>
        <v>1000000</v>
      </c>
      <c r="W18" s="337">
        <f>2000000+1000000+400000</f>
        <v>3400000</v>
      </c>
      <c r="X18" s="337"/>
      <c r="Y18" s="414"/>
      <c r="Z18" s="241"/>
      <c r="AA18" s="241"/>
      <c r="AB18" s="241">
        <f t="shared" si="10"/>
        <v>0</v>
      </c>
      <c r="AC18" s="337"/>
      <c r="AD18" s="337"/>
      <c r="AE18" s="337">
        <f t="shared" si="11"/>
        <v>0</v>
      </c>
      <c r="AF18" s="337">
        <v>1500000</v>
      </c>
      <c r="AG18" s="337"/>
      <c r="AH18" s="337">
        <f t="shared" si="12"/>
        <v>1500000</v>
      </c>
      <c r="AI18" s="337">
        <v>2900000</v>
      </c>
      <c r="AJ18" s="337"/>
      <c r="AK18" s="337">
        <f t="shared" si="13"/>
        <v>2900000</v>
      </c>
      <c r="AL18" s="337"/>
      <c r="AM18" s="337"/>
      <c r="AN18" s="337">
        <f t="shared" si="14"/>
        <v>0</v>
      </c>
      <c r="AO18" s="337"/>
      <c r="AP18" s="337"/>
      <c r="AQ18" s="337">
        <f t="shared" si="15"/>
        <v>0</v>
      </c>
      <c r="AR18" s="337"/>
      <c r="AS18" s="337"/>
      <c r="AT18" s="337">
        <f t="shared" si="16"/>
        <v>0</v>
      </c>
      <c r="AU18" s="337"/>
      <c r="AV18" s="337"/>
      <c r="AW18" s="337">
        <f t="shared" si="17"/>
        <v>0</v>
      </c>
      <c r="AX18" s="337"/>
      <c r="AY18" s="337"/>
      <c r="AZ18" s="337">
        <f t="shared" si="18"/>
        <v>0</v>
      </c>
      <c r="BA18" s="337"/>
      <c r="BB18" s="337"/>
      <c r="BC18" s="337">
        <f t="shared" si="19"/>
        <v>0</v>
      </c>
      <c r="BD18" s="337"/>
      <c r="BE18" s="337"/>
      <c r="BF18" s="337">
        <f t="shared" si="20"/>
        <v>0</v>
      </c>
      <c r="BG18" s="242">
        <f t="shared" si="21"/>
        <v>4400000</v>
      </c>
      <c r="BH18" s="242">
        <f>U18-BG18</f>
        <v>0</v>
      </c>
      <c r="BI18" s="242">
        <f t="shared" si="22"/>
        <v>4400000</v>
      </c>
      <c r="BJ18" s="242">
        <f t="shared" si="23"/>
        <v>0</v>
      </c>
      <c r="BK18" s="242">
        <f t="shared" si="24"/>
        <v>1000000</v>
      </c>
      <c r="BL18" s="242">
        <v>3400000</v>
      </c>
      <c r="BM18" s="242"/>
      <c r="BN18" s="242">
        <f t="shared" si="26"/>
        <v>0</v>
      </c>
      <c r="BO18" s="242"/>
      <c r="BP18" s="241"/>
      <c r="BQ18" s="242">
        <f t="shared" si="27"/>
        <v>0</v>
      </c>
      <c r="BR18" s="242"/>
      <c r="BS18" s="241"/>
      <c r="BT18" s="414">
        <v>742000</v>
      </c>
    </row>
    <row r="19" spans="1:72" s="426" customFormat="1" ht="15.75">
      <c r="A19" s="427">
        <f>A18</f>
        <v>12</v>
      </c>
      <c r="B19" s="427" t="s">
        <v>82</v>
      </c>
      <c r="C19" s="427" t="s">
        <v>126</v>
      </c>
      <c r="D19" s="460">
        <f>SUM(D7:D18)</f>
        <v>162984020</v>
      </c>
      <c r="E19" s="460">
        <f t="shared" ref="E19:V19" si="28">SUM(E7:E18)</f>
        <v>158206000</v>
      </c>
      <c r="F19" s="460">
        <f t="shared" si="28"/>
        <v>4778020</v>
      </c>
      <c r="G19" s="460">
        <f t="shared" si="28"/>
        <v>86313000</v>
      </c>
      <c r="H19" s="460">
        <f t="shared" si="28"/>
        <v>75354902.549999997</v>
      </c>
      <c r="I19" s="460">
        <f t="shared" si="28"/>
        <v>4572028.6399999997</v>
      </c>
      <c r="J19" s="460">
        <f t="shared" si="28"/>
        <v>784729.09</v>
      </c>
      <c r="K19" s="460">
        <f t="shared" si="28"/>
        <v>5356757.7299999995</v>
      </c>
      <c r="L19" s="460">
        <f t="shared" si="28"/>
        <v>80711660.280000001</v>
      </c>
      <c r="M19" s="460">
        <f t="shared" si="28"/>
        <v>12572359.720000001</v>
      </c>
      <c r="N19" s="460">
        <f t="shared" si="28"/>
        <v>16750000</v>
      </c>
      <c r="O19" s="460">
        <f t="shared" si="28"/>
        <v>52950000</v>
      </c>
      <c r="P19" s="460">
        <f t="shared" si="28"/>
        <v>5601339.7200000007</v>
      </c>
      <c r="Q19" s="460">
        <f t="shared" si="28"/>
        <v>350000</v>
      </c>
      <c r="R19" s="460">
        <f t="shared" si="28"/>
        <v>7155000</v>
      </c>
      <c r="S19" s="460">
        <f t="shared" si="28"/>
        <v>7505000</v>
      </c>
      <c r="T19" s="460">
        <f t="shared" si="28"/>
        <v>533980</v>
      </c>
      <c r="U19" s="460">
        <f t="shared" si="28"/>
        <v>16216020</v>
      </c>
      <c r="V19" s="460">
        <f t="shared" si="28"/>
        <v>8201060</v>
      </c>
      <c r="W19" s="460">
        <f>SUM(W7:W18)</f>
        <v>8014960</v>
      </c>
      <c r="X19" s="460">
        <f>SUM(X7:X18)</f>
        <v>0</v>
      </c>
      <c r="Y19" s="460">
        <f>SUM(Y7:Y18)</f>
        <v>0</v>
      </c>
      <c r="Z19" s="460">
        <f t="shared" ref="Z19:BR19" si="29">SUM(Z7:Z18)</f>
        <v>0</v>
      </c>
      <c r="AA19" s="460">
        <f t="shared" si="29"/>
        <v>0</v>
      </c>
      <c r="AB19" s="460">
        <f t="shared" si="29"/>
        <v>0</v>
      </c>
      <c r="AC19" s="460">
        <f t="shared" si="29"/>
        <v>0</v>
      </c>
      <c r="AD19" s="460">
        <f t="shared" si="29"/>
        <v>0</v>
      </c>
      <c r="AE19" s="460">
        <f t="shared" si="29"/>
        <v>0</v>
      </c>
      <c r="AF19" s="460">
        <f t="shared" si="29"/>
        <v>1970020</v>
      </c>
      <c r="AG19" s="460">
        <f t="shared" si="29"/>
        <v>0</v>
      </c>
      <c r="AH19" s="460">
        <f t="shared" si="29"/>
        <v>1970020</v>
      </c>
      <c r="AI19" s="460">
        <f t="shared" si="29"/>
        <v>2900000</v>
      </c>
      <c r="AJ19" s="460">
        <f t="shared" si="29"/>
        <v>0</v>
      </c>
      <c r="AK19" s="460">
        <f t="shared" si="29"/>
        <v>2900000</v>
      </c>
      <c r="AL19" s="460">
        <f t="shared" si="29"/>
        <v>480000</v>
      </c>
      <c r="AM19" s="460">
        <f t="shared" si="29"/>
        <v>0</v>
      </c>
      <c r="AN19" s="460">
        <f t="shared" si="29"/>
        <v>480000</v>
      </c>
      <c r="AO19" s="460">
        <f t="shared" si="29"/>
        <v>1410000</v>
      </c>
      <c r="AP19" s="460">
        <f t="shared" si="29"/>
        <v>0</v>
      </c>
      <c r="AQ19" s="460">
        <f t="shared" si="29"/>
        <v>1410000</v>
      </c>
      <c r="AR19" s="460">
        <f t="shared" si="29"/>
        <v>200000</v>
      </c>
      <c r="AS19" s="460">
        <f t="shared" si="29"/>
        <v>0</v>
      </c>
      <c r="AT19" s="460">
        <f t="shared" si="29"/>
        <v>200000</v>
      </c>
      <c r="AU19" s="460">
        <f t="shared" si="29"/>
        <v>500000</v>
      </c>
      <c r="AV19" s="460">
        <f t="shared" si="29"/>
        <v>0</v>
      </c>
      <c r="AW19" s="460">
        <f t="shared" si="29"/>
        <v>500000</v>
      </c>
      <c r="AX19" s="460">
        <f t="shared" si="29"/>
        <v>0</v>
      </c>
      <c r="AY19" s="460">
        <f t="shared" si="29"/>
        <v>0</v>
      </c>
      <c r="AZ19" s="460">
        <f t="shared" si="29"/>
        <v>0</v>
      </c>
      <c r="BA19" s="460">
        <f t="shared" si="29"/>
        <v>2600000</v>
      </c>
      <c r="BB19" s="460">
        <f t="shared" si="29"/>
        <v>0</v>
      </c>
      <c r="BC19" s="460">
        <f t="shared" si="29"/>
        <v>2600000</v>
      </c>
      <c r="BD19" s="460">
        <f t="shared" si="29"/>
        <v>2000000</v>
      </c>
      <c r="BE19" s="460">
        <f t="shared" si="29"/>
        <v>0</v>
      </c>
      <c r="BF19" s="460">
        <f t="shared" si="29"/>
        <v>2000000</v>
      </c>
      <c r="BG19" s="460">
        <f t="shared" si="29"/>
        <v>12060020</v>
      </c>
      <c r="BH19" s="460">
        <f t="shared" si="29"/>
        <v>1406000</v>
      </c>
      <c r="BI19" s="460">
        <f t="shared" si="29"/>
        <v>13466020</v>
      </c>
      <c r="BJ19" s="460">
        <f t="shared" si="29"/>
        <v>2750000</v>
      </c>
      <c r="BK19" s="460">
        <f t="shared" si="29"/>
        <v>6051060</v>
      </c>
      <c r="BL19" s="460">
        <f>SUM(BL7:BL18)</f>
        <v>7414960</v>
      </c>
      <c r="BM19" s="460">
        <f>SUM(BM7:BM18)</f>
        <v>0</v>
      </c>
      <c r="BN19" s="460">
        <f>SUM(BN7:BN18)</f>
        <v>1256000</v>
      </c>
      <c r="BO19" s="460">
        <f>SUM(BO7:BO18)</f>
        <v>150000</v>
      </c>
      <c r="BP19" s="241"/>
      <c r="BQ19" s="460">
        <f t="shared" si="29"/>
        <v>2400000</v>
      </c>
      <c r="BR19" s="460">
        <f t="shared" si="29"/>
        <v>350000</v>
      </c>
      <c r="BS19" s="241"/>
      <c r="BT19" s="427"/>
    </row>
    <row r="20" spans="1:72" s="413" customFormat="1">
      <c r="A20" s="414"/>
      <c r="B20" s="414"/>
      <c r="C20" s="414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>
        <f>D20-L20-M20-N20</f>
        <v>0</v>
      </c>
      <c r="P20" s="337"/>
      <c r="Q20" s="337"/>
      <c r="R20" s="337"/>
      <c r="S20" s="337"/>
      <c r="T20" s="337">
        <f>P20-M20+R20</f>
        <v>0</v>
      </c>
      <c r="U20" s="416">
        <f>N20-T20</f>
        <v>0</v>
      </c>
      <c r="V20" s="337"/>
      <c r="W20" s="337"/>
      <c r="X20" s="337"/>
      <c r="Y20" s="414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414"/>
    </row>
    <row r="21" spans="1:72"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0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0"/>
      <c r="BM21" s="490"/>
      <c r="BN21" s="490"/>
      <c r="BO21" s="490"/>
      <c r="BP21" s="490"/>
      <c r="BQ21" s="490"/>
      <c r="BR21" s="490"/>
      <c r="BS21" s="490"/>
    </row>
    <row r="22" spans="1:72" hidden="1">
      <c r="L22" s="474">
        <f>K19+H19</f>
        <v>80711660.280000001</v>
      </c>
      <c r="M22" s="474">
        <f>P19+S19</f>
        <v>13106339.720000001</v>
      </c>
      <c r="N22" s="470"/>
      <c r="P22" s="474">
        <f>G19-L19</f>
        <v>5601339.7199999988</v>
      </c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0"/>
      <c r="AV22" s="490"/>
      <c r="AW22" s="490"/>
      <c r="AX22" s="490"/>
      <c r="AY22" s="490"/>
      <c r="AZ22" s="490"/>
      <c r="BA22" s="490"/>
      <c r="BB22" s="490"/>
      <c r="BC22" s="490"/>
      <c r="BD22" s="490"/>
      <c r="BE22" s="490"/>
      <c r="BF22" s="490"/>
      <c r="BG22" s="490"/>
      <c r="BH22" s="490"/>
      <c r="BI22" s="490"/>
      <c r="BJ22" s="490"/>
      <c r="BK22" s="490"/>
      <c r="BL22" s="490"/>
      <c r="BM22" s="490"/>
      <c r="BN22" s="490"/>
      <c r="BO22" s="490"/>
      <c r="BP22" s="490"/>
      <c r="BQ22" s="490"/>
      <c r="BR22" s="490"/>
      <c r="BS22" s="490"/>
    </row>
    <row r="23" spans="1:72"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0"/>
      <c r="AV23" s="490"/>
      <c r="AW23" s="490"/>
      <c r="AX23" s="490"/>
      <c r="AY23" s="490"/>
      <c r="AZ23" s="490"/>
      <c r="BA23" s="490"/>
      <c r="BB23" s="490"/>
      <c r="BC23" s="490"/>
      <c r="BD23" s="490"/>
      <c r="BE23" s="490"/>
      <c r="BF23" s="490"/>
      <c r="BG23" s="490"/>
      <c r="BH23" s="490"/>
      <c r="BI23" s="490"/>
      <c r="BJ23" s="490"/>
      <c r="BK23" s="490"/>
      <c r="BL23" s="490"/>
      <c r="BM23" s="490"/>
      <c r="BN23" s="490"/>
      <c r="BO23" s="490"/>
      <c r="BP23" s="490"/>
      <c r="BQ23" s="490"/>
      <c r="BR23" s="490"/>
      <c r="BS23" s="490"/>
    </row>
    <row r="24" spans="1:72">
      <c r="Q24" s="405">
        <f>[2]כללי!$AY$18</f>
        <v>350000</v>
      </c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</row>
    <row r="25" spans="1:72"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</row>
    <row r="26" spans="1:72">
      <c r="P26" s="405" t="s">
        <v>395</v>
      </c>
      <c r="Q26" s="405">
        <f>[5]כללי!$AZ$17</f>
        <v>350000</v>
      </c>
      <c r="Z26" s="490"/>
      <c r="AA26" s="490"/>
      <c r="AB26" s="490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0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0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0"/>
      <c r="BM26" s="490"/>
      <c r="BN26" s="490"/>
      <c r="BO26" s="490"/>
      <c r="BP26" s="490"/>
      <c r="BQ26" s="490"/>
      <c r="BR26" s="490"/>
      <c r="BS26" s="490"/>
    </row>
    <row r="27" spans="1:72">
      <c r="Z27" s="490"/>
      <c r="AA27" s="490"/>
      <c r="AB27" s="490"/>
      <c r="AC27" s="490"/>
      <c r="AD27" s="490"/>
      <c r="AE27" s="490"/>
      <c r="AF27" s="490"/>
      <c r="AG27" s="490"/>
      <c r="AH27" s="490"/>
      <c r="AI27" s="490"/>
      <c r="AJ27" s="490"/>
      <c r="AK27" s="490"/>
      <c r="AL27" s="490"/>
      <c r="AM27" s="490"/>
      <c r="AN27" s="490"/>
      <c r="AO27" s="490"/>
      <c r="AP27" s="490"/>
      <c r="AQ27" s="490"/>
      <c r="AR27" s="490"/>
      <c r="AS27" s="490"/>
      <c r="AT27" s="490"/>
      <c r="AU27" s="490"/>
      <c r="AV27" s="490"/>
      <c r="AW27" s="490"/>
      <c r="AX27" s="490"/>
      <c r="AY27" s="490"/>
      <c r="AZ27" s="490"/>
      <c r="BA27" s="490"/>
      <c r="BB27" s="490"/>
      <c r="BC27" s="490"/>
      <c r="BD27" s="490"/>
      <c r="BE27" s="490"/>
      <c r="BF27" s="490"/>
      <c r="BG27" s="490"/>
      <c r="BH27" s="490"/>
      <c r="BI27" s="490"/>
      <c r="BJ27" s="490"/>
      <c r="BK27" s="490"/>
      <c r="BL27" s="490"/>
      <c r="BM27" s="490"/>
      <c r="BN27" s="490"/>
      <c r="BO27" s="490"/>
      <c r="BP27" s="490"/>
      <c r="BQ27" s="490"/>
      <c r="BR27" s="490"/>
      <c r="BS27" s="490"/>
    </row>
    <row r="28" spans="1:72">
      <c r="R28" s="405">
        <f>'[2]ריכוז תקציבים מעבר לתוכנית 31.8'!$AD$164</f>
        <v>7155000</v>
      </c>
      <c r="Z28" s="490"/>
      <c r="AA28" s="490"/>
      <c r="AB28" s="490"/>
      <c r="AC28" s="490"/>
      <c r="AD28" s="490"/>
      <c r="AE28" s="490"/>
      <c r="AF28" s="490"/>
      <c r="AG28" s="490"/>
      <c r="AH28" s="490"/>
      <c r="AI28" s="490"/>
      <c r="AJ28" s="490"/>
      <c r="AK28" s="490"/>
      <c r="AL28" s="490"/>
      <c r="AM28" s="490"/>
      <c r="AN28" s="490"/>
      <c r="AO28" s="490"/>
      <c r="AP28" s="490"/>
      <c r="AQ28" s="490"/>
      <c r="AR28" s="490"/>
      <c r="AS28" s="490"/>
      <c r="AT28" s="490"/>
      <c r="AU28" s="490"/>
      <c r="AV28" s="490"/>
      <c r="AW28" s="490"/>
      <c r="AX28" s="490"/>
      <c r="AY28" s="490"/>
      <c r="AZ28" s="490"/>
      <c r="BA28" s="490"/>
      <c r="BB28" s="490"/>
      <c r="BC28" s="490"/>
      <c r="BD28" s="490"/>
      <c r="BE28" s="490"/>
      <c r="BF28" s="490"/>
      <c r="BG28" s="490"/>
      <c r="BH28" s="490"/>
      <c r="BI28" s="490"/>
      <c r="BJ28" s="490"/>
      <c r="BK28" s="490"/>
      <c r="BL28" s="490"/>
      <c r="BM28" s="490"/>
      <c r="BN28" s="490"/>
      <c r="BO28" s="490"/>
      <c r="BP28" s="490"/>
      <c r="BQ28" s="490"/>
      <c r="BR28" s="490"/>
      <c r="BS28" s="490"/>
    </row>
    <row r="29" spans="1:72">
      <c r="Z29" s="490"/>
      <c r="AA29" s="490"/>
      <c r="AB29" s="490"/>
      <c r="AC29" s="490"/>
      <c r="AD29" s="490"/>
      <c r="AE29" s="490"/>
      <c r="AF29" s="490"/>
      <c r="AG29" s="490"/>
      <c r="AH29" s="490"/>
      <c r="AI29" s="490"/>
      <c r="AJ29" s="490"/>
      <c r="AK29" s="490"/>
      <c r="AL29" s="490"/>
      <c r="AM29" s="490"/>
      <c r="AN29" s="490"/>
      <c r="AO29" s="490"/>
      <c r="AP29" s="490"/>
      <c r="AQ29" s="490"/>
      <c r="AR29" s="490"/>
      <c r="AS29" s="490"/>
      <c r="AT29" s="490"/>
      <c r="AU29" s="490"/>
      <c r="AV29" s="490"/>
      <c r="AW29" s="490"/>
      <c r="AX29" s="490"/>
      <c r="AY29" s="490"/>
      <c r="AZ29" s="490"/>
      <c r="BA29" s="490"/>
      <c r="BB29" s="490"/>
      <c r="BC29" s="490"/>
      <c r="BD29" s="490"/>
      <c r="BE29" s="490"/>
      <c r="BF29" s="490"/>
      <c r="BG29" s="490"/>
      <c r="BH29" s="490"/>
      <c r="BI29" s="490"/>
      <c r="BJ29" s="490"/>
      <c r="BK29" s="490"/>
      <c r="BL29" s="490"/>
      <c r="BM29" s="490"/>
      <c r="BN29" s="490"/>
      <c r="BO29" s="490"/>
      <c r="BP29" s="490"/>
      <c r="BQ29" s="490"/>
      <c r="BR29" s="490"/>
      <c r="BS29" s="490"/>
    </row>
    <row r="30" spans="1:72">
      <c r="R30" s="405">
        <f>'[2]ריכוז תקציבים מעבר לתוכנית 31.8'!$AD$164</f>
        <v>7155000</v>
      </c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</row>
    <row r="31" spans="1:72"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490"/>
      <c r="AN31" s="490"/>
      <c r="AO31" s="490"/>
      <c r="AP31" s="490"/>
      <c r="AQ31" s="490"/>
      <c r="AR31" s="490"/>
      <c r="AS31" s="490"/>
      <c r="AT31" s="490"/>
      <c r="AU31" s="490"/>
      <c r="AV31" s="490"/>
      <c r="AW31" s="490"/>
      <c r="AX31" s="490"/>
      <c r="AY31" s="490"/>
      <c r="AZ31" s="490"/>
      <c r="BA31" s="490"/>
      <c r="BB31" s="490"/>
      <c r="BC31" s="490"/>
      <c r="BD31" s="490"/>
      <c r="BE31" s="490"/>
      <c r="BF31" s="490"/>
      <c r="BG31" s="490"/>
      <c r="BH31" s="490"/>
      <c r="BI31" s="490"/>
      <c r="BJ31" s="490"/>
      <c r="BK31" s="490"/>
      <c r="BL31" s="490"/>
      <c r="BM31" s="490"/>
      <c r="BN31" s="490"/>
      <c r="BO31" s="490"/>
      <c r="BP31" s="490"/>
      <c r="BQ31" s="490"/>
      <c r="BR31" s="490"/>
      <c r="BS31" s="490"/>
    </row>
    <row r="32" spans="1:72">
      <c r="Q32" s="405" t="s">
        <v>736</v>
      </c>
      <c r="R32" s="405">
        <v>6925000</v>
      </c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</row>
    <row r="33" spans="17:71">
      <c r="Q33" s="405" t="s">
        <v>757</v>
      </c>
      <c r="R33" s="405">
        <f>R19-R32</f>
        <v>230000</v>
      </c>
      <c r="S33" s="405" t="s">
        <v>780</v>
      </c>
      <c r="Z33" s="490"/>
      <c r="AA33" s="490"/>
      <c r="AB33" s="490"/>
      <c r="AC33" s="490"/>
      <c r="AD33" s="490"/>
      <c r="AE33" s="490"/>
      <c r="AF33" s="490"/>
      <c r="AG33" s="490"/>
      <c r="AH33" s="490"/>
      <c r="AI33" s="490"/>
      <c r="AJ33" s="490"/>
      <c r="AK33" s="490"/>
      <c r="AL33" s="490"/>
      <c r="AM33" s="490"/>
      <c r="AN33" s="490"/>
      <c r="AO33" s="490"/>
      <c r="AP33" s="490"/>
      <c r="AQ33" s="490"/>
      <c r="AR33" s="490"/>
      <c r="AS33" s="490"/>
      <c r="AT33" s="490"/>
      <c r="AU33" s="490"/>
      <c r="AV33" s="490"/>
      <c r="AW33" s="490"/>
      <c r="AX33" s="490"/>
      <c r="AY33" s="490"/>
      <c r="AZ33" s="490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90"/>
      <c r="BM33" s="490"/>
      <c r="BN33" s="490"/>
      <c r="BO33" s="490"/>
      <c r="BP33" s="490"/>
      <c r="BQ33" s="490"/>
      <c r="BR33" s="490"/>
      <c r="BS33" s="490"/>
    </row>
    <row r="34" spans="17:71"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</row>
    <row r="35" spans="17:71">
      <c r="Z35" s="490"/>
      <c r="AA35" s="490"/>
      <c r="AB35" s="490"/>
      <c r="AC35" s="490"/>
      <c r="AD35" s="490"/>
      <c r="AE35" s="490"/>
      <c r="AF35" s="490"/>
      <c r="AG35" s="490"/>
      <c r="AH35" s="490"/>
      <c r="AI35" s="490"/>
      <c r="AJ35" s="490"/>
      <c r="AK35" s="490"/>
      <c r="AL35" s="490"/>
      <c r="AM35" s="490"/>
      <c r="AN35" s="490"/>
      <c r="AO35" s="490"/>
      <c r="AP35" s="490"/>
      <c r="AQ35" s="490"/>
      <c r="AR35" s="490"/>
      <c r="AS35" s="490"/>
      <c r="AT35" s="490"/>
      <c r="AU35" s="490"/>
      <c r="AV35" s="490"/>
      <c r="AW35" s="490"/>
      <c r="AX35" s="490"/>
      <c r="AY35" s="490"/>
      <c r="AZ35" s="490"/>
      <c r="BA35" s="490"/>
      <c r="BB35" s="490"/>
      <c r="BC35" s="490"/>
      <c r="BD35" s="490"/>
      <c r="BE35" s="490"/>
      <c r="BF35" s="490"/>
      <c r="BG35" s="490"/>
      <c r="BH35" s="490"/>
      <c r="BI35" s="490"/>
      <c r="BJ35" s="490"/>
      <c r="BK35" s="490"/>
      <c r="BL35" s="490"/>
      <c r="BM35" s="490"/>
      <c r="BN35" s="490"/>
      <c r="BO35" s="490"/>
      <c r="BP35" s="490"/>
      <c r="BQ35" s="490"/>
      <c r="BR35" s="490"/>
      <c r="BS35" s="490"/>
    </row>
    <row r="36" spans="17:71"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</row>
    <row r="37" spans="17:71"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490"/>
      <c r="BB37" s="490"/>
      <c r="BC37" s="490"/>
      <c r="BD37" s="490"/>
      <c r="BE37" s="490"/>
      <c r="BF37" s="490"/>
      <c r="BG37" s="490"/>
      <c r="BH37" s="490"/>
      <c r="BI37" s="490"/>
      <c r="BJ37" s="490"/>
      <c r="BK37" s="490"/>
      <c r="BL37" s="490"/>
      <c r="BM37" s="490"/>
      <c r="BN37" s="490"/>
      <c r="BO37" s="490"/>
      <c r="BP37" s="490"/>
      <c r="BQ37" s="490"/>
      <c r="BR37" s="490"/>
      <c r="BS37" s="490"/>
    </row>
    <row r="38" spans="17:71"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490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490"/>
      <c r="BB38" s="490"/>
      <c r="BC38" s="490"/>
      <c r="BD38" s="490"/>
      <c r="BE38" s="490"/>
      <c r="BF38" s="490"/>
      <c r="BG38" s="490"/>
      <c r="BH38" s="490"/>
      <c r="BI38" s="490"/>
      <c r="BJ38" s="490"/>
      <c r="BK38" s="490"/>
      <c r="BL38" s="490"/>
      <c r="BM38" s="490"/>
      <c r="BN38" s="490"/>
      <c r="BO38" s="490"/>
      <c r="BP38" s="490"/>
      <c r="BQ38" s="490"/>
      <c r="BR38" s="490"/>
      <c r="BS38" s="490"/>
    </row>
    <row r="39" spans="17:71"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</row>
    <row r="40" spans="17:71">
      <c r="Z40" s="490"/>
      <c r="AA40" s="490"/>
      <c r="AB40" s="490"/>
      <c r="AC40" s="490"/>
      <c r="AD40" s="490"/>
      <c r="AE40" s="490"/>
      <c r="AF40" s="490"/>
      <c r="AG40" s="490"/>
      <c r="AH40" s="490"/>
      <c r="AI40" s="490"/>
      <c r="AJ40" s="490"/>
      <c r="AK40" s="490"/>
      <c r="AL40" s="490"/>
      <c r="AM40" s="490"/>
      <c r="AN40" s="490"/>
      <c r="AO40" s="490"/>
      <c r="AP40" s="490"/>
      <c r="AQ40" s="490"/>
      <c r="AR40" s="490"/>
      <c r="AS40" s="490"/>
      <c r="AT40" s="490"/>
      <c r="AU40" s="490"/>
      <c r="AV40" s="490"/>
      <c r="AW40" s="490"/>
      <c r="AX40" s="490"/>
      <c r="AY40" s="490"/>
      <c r="AZ40" s="490"/>
      <c r="BA40" s="490"/>
      <c r="BB40" s="490"/>
      <c r="BC40" s="490"/>
      <c r="BD40" s="490"/>
      <c r="BE40" s="490"/>
      <c r="BF40" s="490"/>
      <c r="BG40" s="490"/>
      <c r="BH40" s="490"/>
      <c r="BI40" s="490"/>
      <c r="BJ40" s="490"/>
      <c r="BK40" s="490"/>
      <c r="BL40" s="490"/>
      <c r="BM40" s="490"/>
      <c r="BN40" s="490"/>
      <c r="BO40" s="490"/>
      <c r="BP40" s="490"/>
      <c r="BQ40" s="490"/>
      <c r="BR40" s="490"/>
      <c r="BS40" s="490"/>
    </row>
    <row r="41" spans="17:71"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</row>
    <row r="42" spans="17:71"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</row>
    <row r="43" spans="17:71"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</row>
    <row r="44" spans="17:71"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  <c r="AX44" s="490"/>
      <c r="AY44" s="490"/>
      <c r="AZ44" s="490"/>
      <c r="BA44" s="490"/>
      <c r="BB44" s="490"/>
      <c r="BC44" s="490"/>
      <c r="BD44" s="490"/>
      <c r="BE44" s="490"/>
      <c r="BF44" s="490"/>
      <c r="BG44" s="490"/>
      <c r="BH44" s="490"/>
      <c r="BI44" s="490"/>
      <c r="BJ44" s="490"/>
      <c r="BK44" s="490"/>
      <c r="BL44" s="490"/>
      <c r="BM44" s="490"/>
      <c r="BN44" s="490"/>
      <c r="BO44" s="490"/>
      <c r="BP44" s="490"/>
      <c r="BQ44" s="490"/>
      <c r="BR44" s="490"/>
      <c r="BS44" s="490"/>
    </row>
    <row r="45" spans="17:71"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</row>
    <row r="46" spans="17:71"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</row>
    <row r="47" spans="17:71"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</row>
    <row r="48" spans="17:71">
      <c r="Z48" s="466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</row>
    <row r="49" spans="26:71"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</row>
    <row r="50" spans="26:71"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</row>
    <row r="51" spans="26:71"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</row>
    <row r="52" spans="26:71"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  <c r="AX52" s="490"/>
      <c r="AY52" s="490"/>
      <c r="AZ52" s="490"/>
      <c r="BA52" s="490"/>
      <c r="BB52" s="490"/>
      <c r="BC52" s="490"/>
      <c r="BD52" s="490"/>
      <c r="BE52" s="490"/>
      <c r="BF52" s="490"/>
      <c r="BG52" s="490"/>
      <c r="BH52" s="490"/>
      <c r="BI52" s="490"/>
      <c r="BJ52" s="490"/>
      <c r="BK52" s="490"/>
      <c r="BL52" s="490"/>
      <c r="BM52" s="490"/>
      <c r="BN52" s="490"/>
      <c r="BO52" s="490"/>
      <c r="BP52" s="490"/>
      <c r="BQ52" s="490"/>
      <c r="BR52" s="490"/>
      <c r="BS52" s="490"/>
    </row>
    <row r="53" spans="26:71">
      <c r="Z53" s="490"/>
      <c r="AA53" s="490"/>
      <c r="AB53" s="490"/>
      <c r="AC53" s="490"/>
      <c r="AD53" s="490"/>
      <c r="AE53" s="490"/>
      <c r="AF53" s="490"/>
      <c r="AG53" s="490"/>
      <c r="AH53" s="490"/>
      <c r="AI53" s="490"/>
      <c r="AJ53" s="490"/>
      <c r="AK53" s="490"/>
      <c r="AL53" s="490"/>
      <c r="AM53" s="490"/>
      <c r="AN53" s="490"/>
      <c r="AO53" s="490"/>
      <c r="AP53" s="490"/>
      <c r="AQ53" s="490"/>
      <c r="AR53" s="490"/>
      <c r="AS53" s="490"/>
      <c r="AT53" s="490"/>
      <c r="AU53" s="490"/>
      <c r="AV53" s="490"/>
      <c r="AW53" s="490"/>
      <c r="AX53" s="490"/>
      <c r="AY53" s="490"/>
      <c r="AZ53" s="490"/>
      <c r="BA53" s="490"/>
      <c r="BB53" s="490"/>
      <c r="BC53" s="490"/>
      <c r="BD53" s="490"/>
      <c r="BE53" s="490"/>
      <c r="BF53" s="490"/>
      <c r="BG53" s="490"/>
      <c r="BH53" s="490"/>
      <c r="BI53" s="490"/>
      <c r="BJ53" s="490"/>
      <c r="BK53" s="490"/>
      <c r="BL53" s="490"/>
      <c r="BM53" s="490"/>
      <c r="BN53" s="490"/>
      <c r="BO53" s="490"/>
      <c r="BP53" s="490"/>
      <c r="BQ53" s="490"/>
      <c r="BR53" s="490"/>
      <c r="BS53" s="490"/>
    </row>
    <row r="54" spans="26:71">
      <c r="Z54" s="490"/>
      <c r="AA54" s="490"/>
      <c r="AB54" s="490"/>
      <c r="AC54" s="490"/>
      <c r="AD54" s="490"/>
      <c r="AE54" s="490"/>
      <c r="AF54" s="490"/>
      <c r="AG54" s="490"/>
      <c r="AH54" s="490"/>
      <c r="AI54" s="490"/>
      <c r="AJ54" s="490"/>
      <c r="AK54" s="490"/>
      <c r="AL54" s="490"/>
      <c r="AM54" s="490"/>
      <c r="AN54" s="490"/>
      <c r="AO54" s="490"/>
      <c r="AP54" s="490"/>
      <c r="AQ54" s="490"/>
      <c r="AR54" s="490"/>
      <c r="AS54" s="490"/>
      <c r="AT54" s="490"/>
      <c r="AU54" s="490"/>
      <c r="AV54" s="490"/>
      <c r="AW54" s="490"/>
      <c r="AX54" s="490"/>
      <c r="AY54" s="490"/>
      <c r="AZ54" s="490"/>
      <c r="BA54" s="490"/>
      <c r="BB54" s="490"/>
      <c r="BC54" s="490"/>
      <c r="BD54" s="490"/>
      <c r="BE54" s="490"/>
      <c r="BF54" s="490"/>
      <c r="BG54" s="490"/>
      <c r="BH54" s="490"/>
      <c r="BI54" s="490"/>
      <c r="BJ54" s="490"/>
      <c r="BK54" s="490"/>
      <c r="BL54" s="490"/>
      <c r="BM54" s="490"/>
      <c r="BN54" s="490"/>
      <c r="BO54" s="490"/>
      <c r="BP54" s="490"/>
      <c r="BQ54" s="490"/>
      <c r="BR54" s="490"/>
      <c r="BS54" s="490"/>
    </row>
    <row r="55" spans="26:71"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  <c r="AK55" s="490"/>
      <c r="AL55" s="490"/>
      <c r="AM55" s="490"/>
      <c r="AN55" s="490"/>
      <c r="AO55" s="490"/>
      <c r="AP55" s="490"/>
      <c r="AQ55" s="490"/>
      <c r="AR55" s="490"/>
      <c r="AS55" s="490"/>
      <c r="AT55" s="490"/>
      <c r="AU55" s="490"/>
      <c r="AV55" s="490"/>
      <c r="AW55" s="490"/>
      <c r="AX55" s="490"/>
      <c r="AY55" s="490"/>
      <c r="AZ55" s="490"/>
      <c r="BA55" s="490"/>
      <c r="BB55" s="490"/>
      <c r="BC55" s="490"/>
      <c r="BD55" s="490"/>
      <c r="BE55" s="490"/>
      <c r="BF55" s="490"/>
      <c r="BG55" s="490"/>
      <c r="BH55" s="490"/>
      <c r="BI55" s="490"/>
      <c r="BJ55" s="490"/>
      <c r="BK55" s="490"/>
      <c r="BL55" s="490"/>
      <c r="BM55" s="490"/>
      <c r="BN55" s="490"/>
      <c r="BO55" s="490"/>
      <c r="BP55" s="490"/>
      <c r="BQ55" s="490"/>
      <c r="BR55" s="490"/>
      <c r="BS55" s="490"/>
    </row>
    <row r="56" spans="26:71"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  <c r="AL56" s="490"/>
      <c r="AM56" s="490"/>
      <c r="AN56" s="490"/>
      <c r="AO56" s="490"/>
      <c r="AP56" s="490"/>
      <c r="AQ56" s="490"/>
      <c r="AR56" s="490"/>
      <c r="AS56" s="490"/>
      <c r="AT56" s="490"/>
      <c r="AU56" s="490"/>
      <c r="AV56" s="490"/>
      <c r="AW56" s="490"/>
      <c r="AX56" s="490"/>
      <c r="AY56" s="490"/>
      <c r="AZ56" s="490"/>
      <c r="BA56" s="490"/>
      <c r="BB56" s="490"/>
      <c r="BC56" s="490"/>
      <c r="BD56" s="490"/>
      <c r="BE56" s="490"/>
      <c r="BF56" s="490"/>
      <c r="BG56" s="490"/>
      <c r="BH56" s="490"/>
      <c r="BI56" s="490"/>
      <c r="BJ56" s="490"/>
      <c r="BK56" s="490"/>
      <c r="BL56" s="490"/>
      <c r="BM56" s="490"/>
      <c r="BN56" s="490"/>
      <c r="BO56" s="490"/>
      <c r="BP56" s="490"/>
      <c r="BQ56" s="490"/>
      <c r="BR56" s="490"/>
      <c r="BS56" s="490"/>
    </row>
    <row r="57" spans="26:71"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490"/>
      <c r="AY57" s="490"/>
      <c r="AZ57" s="490"/>
      <c r="BA57" s="490"/>
      <c r="BB57" s="490"/>
      <c r="BC57" s="490"/>
      <c r="BD57" s="490"/>
      <c r="BE57" s="490"/>
      <c r="BF57" s="490"/>
      <c r="BG57" s="490"/>
      <c r="BH57" s="490"/>
      <c r="BI57" s="490"/>
      <c r="BJ57" s="490"/>
      <c r="BK57" s="490"/>
      <c r="BL57" s="490"/>
      <c r="BM57" s="490"/>
      <c r="BN57" s="490"/>
      <c r="BO57" s="490"/>
      <c r="BP57" s="490"/>
      <c r="BQ57" s="490"/>
      <c r="BR57" s="490"/>
      <c r="BS57" s="490"/>
    </row>
    <row r="58" spans="26:71"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490"/>
      <c r="AY58" s="490"/>
      <c r="AZ58" s="490"/>
      <c r="BA58" s="490"/>
      <c r="BB58" s="490"/>
      <c r="BC58" s="490"/>
      <c r="BD58" s="490"/>
      <c r="BE58" s="490"/>
      <c r="BF58" s="490"/>
      <c r="BG58" s="490"/>
      <c r="BH58" s="490"/>
      <c r="BI58" s="490"/>
      <c r="BJ58" s="490"/>
      <c r="BK58" s="490"/>
      <c r="BL58" s="490"/>
      <c r="BM58" s="490"/>
      <c r="BN58" s="490"/>
      <c r="BO58" s="490"/>
      <c r="BP58" s="490"/>
      <c r="BQ58" s="490"/>
      <c r="BR58" s="490"/>
      <c r="BS58" s="490"/>
    </row>
    <row r="59" spans="26:71"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</row>
    <row r="60" spans="26:71"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490"/>
      <c r="AY60" s="490"/>
      <c r="AZ60" s="490"/>
      <c r="BA60" s="490"/>
      <c r="BB60" s="490"/>
      <c r="BC60" s="490"/>
      <c r="BD60" s="490"/>
      <c r="BE60" s="490"/>
      <c r="BF60" s="490"/>
      <c r="BG60" s="490"/>
      <c r="BH60" s="490"/>
      <c r="BI60" s="490"/>
      <c r="BJ60" s="490"/>
      <c r="BK60" s="490"/>
      <c r="BL60" s="490"/>
      <c r="BM60" s="490"/>
      <c r="BN60" s="490"/>
      <c r="BO60" s="490"/>
      <c r="BP60" s="490"/>
      <c r="BQ60" s="490"/>
      <c r="BR60" s="490"/>
      <c r="BS60" s="490"/>
    </row>
    <row r="61" spans="26:71">
      <c r="Z61" s="490"/>
      <c r="AA61" s="490"/>
      <c r="AB61" s="490"/>
      <c r="AC61" s="490"/>
      <c r="AD61" s="490"/>
      <c r="AE61" s="490"/>
      <c r="AF61" s="490"/>
      <c r="AG61" s="490"/>
      <c r="AH61" s="490"/>
      <c r="AI61" s="490"/>
      <c r="AJ61" s="490"/>
      <c r="AK61" s="490"/>
      <c r="AL61" s="490"/>
      <c r="AM61" s="490"/>
      <c r="AN61" s="490"/>
      <c r="AO61" s="490"/>
      <c r="AP61" s="490"/>
      <c r="AQ61" s="490"/>
      <c r="AR61" s="490"/>
      <c r="AS61" s="490"/>
      <c r="AT61" s="490"/>
      <c r="AU61" s="490"/>
      <c r="AV61" s="490"/>
      <c r="AW61" s="490"/>
      <c r="AX61" s="490"/>
      <c r="AY61" s="490"/>
      <c r="AZ61" s="490"/>
      <c r="BA61" s="490"/>
      <c r="BB61" s="490"/>
      <c r="BC61" s="490"/>
      <c r="BD61" s="490"/>
      <c r="BE61" s="490"/>
      <c r="BF61" s="490"/>
      <c r="BG61" s="490"/>
      <c r="BH61" s="490"/>
      <c r="BI61" s="490"/>
      <c r="BJ61" s="490"/>
      <c r="BK61" s="490"/>
      <c r="BL61" s="490"/>
      <c r="BM61" s="490"/>
      <c r="BN61" s="490"/>
      <c r="BO61" s="490"/>
      <c r="BP61" s="490"/>
      <c r="BQ61" s="490"/>
      <c r="BR61" s="490"/>
      <c r="BS61" s="490"/>
    </row>
    <row r="62" spans="26:71"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  <c r="AJ62" s="490"/>
      <c r="AK62" s="490"/>
      <c r="AL62" s="490"/>
      <c r="AM62" s="490"/>
      <c r="AN62" s="490"/>
      <c r="AO62" s="490"/>
      <c r="AP62" s="490"/>
      <c r="AQ62" s="490"/>
      <c r="AR62" s="490"/>
      <c r="AS62" s="490"/>
      <c r="AT62" s="490"/>
      <c r="AU62" s="490"/>
      <c r="AV62" s="490"/>
      <c r="AW62" s="490"/>
      <c r="AX62" s="490"/>
      <c r="AY62" s="490"/>
      <c r="AZ62" s="490"/>
      <c r="BA62" s="490"/>
      <c r="BB62" s="490"/>
      <c r="BC62" s="490"/>
      <c r="BD62" s="490"/>
      <c r="BE62" s="490"/>
      <c r="BF62" s="490"/>
      <c r="BG62" s="490"/>
      <c r="BH62" s="490"/>
      <c r="BI62" s="490"/>
      <c r="BJ62" s="490"/>
      <c r="BK62" s="490"/>
      <c r="BL62" s="490"/>
      <c r="BM62" s="490"/>
      <c r="BN62" s="490"/>
      <c r="BO62" s="490"/>
      <c r="BP62" s="490"/>
      <c r="BQ62" s="490"/>
      <c r="BR62" s="490"/>
      <c r="BS62" s="490"/>
    </row>
    <row r="63" spans="26:71"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</row>
    <row r="64" spans="26:71"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</row>
    <row r="65" spans="26:71">
      <c r="Z65" s="490"/>
      <c r="AA65" s="490"/>
      <c r="AB65" s="490"/>
      <c r="AC65" s="490"/>
      <c r="AD65" s="490"/>
      <c r="AE65" s="490"/>
      <c r="AF65" s="490"/>
      <c r="AG65" s="490"/>
      <c r="AH65" s="490"/>
      <c r="AI65" s="490"/>
      <c r="AJ65" s="490"/>
      <c r="AK65" s="490"/>
      <c r="AL65" s="490"/>
      <c r="AM65" s="490"/>
      <c r="AN65" s="490"/>
      <c r="AO65" s="490"/>
      <c r="AP65" s="490"/>
      <c r="AQ65" s="490"/>
      <c r="AR65" s="490"/>
      <c r="AS65" s="490"/>
      <c r="AT65" s="490"/>
      <c r="AU65" s="490"/>
      <c r="AV65" s="490"/>
      <c r="AW65" s="490"/>
      <c r="AX65" s="490"/>
      <c r="AY65" s="490"/>
      <c r="AZ65" s="490"/>
      <c r="BA65" s="490"/>
      <c r="BB65" s="490"/>
      <c r="BC65" s="490"/>
      <c r="BD65" s="490"/>
      <c r="BE65" s="490"/>
      <c r="BF65" s="490"/>
      <c r="BG65" s="490"/>
      <c r="BH65" s="490"/>
      <c r="BI65" s="490"/>
      <c r="BJ65" s="490"/>
      <c r="BK65" s="490"/>
      <c r="BL65" s="490"/>
      <c r="BM65" s="490"/>
      <c r="BN65" s="490"/>
      <c r="BO65" s="490"/>
      <c r="BP65" s="490"/>
      <c r="BQ65" s="490"/>
      <c r="BR65" s="490"/>
      <c r="BS65" s="490"/>
    </row>
    <row r="66" spans="26:71">
      <c r="Z66" s="490"/>
      <c r="AA66" s="490"/>
      <c r="AB66" s="490"/>
      <c r="AC66" s="490"/>
      <c r="AD66" s="490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90"/>
      <c r="BB66" s="490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</row>
    <row r="67" spans="26:71"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  <c r="BA67" s="490"/>
      <c r="BB67" s="490"/>
      <c r="BC67" s="490"/>
      <c r="BD67" s="490"/>
      <c r="BE67" s="490"/>
      <c r="BF67" s="490"/>
      <c r="BG67" s="490"/>
      <c r="BH67" s="490"/>
      <c r="BI67" s="490"/>
      <c r="BJ67" s="490"/>
      <c r="BK67" s="490"/>
      <c r="BL67" s="490"/>
      <c r="BM67" s="490"/>
      <c r="BN67" s="490"/>
      <c r="BO67" s="490"/>
      <c r="BP67" s="490"/>
      <c r="BQ67" s="490"/>
      <c r="BR67" s="490"/>
      <c r="BS67" s="490"/>
    </row>
    <row r="68" spans="26:71"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  <c r="BA68" s="490"/>
      <c r="BB68" s="490"/>
      <c r="BC68" s="490"/>
      <c r="BD68" s="490"/>
      <c r="BE68" s="490"/>
      <c r="BF68" s="490"/>
      <c r="BG68" s="490"/>
      <c r="BH68" s="490"/>
      <c r="BI68" s="490"/>
      <c r="BJ68" s="490"/>
      <c r="BK68" s="490"/>
      <c r="BL68" s="490"/>
      <c r="BM68" s="490"/>
      <c r="BN68" s="490"/>
      <c r="BO68" s="490"/>
      <c r="BP68" s="490"/>
      <c r="BQ68" s="490"/>
      <c r="BR68" s="490"/>
      <c r="BS68" s="490"/>
    </row>
    <row r="69" spans="26:71"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</row>
    <row r="70" spans="26:71"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</row>
    <row r="71" spans="26:71"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</row>
    <row r="72" spans="26:71"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</row>
    <row r="73" spans="26:71"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</row>
    <row r="74" spans="26:71"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</row>
    <row r="75" spans="26:71">
      <c r="Z75" s="490"/>
      <c r="AA75" s="490"/>
      <c r="AB75" s="490"/>
      <c r="AC75" s="490"/>
      <c r="AD75" s="490"/>
      <c r="AE75" s="490"/>
      <c r="AF75" s="490"/>
      <c r="AG75" s="490"/>
      <c r="AH75" s="490"/>
      <c r="AI75" s="490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  <c r="BA75" s="490"/>
      <c r="BB75" s="490"/>
      <c r="BC75" s="490"/>
      <c r="BD75" s="490"/>
      <c r="BE75" s="490"/>
      <c r="BF75" s="490"/>
      <c r="BG75" s="490"/>
      <c r="BH75" s="490"/>
      <c r="BI75" s="490"/>
      <c r="BJ75" s="490"/>
      <c r="BK75" s="490"/>
      <c r="BL75" s="490"/>
      <c r="BM75" s="490"/>
      <c r="BN75" s="490"/>
      <c r="BO75" s="490"/>
      <c r="BP75" s="490"/>
      <c r="BQ75" s="490"/>
      <c r="BR75" s="490"/>
      <c r="BS75" s="490"/>
    </row>
    <row r="76" spans="26:71">
      <c r="Z76" s="490"/>
      <c r="AA76" s="490"/>
      <c r="AB76" s="490"/>
      <c r="AC76" s="490"/>
      <c r="AD76" s="490"/>
      <c r="AE76" s="490"/>
      <c r="AF76" s="490"/>
      <c r="AG76" s="490"/>
      <c r="AH76" s="490"/>
      <c r="AI76" s="490"/>
      <c r="AJ76" s="490"/>
      <c r="AK76" s="490"/>
      <c r="AL76" s="490"/>
      <c r="AM76" s="490"/>
      <c r="AN76" s="490"/>
      <c r="AO76" s="490"/>
      <c r="AP76" s="490"/>
      <c r="AQ76" s="490"/>
      <c r="AR76" s="490"/>
      <c r="AS76" s="490"/>
      <c r="AT76" s="490"/>
      <c r="AU76" s="490"/>
      <c r="AV76" s="490"/>
      <c r="AW76" s="490"/>
      <c r="AX76" s="490"/>
      <c r="AY76" s="490"/>
      <c r="AZ76" s="490"/>
      <c r="BA76" s="490"/>
      <c r="BB76" s="490"/>
      <c r="BC76" s="490"/>
      <c r="BD76" s="490"/>
      <c r="BE76" s="490"/>
      <c r="BF76" s="490"/>
      <c r="BG76" s="490"/>
      <c r="BH76" s="490"/>
      <c r="BI76" s="490"/>
      <c r="BJ76" s="490"/>
      <c r="BK76" s="490"/>
      <c r="BL76" s="490"/>
      <c r="BM76" s="490"/>
      <c r="BN76" s="490"/>
      <c r="BO76" s="490"/>
      <c r="BP76" s="490"/>
      <c r="BQ76" s="490"/>
      <c r="BR76" s="490"/>
      <c r="BS76" s="490"/>
    </row>
    <row r="77" spans="26:71"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E77" s="490"/>
      <c r="BF77" s="490"/>
      <c r="BG77" s="490"/>
      <c r="BH77" s="490"/>
      <c r="BI77" s="490"/>
      <c r="BJ77" s="490"/>
      <c r="BK77" s="490"/>
      <c r="BL77" s="490"/>
      <c r="BM77" s="490"/>
      <c r="BN77" s="490"/>
      <c r="BO77" s="490"/>
      <c r="BP77" s="490"/>
      <c r="BQ77" s="490"/>
      <c r="BR77" s="490"/>
      <c r="BS77" s="490"/>
    </row>
    <row r="78" spans="26:71">
      <c r="Z78" s="490"/>
      <c r="AA78" s="490"/>
      <c r="AB78" s="490"/>
      <c r="AC78" s="490"/>
      <c r="AD78" s="490"/>
      <c r="AE78" s="490"/>
      <c r="AF78" s="490"/>
      <c r="AG78" s="490"/>
      <c r="AH78" s="490"/>
      <c r="AI78" s="490"/>
      <c r="AJ78" s="490"/>
      <c r="AK78" s="490"/>
      <c r="AL78" s="490"/>
      <c r="AM78" s="490"/>
      <c r="AN78" s="490"/>
      <c r="AO78" s="490"/>
      <c r="AP78" s="490"/>
      <c r="AQ78" s="490"/>
      <c r="AR78" s="490"/>
      <c r="AS78" s="490"/>
      <c r="AT78" s="490"/>
      <c r="AU78" s="490"/>
      <c r="AV78" s="490"/>
      <c r="AW78" s="490"/>
      <c r="AX78" s="490"/>
      <c r="AY78" s="490"/>
      <c r="AZ78" s="490"/>
      <c r="BA78" s="490"/>
      <c r="BB78" s="490"/>
      <c r="BC78" s="490"/>
      <c r="BD78" s="490"/>
      <c r="BE78" s="490"/>
      <c r="BF78" s="490"/>
      <c r="BG78" s="490"/>
      <c r="BH78" s="490"/>
      <c r="BI78" s="490"/>
      <c r="BJ78" s="490"/>
      <c r="BK78" s="490"/>
      <c r="BL78" s="490"/>
      <c r="BM78" s="490"/>
      <c r="BN78" s="490"/>
      <c r="BO78" s="490"/>
      <c r="BP78" s="490"/>
      <c r="BQ78" s="490"/>
      <c r="BR78" s="490"/>
      <c r="BS78" s="490"/>
    </row>
    <row r="79" spans="26:71"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  <c r="AX79" s="490"/>
      <c r="AY79" s="490"/>
      <c r="AZ79" s="490"/>
      <c r="BA79" s="490"/>
      <c r="BB79" s="490"/>
      <c r="BC79" s="490"/>
      <c r="BD79" s="490"/>
      <c r="BE79" s="490"/>
      <c r="BF79" s="490"/>
      <c r="BG79" s="490"/>
      <c r="BH79" s="490"/>
      <c r="BI79" s="490"/>
      <c r="BJ79" s="490"/>
      <c r="BK79" s="490"/>
      <c r="BL79" s="490"/>
      <c r="BM79" s="490"/>
      <c r="BN79" s="490"/>
      <c r="BO79" s="490"/>
      <c r="BP79" s="490"/>
      <c r="BQ79" s="490"/>
      <c r="BR79" s="490"/>
      <c r="BS79" s="490"/>
    </row>
    <row r="80" spans="26:71"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</row>
    <row r="81" spans="26:71"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</row>
    <row r="82" spans="26:71"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</row>
    <row r="83" spans="26:71"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</row>
    <row r="84" spans="26:71"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</row>
    <row r="85" spans="26:71"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</row>
    <row r="86" spans="26:71"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</row>
    <row r="87" spans="26:71"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</row>
    <row r="88" spans="26:71"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</row>
    <row r="89" spans="26:71"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</row>
    <row r="90" spans="26:71"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</row>
    <row r="91" spans="26:71"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</row>
    <row r="92" spans="26:71"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</row>
    <row r="93" spans="26:71"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</row>
    <row r="94" spans="26:71"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</row>
    <row r="95" spans="26:71"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</row>
    <row r="96" spans="26:71"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</row>
    <row r="97" spans="26:71"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</row>
    <row r="98" spans="26:71"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</row>
    <row r="99" spans="26:71"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</row>
    <row r="100" spans="26:71"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</row>
    <row r="101" spans="26:71"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</row>
    <row r="102" spans="26:71"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0"/>
      <c r="AX102" s="490"/>
      <c r="AY102" s="490"/>
      <c r="AZ102" s="490"/>
      <c r="BA102" s="490"/>
      <c r="BB102" s="490"/>
      <c r="BC102" s="490"/>
      <c r="BD102" s="490"/>
      <c r="BE102" s="490"/>
      <c r="BF102" s="490"/>
      <c r="BG102" s="490"/>
      <c r="BH102" s="490"/>
      <c r="BI102" s="490"/>
      <c r="BJ102" s="490"/>
      <c r="BK102" s="490"/>
      <c r="BL102" s="490"/>
      <c r="BM102" s="490"/>
      <c r="BN102" s="490"/>
      <c r="BO102" s="490"/>
      <c r="BP102" s="490"/>
      <c r="BQ102" s="490"/>
      <c r="BR102" s="490"/>
      <c r="BS102" s="490"/>
    </row>
    <row r="103" spans="26:71"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0"/>
      <c r="AX103" s="490"/>
      <c r="AY103" s="490"/>
      <c r="AZ103" s="490"/>
      <c r="BA103" s="490"/>
      <c r="BB103" s="490"/>
      <c r="BC103" s="490"/>
      <c r="BD103" s="490"/>
      <c r="BE103" s="490"/>
      <c r="BF103" s="490"/>
      <c r="BG103" s="490"/>
      <c r="BH103" s="490"/>
      <c r="BI103" s="490"/>
      <c r="BJ103" s="490"/>
      <c r="BK103" s="490"/>
      <c r="BL103" s="490"/>
      <c r="BM103" s="490"/>
      <c r="BN103" s="490"/>
      <c r="BO103" s="490"/>
      <c r="BP103" s="490"/>
      <c r="BQ103" s="490"/>
      <c r="BR103" s="490"/>
      <c r="BS103" s="490"/>
    </row>
    <row r="104" spans="26:71"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</row>
    <row r="105" spans="26:71"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</row>
    <row r="106" spans="26:71"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</row>
    <row r="107" spans="26:71"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</row>
    <row r="108" spans="26:71"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</row>
    <row r="109" spans="26:71"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</row>
    <row r="110" spans="26:71"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6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6"/>
      <c r="BJ110" s="466"/>
      <c r="BK110" s="466"/>
      <c r="BL110" s="466"/>
      <c r="BM110" s="466"/>
      <c r="BN110" s="466"/>
      <c r="BO110" s="466"/>
      <c r="BP110" s="466"/>
      <c r="BQ110" s="466"/>
      <c r="BR110" s="466"/>
      <c r="BS110" s="466"/>
    </row>
    <row r="111" spans="26:71"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66"/>
      <c r="BN111" s="466"/>
      <c r="BO111" s="466"/>
      <c r="BP111" s="466"/>
      <c r="BQ111" s="466"/>
      <c r="BR111" s="466"/>
      <c r="BS111" s="466"/>
    </row>
    <row r="112" spans="26:71"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</row>
    <row r="113" spans="26:71"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66"/>
      <c r="BN113" s="466"/>
      <c r="BO113" s="466"/>
      <c r="BP113" s="466"/>
      <c r="BQ113" s="466"/>
      <c r="BR113" s="466"/>
      <c r="BS113" s="466"/>
    </row>
    <row r="114" spans="26:71"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  <c r="AL114" s="466"/>
      <c r="AM114" s="466"/>
      <c r="AN114" s="466"/>
      <c r="AO114" s="466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66"/>
      <c r="AZ114" s="466"/>
      <c r="BA114" s="466"/>
      <c r="BB114" s="466"/>
      <c r="BC114" s="466"/>
      <c r="BD114" s="466"/>
      <c r="BE114" s="466"/>
      <c r="BF114" s="466"/>
      <c r="BG114" s="466"/>
      <c r="BH114" s="466"/>
      <c r="BI114" s="466"/>
      <c r="BJ114" s="466"/>
      <c r="BK114" s="466"/>
      <c r="BL114" s="466"/>
      <c r="BM114" s="466"/>
      <c r="BN114" s="466"/>
      <c r="BO114" s="466"/>
      <c r="BP114" s="466"/>
      <c r="BQ114" s="466"/>
      <c r="BR114" s="466"/>
      <c r="BS114" s="466"/>
    </row>
    <row r="115" spans="26:71"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0"/>
      <c r="AX115" s="490"/>
      <c r="AY115" s="490"/>
      <c r="AZ115" s="490"/>
      <c r="BA115" s="490"/>
      <c r="BB115" s="490"/>
      <c r="BC115" s="490"/>
      <c r="BD115" s="490"/>
      <c r="BE115" s="490"/>
      <c r="BF115" s="490"/>
      <c r="BG115" s="490"/>
      <c r="BH115" s="490"/>
      <c r="BI115" s="490"/>
      <c r="BJ115" s="490"/>
      <c r="BK115" s="490"/>
      <c r="BL115" s="490"/>
      <c r="BM115" s="490"/>
      <c r="BN115" s="490"/>
      <c r="BO115" s="490"/>
      <c r="BP115" s="490"/>
      <c r="BQ115" s="490"/>
      <c r="BR115" s="490"/>
      <c r="BS115" s="490"/>
    </row>
    <row r="116" spans="26:71"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0"/>
      <c r="AX116" s="490"/>
      <c r="AY116" s="490"/>
      <c r="AZ116" s="490"/>
      <c r="BA116" s="490"/>
      <c r="BB116" s="490"/>
      <c r="BC116" s="490"/>
      <c r="BD116" s="490"/>
      <c r="BE116" s="490"/>
      <c r="BF116" s="490"/>
      <c r="BG116" s="490"/>
      <c r="BH116" s="490"/>
      <c r="BI116" s="490"/>
      <c r="BJ116" s="490"/>
      <c r="BK116" s="490"/>
      <c r="BL116" s="490"/>
      <c r="BM116" s="490"/>
      <c r="BN116" s="490"/>
      <c r="BO116" s="490"/>
      <c r="BP116" s="490"/>
      <c r="BQ116" s="490"/>
      <c r="BR116" s="490"/>
      <c r="BS116" s="490"/>
    </row>
    <row r="117" spans="26:71"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  <c r="AL117" s="466"/>
      <c r="AM117" s="466"/>
      <c r="AN117" s="466"/>
      <c r="AO117" s="466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66"/>
      <c r="AZ117" s="466"/>
      <c r="BA117" s="466"/>
      <c r="BB117" s="466"/>
      <c r="BC117" s="466"/>
      <c r="BD117" s="466"/>
      <c r="BE117" s="466"/>
      <c r="BF117" s="466"/>
      <c r="BG117" s="466"/>
      <c r="BH117" s="466"/>
      <c r="BI117" s="466"/>
      <c r="BJ117" s="466"/>
      <c r="BK117" s="466"/>
      <c r="BL117" s="466"/>
      <c r="BM117" s="466"/>
      <c r="BN117" s="466"/>
      <c r="BO117" s="466"/>
      <c r="BP117" s="466"/>
      <c r="BQ117" s="466"/>
      <c r="BR117" s="466"/>
      <c r="BS117" s="466"/>
    </row>
    <row r="118" spans="26:71"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90"/>
      <c r="AZ118" s="490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</row>
    <row r="119" spans="26:71"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  <c r="AK119" s="490"/>
      <c r="AL119" s="490"/>
      <c r="AM119" s="490"/>
      <c r="AN119" s="490"/>
      <c r="AO119" s="490"/>
      <c r="AP119" s="490"/>
      <c r="AQ119" s="490"/>
      <c r="AR119" s="490"/>
      <c r="AS119" s="490"/>
      <c r="AT119" s="490"/>
      <c r="AU119" s="490"/>
      <c r="AV119" s="490"/>
      <c r="AW119" s="490"/>
      <c r="AX119" s="490"/>
      <c r="AY119" s="490"/>
      <c r="AZ119" s="490"/>
      <c r="BA119" s="490"/>
      <c r="BB119" s="490"/>
      <c r="BC119" s="490"/>
      <c r="BD119" s="490"/>
      <c r="BE119" s="490"/>
      <c r="BF119" s="490"/>
      <c r="BG119" s="490"/>
      <c r="BH119" s="490"/>
      <c r="BI119" s="490"/>
      <c r="BJ119" s="490"/>
      <c r="BK119" s="490"/>
      <c r="BL119" s="490"/>
      <c r="BM119" s="490"/>
      <c r="BN119" s="490"/>
      <c r="BO119" s="490"/>
      <c r="BP119" s="490"/>
      <c r="BQ119" s="490"/>
      <c r="BR119" s="490"/>
      <c r="BS119" s="490"/>
    </row>
    <row r="120" spans="26:71"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  <c r="AM120" s="495"/>
      <c r="AN120" s="495"/>
      <c r="AO120" s="495"/>
      <c r="AP120" s="495"/>
      <c r="AQ120" s="495"/>
      <c r="AR120" s="495"/>
      <c r="AS120" s="495"/>
      <c r="AT120" s="495"/>
      <c r="AU120" s="495"/>
      <c r="AV120" s="495"/>
      <c r="AW120" s="495"/>
      <c r="AX120" s="495"/>
      <c r="AY120" s="495"/>
      <c r="AZ120" s="495"/>
      <c r="BA120" s="495"/>
      <c r="BB120" s="495"/>
      <c r="BC120" s="495"/>
      <c r="BD120" s="495"/>
      <c r="BE120" s="495"/>
      <c r="BF120" s="495"/>
      <c r="BG120" s="495"/>
      <c r="BH120" s="495"/>
      <c r="BI120" s="495"/>
      <c r="BJ120" s="495"/>
      <c r="BK120" s="495"/>
      <c r="BL120" s="495"/>
      <c r="BM120" s="495"/>
      <c r="BN120" s="495"/>
      <c r="BO120" s="495"/>
      <c r="BP120" s="495"/>
      <c r="BQ120" s="495"/>
      <c r="BR120" s="495"/>
      <c r="BS120" s="495"/>
    </row>
    <row r="121" spans="26:71">
      <c r="Z121" s="490"/>
      <c r="AA121" s="490"/>
      <c r="AB121" s="490"/>
      <c r="AC121" s="490"/>
      <c r="AD121" s="490"/>
      <c r="AE121" s="490"/>
      <c r="AF121" s="490"/>
      <c r="AG121" s="490"/>
      <c r="AH121" s="490"/>
      <c r="AI121" s="490"/>
      <c r="AJ121" s="490"/>
      <c r="AK121" s="490"/>
      <c r="AL121" s="490"/>
      <c r="AM121" s="490"/>
      <c r="AN121" s="490"/>
      <c r="AO121" s="490"/>
      <c r="AP121" s="490"/>
      <c r="AQ121" s="490"/>
      <c r="AR121" s="490"/>
      <c r="AS121" s="490"/>
      <c r="AT121" s="490"/>
      <c r="AU121" s="490"/>
      <c r="AV121" s="490"/>
      <c r="AW121" s="490"/>
      <c r="AX121" s="490"/>
      <c r="AY121" s="490"/>
      <c r="AZ121" s="490"/>
      <c r="BA121" s="490"/>
      <c r="BB121" s="490"/>
      <c r="BC121" s="490"/>
      <c r="BD121" s="490"/>
      <c r="BE121" s="490"/>
      <c r="BF121" s="490"/>
      <c r="BG121" s="490"/>
      <c r="BH121" s="490"/>
      <c r="BI121" s="490"/>
      <c r="BJ121" s="490"/>
      <c r="BK121" s="490"/>
      <c r="BL121" s="490"/>
      <c r="BM121" s="490"/>
      <c r="BN121" s="490"/>
      <c r="BO121" s="490"/>
      <c r="BP121" s="490"/>
      <c r="BQ121" s="490"/>
      <c r="BR121" s="490"/>
      <c r="BS121" s="490"/>
    </row>
    <row r="122" spans="26:71" ht="15.75"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</row>
    <row r="123" spans="26:71" ht="15.75"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</row>
    <row r="124" spans="26:71" ht="15.75"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</row>
    <row r="125" spans="26:71">
      <c r="Z125" s="491"/>
      <c r="AA125" s="491"/>
      <c r="AB125" s="491"/>
      <c r="AC125" s="491"/>
      <c r="AD125" s="491"/>
      <c r="AE125" s="491"/>
      <c r="AF125" s="491"/>
      <c r="AG125" s="491"/>
      <c r="AH125" s="491"/>
      <c r="AI125" s="491"/>
      <c r="AJ125" s="491"/>
      <c r="AK125" s="491"/>
      <c r="AL125" s="491"/>
      <c r="AM125" s="491"/>
      <c r="AN125" s="491"/>
      <c r="AO125" s="491"/>
      <c r="AP125" s="491"/>
      <c r="AQ125" s="491"/>
      <c r="AR125" s="491"/>
      <c r="AS125" s="491"/>
      <c r="AT125" s="491"/>
      <c r="AU125" s="491"/>
      <c r="AV125" s="491"/>
      <c r="AW125" s="491"/>
      <c r="AX125" s="491"/>
      <c r="AY125" s="491"/>
      <c r="AZ125" s="491"/>
      <c r="BA125" s="491"/>
      <c r="BB125" s="491"/>
      <c r="BC125" s="491"/>
      <c r="BD125" s="491"/>
      <c r="BE125" s="491"/>
      <c r="BF125" s="491"/>
      <c r="BG125" s="491"/>
      <c r="BH125" s="491"/>
      <c r="BI125" s="491"/>
      <c r="BJ125" s="491"/>
      <c r="BK125" s="491"/>
      <c r="BL125" s="491"/>
      <c r="BM125" s="491"/>
      <c r="BN125" s="491"/>
      <c r="BO125" s="491"/>
      <c r="BP125" s="491"/>
      <c r="BQ125" s="491"/>
      <c r="BR125" s="491"/>
      <c r="BS125" s="491"/>
    </row>
    <row r="126" spans="26:71">
      <c r="Z126" s="491"/>
      <c r="AA126" s="491"/>
      <c r="AB126" s="491"/>
      <c r="AC126" s="491"/>
      <c r="AD126" s="491"/>
      <c r="AE126" s="491"/>
      <c r="AF126" s="491"/>
      <c r="AG126" s="491"/>
      <c r="AH126" s="491"/>
      <c r="AI126" s="491"/>
      <c r="AJ126" s="491"/>
      <c r="AK126" s="491"/>
      <c r="AL126" s="491"/>
      <c r="AM126" s="491"/>
      <c r="AN126" s="491"/>
      <c r="AO126" s="491"/>
      <c r="AP126" s="491"/>
      <c r="AQ126" s="491"/>
      <c r="AR126" s="491"/>
      <c r="AS126" s="491"/>
      <c r="AT126" s="491"/>
      <c r="AU126" s="491"/>
      <c r="AV126" s="491"/>
      <c r="AW126" s="491"/>
      <c r="AX126" s="491"/>
      <c r="AY126" s="491"/>
      <c r="AZ126" s="491"/>
      <c r="BA126" s="491"/>
      <c r="BB126" s="491"/>
      <c r="BC126" s="491"/>
      <c r="BD126" s="491"/>
      <c r="BE126" s="491"/>
      <c r="BF126" s="491"/>
      <c r="BG126" s="491"/>
      <c r="BH126" s="491"/>
      <c r="BI126" s="491"/>
      <c r="BJ126" s="491"/>
      <c r="BK126" s="491"/>
      <c r="BL126" s="491"/>
      <c r="BM126" s="491"/>
      <c r="BN126" s="491"/>
      <c r="BO126" s="491"/>
      <c r="BP126" s="491"/>
      <c r="BQ126" s="491"/>
      <c r="BR126" s="491"/>
      <c r="BS126" s="491"/>
    </row>
  </sheetData>
  <sheetProtection formatCells="0" formatColumns="0" formatRows="0" insertColumns="0" insertRows="0" insertHyperlinks="0" deleteColumns="0" deleteRows="0" sort="0" autoFilter="0" pivotTables="0"/>
  <mergeCells count="24">
    <mergeCell ref="AF3:AH3"/>
    <mergeCell ref="U3:W3"/>
    <mergeCell ref="Z3:AB3"/>
    <mergeCell ref="AC3:AE3"/>
    <mergeCell ref="AO4:AQ4"/>
    <mergeCell ref="Z4:AB4"/>
    <mergeCell ref="AC4:AE4"/>
    <mergeCell ref="AF4:AH4"/>
    <mergeCell ref="AR4:AT4"/>
    <mergeCell ref="AI3:AK3"/>
    <mergeCell ref="AL3:AN3"/>
    <mergeCell ref="AO3:AQ3"/>
    <mergeCell ref="AR3:AT3"/>
    <mergeCell ref="AI4:AK4"/>
    <mergeCell ref="AL4:AN4"/>
    <mergeCell ref="BQ3:BS3"/>
    <mergeCell ref="BG3:BI3"/>
    <mergeCell ref="AU4:AW4"/>
    <mergeCell ref="AX4:AZ4"/>
    <mergeCell ref="BA4:BC4"/>
    <mergeCell ref="BD4:BF4"/>
    <mergeCell ref="BA3:BC3"/>
    <mergeCell ref="AU3:AW3"/>
    <mergeCell ref="AX3:AZ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126"/>
  <sheetViews>
    <sheetView rightToLeft="1" zoomScaleNormal="100" zoomScaleSheetLayoutView="75" workbookViewId="0">
      <pane xSplit="9" ySplit="6" topLeftCell="J7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14" defaultRowHeight="15.75"/>
  <cols>
    <col min="1" max="1" width="13.5703125" style="253" hidden="1" customWidth="1"/>
    <col min="2" max="2" width="12.85546875" style="253" hidden="1" customWidth="1"/>
    <col min="3" max="3" width="5.28515625" style="253" customWidth="1"/>
    <col min="4" max="4" width="6" style="253" customWidth="1"/>
    <col min="5" max="5" width="33.5703125" style="559" customWidth="1"/>
    <col min="6" max="6" width="12.7109375" style="253" hidden="1" customWidth="1"/>
    <col min="7" max="10" width="11.140625" style="253" hidden="1" customWidth="1"/>
    <col min="11" max="12" width="10.85546875" style="253" hidden="1" customWidth="1"/>
    <col min="13" max="13" width="11.7109375" style="253" hidden="1" customWidth="1"/>
    <col min="14" max="14" width="10.140625" style="253" bestFit="1" customWidth="1"/>
    <col min="15" max="15" width="10.7109375" style="253" customWidth="1"/>
    <col min="16" max="16" width="11" style="253" bestFit="1" customWidth="1"/>
    <col min="17" max="17" width="10.140625" style="253" bestFit="1" customWidth="1"/>
    <col min="18" max="23" width="13.28515625" style="253" hidden="1" customWidth="1"/>
    <col min="24" max="29" width="10.28515625" style="253" hidden="1" customWidth="1"/>
    <col min="30" max="32" width="10.28515625" style="560" hidden="1" customWidth="1"/>
    <col min="33" max="33" width="12" style="253" hidden="1" customWidth="1"/>
    <col min="34" max="34" width="13.5703125" style="253" hidden="1" customWidth="1"/>
    <col min="35" max="35" width="13.5703125" style="253" customWidth="1"/>
    <col min="36" max="36" width="12.42578125" style="253" customWidth="1"/>
    <col min="37" max="37" width="12.140625" style="253" customWidth="1"/>
    <col min="38" max="38" width="12.42578125" style="253" customWidth="1"/>
    <col min="39" max="39" width="11.42578125" style="253" customWidth="1"/>
    <col min="40" max="40" width="12.42578125" style="253" hidden="1" customWidth="1"/>
    <col min="41" max="42" width="11.42578125" style="253" hidden="1" customWidth="1"/>
    <col min="43" max="43" width="12.42578125" style="253" hidden="1" customWidth="1"/>
    <col min="44" max="45" width="11.42578125" style="253" hidden="1" customWidth="1"/>
    <col min="46" max="16384" width="14" style="253"/>
  </cols>
  <sheetData>
    <row r="1" spans="1:45" ht="23.25">
      <c r="A1" s="655" t="s">
        <v>807</v>
      </c>
      <c r="B1" s="655"/>
      <c r="C1" s="643" t="s">
        <v>1161</v>
      </c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655"/>
      <c r="AK1" s="655"/>
      <c r="AL1" s="655"/>
      <c r="AM1" s="655"/>
      <c r="AN1" s="655"/>
      <c r="AO1" s="655"/>
      <c r="AP1" s="655"/>
      <c r="AQ1" s="655"/>
      <c r="AR1" s="655"/>
      <c r="AS1" s="655"/>
    </row>
    <row r="2" spans="1:45" ht="17.25" customHeight="1" thickBot="1">
      <c r="A2" s="561"/>
      <c r="B2" s="561"/>
      <c r="C2" s="561"/>
      <c r="D2" s="561"/>
      <c r="E2" s="562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3"/>
      <c r="AE2" s="563"/>
      <c r="AF2" s="563"/>
      <c r="AG2" s="561"/>
      <c r="AH2" s="564"/>
      <c r="AI2" s="564"/>
      <c r="AJ2" s="631"/>
      <c r="AK2" s="631"/>
      <c r="AL2" s="631"/>
      <c r="AM2" s="631"/>
      <c r="AN2" s="646"/>
      <c r="AO2" s="646"/>
      <c r="AP2" s="646"/>
      <c r="AQ2" s="561"/>
      <c r="AR2" s="561"/>
      <c r="AS2" s="561"/>
    </row>
    <row r="3" spans="1:45">
      <c r="A3" s="565"/>
      <c r="B3" s="566"/>
      <c r="C3" s="332"/>
      <c r="D3" s="332"/>
      <c r="E3" s="656"/>
      <c r="F3" s="844" t="s">
        <v>808</v>
      </c>
      <c r="G3" s="844"/>
      <c r="H3" s="844"/>
      <c r="I3" s="844"/>
      <c r="J3" s="844"/>
      <c r="K3" s="844"/>
      <c r="L3" s="332"/>
      <c r="M3" s="844" t="s">
        <v>809</v>
      </c>
      <c r="N3" s="844"/>
      <c r="O3" s="844"/>
      <c r="P3" s="844"/>
      <c r="Q3" s="844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8"/>
      <c r="AE3" s="658"/>
      <c r="AF3" s="658"/>
      <c r="AG3" s="844" t="s">
        <v>636</v>
      </c>
      <c r="AH3" s="844"/>
      <c r="AI3" s="844"/>
      <c r="AJ3" s="657"/>
      <c r="AK3" s="621" t="s">
        <v>1162</v>
      </c>
      <c r="AL3" s="657"/>
      <c r="AM3" s="657"/>
      <c r="AN3" s="617" t="s">
        <v>883</v>
      </c>
      <c r="AO3" s="647"/>
      <c r="AP3" s="567"/>
      <c r="AQ3" s="817" t="s">
        <v>934</v>
      </c>
      <c r="AR3" s="818"/>
      <c r="AS3" s="819"/>
    </row>
    <row r="4" spans="1:45" s="573" customFormat="1" ht="110.25">
      <c r="A4" s="568" t="s">
        <v>810</v>
      </c>
      <c r="B4" s="569" t="s">
        <v>811</v>
      </c>
      <c r="C4" s="569" t="s">
        <v>0</v>
      </c>
      <c r="D4" s="569" t="s">
        <v>1</v>
      </c>
      <c r="E4" s="569" t="s">
        <v>2</v>
      </c>
      <c r="F4" s="570" t="s">
        <v>812</v>
      </c>
      <c r="G4" s="570" t="s">
        <v>813</v>
      </c>
      <c r="H4" s="570" t="s">
        <v>814</v>
      </c>
      <c r="I4" s="570" t="s">
        <v>815</v>
      </c>
      <c r="J4" s="570" t="s">
        <v>816</v>
      </c>
      <c r="K4" s="570" t="s">
        <v>639</v>
      </c>
      <c r="L4" s="570" t="s">
        <v>817</v>
      </c>
      <c r="M4" s="570" t="s">
        <v>818</v>
      </c>
      <c r="N4" s="570" t="s">
        <v>819</v>
      </c>
      <c r="O4" s="570" t="s">
        <v>13</v>
      </c>
      <c r="P4" s="570" t="s">
        <v>14</v>
      </c>
      <c r="Q4" s="570" t="s">
        <v>184</v>
      </c>
      <c r="R4" s="570" t="s">
        <v>820</v>
      </c>
      <c r="S4" s="570" t="s">
        <v>821</v>
      </c>
      <c r="T4" s="570" t="s">
        <v>822</v>
      </c>
      <c r="U4" s="570" t="s">
        <v>823</v>
      </c>
      <c r="V4" s="570" t="s">
        <v>824</v>
      </c>
      <c r="W4" s="570" t="s">
        <v>825</v>
      </c>
      <c r="X4" s="570" t="s">
        <v>826</v>
      </c>
      <c r="Y4" s="570" t="s">
        <v>826</v>
      </c>
      <c r="Z4" s="570" t="s">
        <v>826</v>
      </c>
      <c r="AA4" s="570" t="s">
        <v>826</v>
      </c>
      <c r="AB4" s="570" t="s">
        <v>827</v>
      </c>
      <c r="AC4" s="570" t="s">
        <v>827</v>
      </c>
      <c r="AD4" s="571" t="s">
        <v>828</v>
      </c>
      <c r="AE4" s="571" t="s">
        <v>828</v>
      </c>
      <c r="AF4" s="571" t="s">
        <v>826</v>
      </c>
      <c r="AG4" s="12" t="s">
        <v>938</v>
      </c>
      <c r="AH4" s="12" t="s">
        <v>939</v>
      </c>
      <c r="AI4" s="12" t="s">
        <v>940</v>
      </c>
      <c r="AJ4" s="12" t="s">
        <v>656</v>
      </c>
      <c r="AK4" s="570" t="s">
        <v>13</v>
      </c>
      <c r="AL4" s="570" t="s">
        <v>14</v>
      </c>
      <c r="AM4" s="570" t="s">
        <v>184</v>
      </c>
      <c r="AN4" s="570" t="s">
        <v>13</v>
      </c>
      <c r="AO4" s="570" t="s">
        <v>14</v>
      </c>
      <c r="AP4" s="572" t="s">
        <v>184</v>
      </c>
      <c r="AQ4" s="570" t="s">
        <v>13</v>
      </c>
      <c r="AR4" s="570" t="s">
        <v>14</v>
      </c>
      <c r="AS4" s="572" t="s">
        <v>184</v>
      </c>
    </row>
    <row r="5" spans="1:45" s="573" customFormat="1">
      <c r="A5" s="568"/>
      <c r="B5" s="569"/>
      <c r="C5" s="569"/>
      <c r="D5" s="569"/>
      <c r="E5" s="569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1"/>
      <c r="AE5" s="571"/>
      <c r="AF5" s="571"/>
      <c r="AG5" s="570"/>
      <c r="AH5" s="570"/>
      <c r="AI5" s="570"/>
      <c r="AJ5" s="570"/>
      <c r="AK5" s="570"/>
      <c r="AL5" s="570"/>
      <c r="AM5" s="570"/>
      <c r="AN5" s="570"/>
      <c r="AO5" s="570"/>
      <c r="AP5" s="572"/>
      <c r="AQ5" s="570"/>
      <c r="AR5" s="570"/>
      <c r="AS5" s="572"/>
    </row>
    <row r="6" spans="1:45" s="577" customFormat="1" hidden="1">
      <c r="A6" s="574"/>
      <c r="B6" s="575"/>
      <c r="C6" s="575"/>
      <c r="D6" s="505"/>
      <c r="E6" s="505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571"/>
      <c r="AL6" s="571"/>
      <c r="AM6" s="571"/>
      <c r="AN6" s="571"/>
      <c r="AO6" s="571"/>
      <c r="AP6" s="576"/>
      <c r="AQ6" s="571"/>
      <c r="AR6" s="571"/>
      <c r="AS6" s="576"/>
    </row>
    <row r="7" spans="1:45" s="577" customFormat="1" hidden="1">
      <c r="A7" s="574"/>
      <c r="B7" s="575"/>
      <c r="C7" s="575"/>
      <c r="D7" s="505"/>
      <c r="E7" s="458">
        <v>2016</v>
      </c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  <c r="R7" s="571"/>
      <c r="S7" s="571"/>
      <c r="T7" s="571"/>
      <c r="U7" s="571"/>
      <c r="V7" s="571"/>
      <c r="W7" s="571"/>
      <c r="X7" s="571"/>
      <c r="Y7" s="571"/>
      <c r="Z7" s="571"/>
      <c r="AA7" s="571"/>
      <c r="AB7" s="571"/>
      <c r="AC7" s="571"/>
      <c r="AD7" s="571"/>
      <c r="AE7" s="571"/>
      <c r="AF7" s="571"/>
      <c r="AG7" s="571"/>
      <c r="AH7" s="571"/>
      <c r="AI7" s="571"/>
      <c r="AJ7" s="571"/>
      <c r="AK7" s="571"/>
      <c r="AL7" s="571"/>
      <c r="AM7" s="571"/>
      <c r="AN7" s="571"/>
      <c r="AO7" s="571"/>
      <c r="AP7" s="576"/>
      <c r="AQ7" s="571"/>
      <c r="AR7" s="571"/>
      <c r="AS7" s="576"/>
    </row>
    <row r="8" spans="1:45" s="264" customFormat="1" hidden="1">
      <c r="A8" s="258"/>
      <c r="B8" s="332"/>
      <c r="C8" s="332"/>
      <c r="D8" s="332"/>
      <c r="E8" s="578" t="s">
        <v>829</v>
      </c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536"/>
      <c r="AE8" s="536"/>
      <c r="AF8" s="536"/>
      <c r="AG8" s="332"/>
      <c r="AH8" s="332"/>
      <c r="AI8" s="332"/>
      <c r="AJ8" s="332"/>
      <c r="AK8" s="332"/>
      <c r="AL8" s="332"/>
      <c r="AM8" s="332"/>
      <c r="AN8" s="332"/>
      <c r="AO8" s="332"/>
      <c r="AP8" s="579"/>
      <c r="AQ8" s="332"/>
      <c r="AR8" s="332"/>
      <c r="AS8" s="579"/>
    </row>
    <row r="9" spans="1:45" s="264" customFormat="1" ht="18.75" hidden="1">
      <c r="A9" s="580" t="s">
        <v>830</v>
      </c>
      <c r="B9" s="581" t="s">
        <v>831</v>
      </c>
      <c r="C9" s="332">
        <v>1</v>
      </c>
      <c r="D9" s="332">
        <v>1482</v>
      </c>
      <c r="E9" s="582" t="s">
        <v>832</v>
      </c>
      <c r="F9" s="336">
        <v>1450000</v>
      </c>
      <c r="G9" s="336">
        <v>1450000</v>
      </c>
      <c r="H9" s="336">
        <f>F9-G9</f>
        <v>0</v>
      </c>
      <c r="I9" s="336">
        <v>1450000</v>
      </c>
      <c r="J9" s="336"/>
      <c r="K9" s="336">
        <f>F9-I9-J9</f>
        <v>0</v>
      </c>
      <c r="L9" s="336">
        <f>J9</f>
        <v>0</v>
      </c>
      <c r="M9" s="336"/>
      <c r="N9" s="336">
        <f>L9-M9</f>
        <v>0</v>
      </c>
      <c r="O9" s="336">
        <f>N9-P9-Q9</f>
        <v>0</v>
      </c>
      <c r="P9" s="336">
        <v>-112500</v>
      </c>
      <c r="Q9" s="336">
        <v>112500</v>
      </c>
      <c r="R9" s="583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584" t="s">
        <v>833</v>
      </c>
      <c r="AE9" s="537"/>
      <c r="AF9" s="537"/>
      <c r="AG9" s="336"/>
      <c r="AH9" s="336"/>
      <c r="AI9" s="336"/>
      <c r="AJ9" s="336"/>
      <c r="AK9" s="336">
        <f>P9-AQ9</f>
        <v>-112500</v>
      </c>
      <c r="AL9" s="336"/>
      <c r="AM9" s="336">
        <f>P9-AQ9</f>
        <v>-112500</v>
      </c>
      <c r="AN9" s="336"/>
      <c r="AO9" s="336">
        <f>O9-AP9</f>
        <v>0</v>
      </c>
      <c r="AP9" s="585"/>
      <c r="AQ9" s="336"/>
      <c r="AR9" s="336">
        <f>R9-AS9</f>
        <v>0</v>
      </c>
      <c r="AS9" s="585"/>
    </row>
    <row r="10" spans="1:45" s="264" customFormat="1" hidden="1">
      <c r="A10" s="586"/>
      <c r="B10" s="587"/>
      <c r="C10" s="587">
        <f>COUNT(C9)</f>
        <v>1</v>
      </c>
      <c r="D10" s="587"/>
      <c r="E10" s="578" t="s">
        <v>834</v>
      </c>
      <c r="F10" s="339">
        <f>SUM(F9)</f>
        <v>1450000</v>
      </c>
      <c r="G10" s="339">
        <f t="shared" ref="G10:AS10" si="0">SUM(G9)</f>
        <v>1450000</v>
      </c>
      <c r="H10" s="339">
        <f t="shared" si="0"/>
        <v>0</v>
      </c>
      <c r="I10" s="339">
        <f t="shared" si="0"/>
        <v>1450000</v>
      </c>
      <c r="J10" s="339">
        <f t="shared" si="0"/>
        <v>0</v>
      </c>
      <c r="K10" s="339">
        <f t="shared" si="0"/>
        <v>0</v>
      </c>
      <c r="L10" s="339">
        <f t="shared" si="0"/>
        <v>0</v>
      </c>
      <c r="M10" s="339">
        <f t="shared" si="0"/>
        <v>0</v>
      </c>
      <c r="N10" s="339">
        <f t="shared" si="0"/>
        <v>0</v>
      </c>
      <c r="O10" s="339">
        <f t="shared" si="0"/>
        <v>0</v>
      </c>
      <c r="P10" s="339">
        <f t="shared" si="0"/>
        <v>-112500</v>
      </c>
      <c r="Q10" s="339">
        <f t="shared" si="0"/>
        <v>112500</v>
      </c>
      <c r="R10" s="339">
        <f t="shared" si="0"/>
        <v>0</v>
      </c>
      <c r="S10" s="339">
        <f t="shared" si="0"/>
        <v>0</v>
      </c>
      <c r="T10" s="339">
        <f t="shared" si="0"/>
        <v>0</v>
      </c>
      <c r="U10" s="339">
        <f t="shared" si="0"/>
        <v>0</v>
      </c>
      <c r="V10" s="339">
        <f t="shared" si="0"/>
        <v>0</v>
      </c>
      <c r="W10" s="339">
        <f t="shared" si="0"/>
        <v>0</v>
      </c>
      <c r="X10" s="339">
        <f t="shared" si="0"/>
        <v>0</v>
      </c>
      <c r="Y10" s="339">
        <f t="shared" si="0"/>
        <v>0</v>
      </c>
      <c r="Z10" s="339">
        <f t="shared" si="0"/>
        <v>0</v>
      </c>
      <c r="AA10" s="339">
        <f t="shared" si="0"/>
        <v>0</v>
      </c>
      <c r="AB10" s="339">
        <f t="shared" si="0"/>
        <v>0</v>
      </c>
      <c r="AC10" s="339">
        <f t="shared" si="0"/>
        <v>0</v>
      </c>
      <c r="AD10" s="339">
        <f t="shared" si="0"/>
        <v>0</v>
      </c>
      <c r="AE10" s="339">
        <f t="shared" si="0"/>
        <v>0</v>
      </c>
      <c r="AF10" s="339">
        <f t="shared" si="0"/>
        <v>0</v>
      </c>
      <c r="AG10" s="339">
        <f t="shared" si="0"/>
        <v>0</v>
      </c>
      <c r="AH10" s="339">
        <f>SUM(AH9)</f>
        <v>0</v>
      </c>
      <c r="AI10" s="339">
        <f t="shared" si="0"/>
        <v>0</v>
      </c>
      <c r="AJ10" s="339">
        <f t="shared" ref="AJ10:AP10" si="1">SUM(AJ9)</f>
        <v>0</v>
      </c>
      <c r="AK10" s="339">
        <f t="shared" si="1"/>
        <v>-112500</v>
      </c>
      <c r="AL10" s="339">
        <f t="shared" si="1"/>
        <v>0</v>
      </c>
      <c r="AM10" s="339">
        <f t="shared" si="1"/>
        <v>-112500</v>
      </c>
      <c r="AN10" s="339">
        <f t="shared" si="1"/>
        <v>0</v>
      </c>
      <c r="AO10" s="339">
        <f t="shared" si="1"/>
        <v>0</v>
      </c>
      <c r="AP10" s="339">
        <f t="shared" si="1"/>
        <v>0</v>
      </c>
      <c r="AQ10" s="339">
        <f t="shared" si="0"/>
        <v>0</v>
      </c>
      <c r="AR10" s="339">
        <f t="shared" si="0"/>
        <v>0</v>
      </c>
      <c r="AS10" s="339">
        <f t="shared" si="0"/>
        <v>0</v>
      </c>
    </row>
    <row r="11" spans="1:45" s="264" customFormat="1" hidden="1">
      <c r="A11" s="586"/>
      <c r="B11" s="587"/>
      <c r="C11" s="587"/>
      <c r="D11" s="587"/>
      <c r="E11" s="578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44"/>
      <c r="AE11" s="344"/>
      <c r="AF11" s="344"/>
      <c r="AG11" s="339"/>
      <c r="AH11" s="339"/>
      <c r="AI11" s="339"/>
      <c r="AJ11" s="339"/>
      <c r="AK11" s="339"/>
      <c r="AL11" s="339"/>
      <c r="AM11" s="339"/>
      <c r="AN11" s="339"/>
      <c r="AO11" s="339"/>
      <c r="AP11" s="588"/>
      <c r="AQ11" s="339"/>
      <c r="AR11" s="339"/>
      <c r="AS11" s="588"/>
    </row>
    <row r="12" spans="1:45" s="264" customFormat="1" ht="13.5" hidden="1" customHeight="1">
      <c r="A12" s="580" t="s">
        <v>830</v>
      </c>
      <c r="B12" s="581"/>
      <c r="C12" s="587">
        <v>1</v>
      </c>
      <c r="D12" s="587"/>
      <c r="E12" s="578" t="s">
        <v>835</v>
      </c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2"/>
      <c r="Y12" s="332"/>
      <c r="Z12" s="332"/>
      <c r="AA12" s="332"/>
      <c r="AB12" s="332"/>
      <c r="AC12" s="332"/>
      <c r="AD12" s="536"/>
      <c r="AE12" s="536"/>
      <c r="AF12" s="536"/>
      <c r="AG12" s="339"/>
      <c r="AH12" s="339"/>
      <c r="AI12" s="339"/>
      <c r="AJ12" s="339"/>
      <c r="AK12" s="339"/>
      <c r="AL12" s="339"/>
      <c r="AM12" s="339"/>
      <c r="AN12" s="339"/>
      <c r="AO12" s="339"/>
      <c r="AP12" s="588"/>
      <c r="AQ12" s="339"/>
      <c r="AR12" s="339"/>
      <c r="AS12" s="588"/>
    </row>
    <row r="13" spans="1:45" s="264" customFormat="1" ht="13.5" hidden="1" customHeight="1">
      <c r="A13" s="586"/>
      <c r="B13" s="587"/>
      <c r="C13" s="587"/>
      <c r="D13" s="587"/>
      <c r="E13" s="578" t="s">
        <v>836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2"/>
      <c r="Y13" s="332"/>
      <c r="Z13" s="332"/>
      <c r="AA13" s="332"/>
      <c r="AB13" s="332"/>
      <c r="AC13" s="332"/>
      <c r="AD13" s="536"/>
      <c r="AE13" s="536"/>
      <c r="AF13" s="536"/>
      <c r="AG13" s="339"/>
      <c r="AH13" s="339"/>
      <c r="AI13" s="339"/>
      <c r="AJ13" s="339"/>
      <c r="AK13" s="339"/>
      <c r="AL13" s="339"/>
      <c r="AM13" s="339"/>
      <c r="AN13" s="339"/>
      <c r="AO13" s="339"/>
      <c r="AP13" s="588"/>
      <c r="AQ13" s="339"/>
      <c r="AR13" s="339"/>
      <c r="AS13" s="588"/>
    </row>
    <row r="14" spans="1:45" s="264" customFormat="1" ht="13.5" hidden="1" customHeight="1">
      <c r="A14" s="586"/>
      <c r="B14" s="587"/>
      <c r="C14" s="587"/>
      <c r="D14" s="587"/>
      <c r="E14" s="578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2"/>
      <c r="Y14" s="332"/>
      <c r="Z14" s="332"/>
      <c r="AA14" s="332"/>
      <c r="AB14" s="332"/>
      <c r="AC14" s="332"/>
      <c r="AD14" s="536"/>
      <c r="AE14" s="536"/>
      <c r="AF14" s="536"/>
      <c r="AG14" s="339"/>
      <c r="AH14" s="339"/>
      <c r="AI14" s="339"/>
      <c r="AJ14" s="339"/>
      <c r="AK14" s="339"/>
      <c r="AL14" s="339"/>
      <c r="AM14" s="339"/>
      <c r="AN14" s="339"/>
      <c r="AO14" s="339"/>
      <c r="AP14" s="588"/>
      <c r="AQ14" s="339"/>
      <c r="AR14" s="339"/>
      <c r="AS14" s="588"/>
    </row>
    <row r="15" spans="1:45" s="264" customFormat="1" hidden="1">
      <c r="A15" s="586"/>
      <c r="B15" s="587"/>
      <c r="C15" s="587"/>
      <c r="D15" s="587"/>
      <c r="E15" s="578">
        <v>2017</v>
      </c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44"/>
      <c r="AE15" s="344"/>
      <c r="AF15" s="344"/>
      <c r="AG15" s="339"/>
      <c r="AH15" s="339"/>
      <c r="AI15" s="339"/>
      <c r="AJ15" s="339"/>
      <c r="AK15" s="339"/>
      <c r="AL15" s="339"/>
      <c r="AM15" s="339"/>
      <c r="AN15" s="339"/>
      <c r="AO15" s="339"/>
      <c r="AP15" s="588"/>
      <c r="AQ15" s="339"/>
      <c r="AR15" s="339"/>
      <c r="AS15" s="588"/>
    </row>
    <row r="16" spans="1:45" s="264" customFormat="1">
      <c r="A16" s="258"/>
      <c r="B16" s="332"/>
      <c r="C16" s="332"/>
      <c r="D16" s="332"/>
      <c r="E16" s="578" t="s">
        <v>684</v>
      </c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2"/>
      <c r="R16" s="332"/>
      <c r="S16" s="332"/>
      <c r="T16" s="332"/>
      <c r="U16" s="332"/>
      <c r="V16" s="332"/>
      <c r="W16" s="332"/>
      <c r="X16" s="339"/>
      <c r="Y16" s="339"/>
      <c r="Z16" s="339"/>
      <c r="AA16" s="339"/>
      <c r="AB16" s="339"/>
      <c r="AC16" s="339"/>
      <c r="AD16" s="344"/>
      <c r="AE16" s="344"/>
      <c r="AF16" s="344"/>
      <c r="AG16" s="332"/>
      <c r="AH16" s="332"/>
      <c r="AI16" s="332"/>
      <c r="AJ16" s="332"/>
      <c r="AK16" s="332"/>
      <c r="AL16" s="332"/>
      <c r="AM16" s="332"/>
      <c r="AN16" s="332"/>
      <c r="AO16" s="332"/>
      <c r="AP16" s="579"/>
      <c r="AQ16" s="332"/>
      <c r="AR16" s="332"/>
      <c r="AS16" s="579"/>
    </row>
    <row r="17" spans="1:45" s="592" customFormat="1">
      <c r="A17" s="580" t="s">
        <v>837</v>
      </c>
      <c r="B17" s="589" t="s">
        <v>838</v>
      </c>
      <c r="C17" s="536">
        <v>1</v>
      </c>
      <c r="D17" s="536">
        <v>1943</v>
      </c>
      <c r="E17" s="505" t="s">
        <v>839</v>
      </c>
      <c r="F17" s="537">
        <v>5000000</v>
      </c>
      <c r="G17" s="537">
        <v>3500000</v>
      </c>
      <c r="H17" s="537">
        <f>F17-G17</f>
        <v>1500000</v>
      </c>
      <c r="I17" s="537">
        <v>2500000</v>
      </c>
      <c r="J17" s="537">
        <v>2500000</v>
      </c>
      <c r="K17" s="537">
        <f>F17-I17-J17</f>
        <v>0</v>
      </c>
      <c r="L17" s="537">
        <f>J17</f>
        <v>2500000</v>
      </c>
      <c r="M17" s="537"/>
      <c r="N17" s="537">
        <f>L17-M17</f>
        <v>2500000</v>
      </c>
      <c r="O17" s="336">
        <f>N17-P17-Q17</f>
        <v>2500000</v>
      </c>
      <c r="P17" s="537"/>
      <c r="Q17" s="537"/>
      <c r="R17" s="537"/>
      <c r="S17" s="537"/>
      <c r="T17" s="537"/>
      <c r="U17" s="537"/>
      <c r="V17" s="537"/>
      <c r="W17" s="590">
        <v>2500000</v>
      </c>
      <c r="X17" s="332"/>
      <c r="Y17" s="332"/>
      <c r="Z17" s="332"/>
      <c r="AA17" s="332"/>
      <c r="AB17" s="332"/>
      <c r="AC17" s="339"/>
      <c r="AD17" s="537"/>
      <c r="AE17" s="537"/>
      <c r="AF17" s="537"/>
      <c r="AG17" s="336">
        <f>SUM(R17:AF17)</f>
        <v>2500000</v>
      </c>
      <c r="AH17" s="336"/>
      <c r="AI17" s="336">
        <f>AG17+AH17</f>
        <v>2500000</v>
      </c>
      <c r="AJ17" s="336">
        <f>N17-AI17</f>
        <v>0</v>
      </c>
      <c r="AK17" s="336">
        <f>AI17-AL17-AM17</f>
        <v>2500000</v>
      </c>
      <c r="AL17" s="336"/>
      <c r="AM17" s="336"/>
      <c r="AN17" s="336">
        <f>AH17-AO17-AP17</f>
        <v>0</v>
      </c>
      <c r="AO17" s="336"/>
      <c r="AP17" s="591"/>
      <c r="AQ17" s="336">
        <f>AJ17-AR17-AS17</f>
        <v>0</v>
      </c>
      <c r="AR17" s="336"/>
      <c r="AS17" s="591"/>
    </row>
    <row r="18" spans="1:45" s="592" customFormat="1" ht="31.5">
      <c r="A18" s="580" t="s">
        <v>840</v>
      </c>
      <c r="B18" s="589" t="s">
        <v>841</v>
      </c>
      <c r="C18" s="332">
        <f>C17+1</f>
        <v>2</v>
      </c>
      <c r="D18" s="784">
        <v>1844</v>
      </c>
      <c r="E18" s="505" t="s">
        <v>1098</v>
      </c>
      <c r="F18" s="537">
        <v>732000</v>
      </c>
      <c r="G18" s="537">
        <v>732000</v>
      </c>
      <c r="H18" s="537">
        <f>F18-G18</f>
        <v>0</v>
      </c>
      <c r="I18" s="537">
        <v>70000</v>
      </c>
      <c r="J18" s="537"/>
      <c r="K18" s="537">
        <f>F18-I18-J18</f>
        <v>662000</v>
      </c>
      <c r="L18" s="537">
        <f>J18</f>
        <v>0</v>
      </c>
      <c r="M18" s="537"/>
      <c r="N18" s="537">
        <f>L18-M18</f>
        <v>0</v>
      </c>
      <c r="O18" s="336">
        <f>N18-P18-Q18</f>
        <v>-62478</v>
      </c>
      <c r="P18" s="537"/>
      <c r="Q18" s="537">
        <v>62478</v>
      </c>
      <c r="R18" s="537"/>
      <c r="S18" s="537"/>
      <c r="T18" s="537"/>
      <c r="U18" s="537"/>
      <c r="V18" s="537"/>
      <c r="W18" s="590"/>
      <c r="X18" s="332"/>
      <c r="Y18" s="332"/>
      <c r="Z18" s="332"/>
      <c r="AA18" s="332"/>
      <c r="AB18" s="332"/>
      <c r="AC18" s="339"/>
      <c r="AD18" s="537"/>
      <c r="AE18" s="537"/>
      <c r="AF18" s="537"/>
      <c r="AG18" s="336">
        <f>SUM(R18:AF18)</f>
        <v>0</v>
      </c>
      <c r="AH18" s="336"/>
      <c r="AI18" s="336">
        <f>AG18+AH18</f>
        <v>0</v>
      </c>
      <c r="AJ18" s="336">
        <f>N18-AI18</f>
        <v>0</v>
      </c>
      <c r="AK18" s="336">
        <f>AI18-AL18-AM18</f>
        <v>-62478</v>
      </c>
      <c r="AL18" s="336"/>
      <c r="AM18" s="336">
        <v>62478</v>
      </c>
      <c r="AN18" s="336">
        <f>AH18-AO18-AP18</f>
        <v>0</v>
      </c>
      <c r="AO18" s="336"/>
      <c r="AP18" s="591"/>
      <c r="AQ18" s="336">
        <f>AJ18-AR18-AS18</f>
        <v>0</v>
      </c>
      <c r="AR18" s="336"/>
      <c r="AS18" s="591"/>
    </row>
    <row r="19" spans="1:45" s="264" customFormat="1">
      <c r="A19" s="586"/>
      <c r="B19" s="587"/>
      <c r="C19" s="587">
        <f>COUNT(C17:C18)</f>
        <v>2</v>
      </c>
      <c r="D19" s="587"/>
      <c r="E19" s="578" t="s">
        <v>83</v>
      </c>
      <c r="F19" s="339">
        <f>SUM(F17:F18)</f>
        <v>5732000</v>
      </c>
      <c r="G19" s="339">
        <f t="shared" ref="G19:AS19" si="2">SUM(G17:G18)</f>
        <v>4232000</v>
      </c>
      <c r="H19" s="339">
        <f t="shared" si="2"/>
        <v>1500000</v>
      </c>
      <c r="I19" s="339">
        <f t="shared" si="2"/>
        <v>2570000</v>
      </c>
      <c r="J19" s="339">
        <f t="shared" si="2"/>
        <v>2500000</v>
      </c>
      <c r="K19" s="339">
        <f t="shared" si="2"/>
        <v>662000</v>
      </c>
      <c r="L19" s="339">
        <f t="shared" si="2"/>
        <v>2500000</v>
      </c>
      <c r="M19" s="339">
        <f t="shared" si="2"/>
        <v>0</v>
      </c>
      <c r="N19" s="339">
        <f t="shared" si="2"/>
        <v>2500000</v>
      </c>
      <c r="O19" s="339">
        <f t="shared" si="2"/>
        <v>2437522</v>
      </c>
      <c r="P19" s="339">
        <f t="shared" si="2"/>
        <v>0</v>
      </c>
      <c r="Q19" s="339">
        <f t="shared" si="2"/>
        <v>62478</v>
      </c>
      <c r="R19" s="339">
        <f t="shared" si="2"/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2500000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2500000</v>
      </c>
      <c r="AH19" s="339">
        <f>SUM(AH17:AH18)</f>
        <v>0</v>
      </c>
      <c r="AI19" s="339">
        <f t="shared" si="2"/>
        <v>2500000</v>
      </c>
      <c r="AJ19" s="339">
        <f t="shared" ref="AJ19:AP19" si="3">SUM(AJ17:AJ18)</f>
        <v>0</v>
      </c>
      <c r="AK19" s="339">
        <f t="shared" si="3"/>
        <v>2437522</v>
      </c>
      <c r="AL19" s="339">
        <f t="shared" si="3"/>
        <v>0</v>
      </c>
      <c r="AM19" s="339">
        <f t="shared" si="3"/>
        <v>62478</v>
      </c>
      <c r="AN19" s="339">
        <f t="shared" si="3"/>
        <v>0</v>
      </c>
      <c r="AO19" s="339">
        <f t="shared" si="3"/>
        <v>0</v>
      </c>
      <c r="AP19" s="339">
        <f t="shared" si="3"/>
        <v>0</v>
      </c>
      <c r="AQ19" s="339">
        <f t="shared" si="2"/>
        <v>0</v>
      </c>
      <c r="AR19" s="339">
        <f t="shared" si="2"/>
        <v>0</v>
      </c>
      <c r="AS19" s="339">
        <f t="shared" si="2"/>
        <v>0</v>
      </c>
    </row>
    <row r="20" spans="1:45" s="264" customFormat="1">
      <c r="A20" s="586"/>
      <c r="B20" s="587"/>
      <c r="C20" s="587"/>
      <c r="D20" s="587"/>
      <c r="E20" s="578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44"/>
      <c r="AE20" s="344"/>
      <c r="AF20" s="344"/>
      <c r="AG20" s="339"/>
      <c r="AH20" s="339"/>
      <c r="AI20" s="339"/>
      <c r="AJ20" s="339"/>
      <c r="AK20" s="339"/>
      <c r="AL20" s="339"/>
      <c r="AM20" s="339"/>
      <c r="AN20" s="339"/>
      <c r="AO20" s="339"/>
      <c r="AP20" s="588"/>
      <c r="AQ20" s="339"/>
      <c r="AR20" s="339"/>
      <c r="AS20" s="588"/>
    </row>
    <row r="21" spans="1:45" s="264" customFormat="1">
      <c r="A21" s="258"/>
      <c r="B21" s="332"/>
      <c r="C21" s="332"/>
      <c r="D21" s="332"/>
      <c r="E21" s="578" t="s">
        <v>572</v>
      </c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536"/>
      <c r="AE21" s="536"/>
      <c r="AF21" s="536"/>
      <c r="AG21" s="332"/>
      <c r="AH21" s="332"/>
      <c r="AI21" s="332"/>
      <c r="AJ21" s="332"/>
      <c r="AK21" s="332"/>
      <c r="AL21" s="332"/>
      <c r="AM21" s="332"/>
      <c r="AN21" s="332"/>
      <c r="AO21" s="332"/>
      <c r="AP21" s="579"/>
      <c r="AQ21" s="332"/>
      <c r="AR21" s="332"/>
      <c r="AS21" s="579"/>
    </row>
    <row r="22" spans="1:45" s="264" customFormat="1">
      <c r="A22" s="580" t="s">
        <v>842</v>
      </c>
      <c r="B22" s="581" t="s">
        <v>843</v>
      </c>
      <c r="C22" s="332">
        <v>1</v>
      </c>
      <c r="D22" s="332">
        <v>1919</v>
      </c>
      <c r="E22" s="582" t="s">
        <v>273</v>
      </c>
      <c r="F22" s="336">
        <v>135100000</v>
      </c>
      <c r="G22" s="336">
        <v>135100000</v>
      </c>
      <c r="H22" s="336">
        <f t="shared" ref="H22:H44" si="4">F22-G22</f>
        <v>0</v>
      </c>
      <c r="I22" s="336">
        <v>7684514</v>
      </c>
      <c r="J22" s="336">
        <v>1414013</v>
      </c>
      <c r="K22" s="336">
        <f t="shared" ref="K22:K44" si="5">F22-I22-J22</f>
        <v>126001473</v>
      </c>
      <c r="L22" s="336">
        <f t="shared" ref="L22:L44" si="6">J22</f>
        <v>1414013</v>
      </c>
      <c r="M22" s="336"/>
      <c r="N22" s="336">
        <f t="shared" ref="N22:N44" si="7">L22-M22</f>
        <v>1414013</v>
      </c>
      <c r="O22" s="336">
        <f t="shared" ref="O22:O44" si="8">N22-P22-Q22</f>
        <v>0</v>
      </c>
      <c r="P22" s="336"/>
      <c r="Q22" s="336">
        <v>1414013</v>
      </c>
      <c r="R22" s="336">
        <v>1414013</v>
      </c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537"/>
      <c r="AE22" s="537"/>
      <c r="AF22" s="537"/>
      <c r="AG22" s="336">
        <f t="shared" ref="AG22:AG44" si="9">SUM(R22:AF22)</f>
        <v>1414013</v>
      </c>
      <c r="AH22" s="336"/>
      <c r="AI22" s="336">
        <f>AG22+AH22</f>
        <v>1414013</v>
      </c>
      <c r="AJ22" s="336">
        <f>N22-AI22</f>
        <v>0</v>
      </c>
      <c r="AK22" s="336">
        <f>AI22-AL22-AM22</f>
        <v>0</v>
      </c>
      <c r="AL22" s="336"/>
      <c r="AM22" s="336">
        <v>1414013</v>
      </c>
      <c r="AN22" s="336">
        <f>AH22-AO22-AP22</f>
        <v>0</v>
      </c>
      <c r="AO22" s="336"/>
      <c r="AP22" s="591"/>
      <c r="AQ22" s="336">
        <f>AJ22-AR22-AS22</f>
        <v>0</v>
      </c>
      <c r="AR22" s="336"/>
      <c r="AS22" s="591"/>
    </row>
    <row r="23" spans="1:45" s="264" customFormat="1">
      <c r="A23" s="580" t="s">
        <v>844</v>
      </c>
      <c r="B23" s="589" t="s">
        <v>845</v>
      </c>
      <c r="C23" s="332">
        <f>C22+1</f>
        <v>2</v>
      </c>
      <c r="D23" s="332">
        <v>1953</v>
      </c>
      <c r="E23" s="582" t="s">
        <v>846</v>
      </c>
      <c r="F23" s="336">
        <v>5300000</v>
      </c>
      <c r="G23" s="336">
        <v>1800000</v>
      </c>
      <c r="H23" s="336">
        <f t="shared" si="4"/>
        <v>3500000</v>
      </c>
      <c r="I23" s="336"/>
      <c r="J23" s="336">
        <v>1500000</v>
      </c>
      <c r="K23" s="336">
        <f t="shared" si="5"/>
        <v>3800000</v>
      </c>
      <c r="L23" s="336">
        <f t="shared" si="6"/>
        <v>1500000</v>
      </c>
      <c r="M23" s="336">
        <v>500000</v>
      </c>
      <c r="N23" s="336">
        <f t="shared" si="7"/>
        <v>1000000</v>
      </c>
      <c r="O23" s="336">
        <f t="shared" si="8"/>
        <v>1000000</v>
      </c>
      <c r="P23" s="336"/>
      <c r="Q23" s="336"/>
      <c r="R23" s="336"/>
      <c r="S23" s="336"/>
      <c r="T23" s="336">
        <v>1000000</v>
      </c>
      <c r="U23" s="336"/>
      <c r="V23" s="336"/>
      <c r="W23" s="336"/>
      <c r="X23" s="336"/>
      <c r="Y23" s="336"/>
      <c r="Z23" s="336"/>
      <c r="AA23" s="336"/>
      <c r="AB23" s="336"/>
      <c r="AC23" s="336"/>
      <c r="AD23" s="537"/>
      <c r="AE23" s="537"/>
      <c r="AF23" s="537"/>
      <c r="AG23" s="336">
        <f t="shared" si="9"/>
        <v>1000000</v>
      </c>
      <c r="AH23" s="336"/>
      <c r="AI23" s="336">
        <f t="shared" ref="AI23:AI44" si="10">AG23+AH23</f>
        <v>1000000</v>
      </c>
      <c r="AJ23" s="336">
        <f t="shared" ref="AJ23:AJ44" si="11">N23-AI23</f>
        <v>0</v>
      </c>
      <c r="AK23" s="336">
        <f t="shared" ref="AK23:AK44" si="12">AI23-AL23-AM23</f>
        <v>1000000</v>
      </c>
      <c r="AL23" s="336"/>
      <c r="AM23" s="336"/>
      <c r="AN23" s="336">
        <f t="shared" ref="AN23:AN44" si="13">AH23-AO23-AP23</f>
        <v>0</v>
      </c>
      <c r="AO23" s="336"/>
      <c r="AP23" s="591"/>
      <c r="AQ23" s="336">
        <f t="shared" ref="AQ23:AQ44" si="14">AJ23-AR23-AS23</f>
        <v>0</v>
      </c>
      <c r="AR23" s="336"/>
      <c r="AS23" s="591"/>
    </row>
    <row r="24" spans="1:45" s="264" customFormat="1">
      <c r="A24" s="580" t="s">
        <v>844</v>
      </c>
      <c r="B24" s="589" t="s">
        <v>845</v>
      </c>
      <c r="C24" s="332">
        <f t="shared" ref="C24:C44" si="15">C23+1</f>
        <v>3</v>
      </c>
      <c r="D24" s="332">
        <v>1462</v>
      </c>
      <c r="E24" s="582" t="s">
        <v>695</v>
      </c>
      <c r="F24" s="336">
        <v>7500000</v>
      </c>
      <c r="G24" s="336">
        <v>4600000</v>
      </c>
      <c r="H24" s="336">
        <f t="shared" si="4"/>
        <v>2900000</v>
      </c>
      <c r="I24" s="336">
        <v>4600000</v>
      </c>
      <c r="J24" s="336">
        <v>2900000</v>
      </c>
      <c r="K24" s="336">
        <f t="shared" si="5"/>
        <v>0</v>
      </c>
      <c r="L24" s="336">
        <f t="shared" si="6"/>
        <v>2900000</v>
      </c>
      <c r="M24" s="336"/>
      <c r="N24" s="336">
        <f t="shared" si="7"/>
        <v>2900000</v>
      </c>
      <c r="O24" s="336">
        <f t="shared" si="8"/>
        <v>2900000</v>
      </c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537"/>
      <c r="AE24" s="537"/>
      <c r="AF24" s="537"/>
      <c r="AG24" s="336">
        <f t="shared" si="9"/>
        <v>0</v>
      </c>
      <c r="AH24" s="336"/>
      <c r="AI24" s="336">
        <f t="shared" si="10"/>
        <v>0</v>
      </c>
      <c r="AJ24" s="336">
        <f t="shared" si="11"/>
        <v>2900000</v>
      </c>
      <c r="AK24" s="336">
        <f t="shared" si="12"/>
        <v>0</v>
      </c>
      <c r="AL24" s="336"/>
      <c r="AM24" s="336"/>
      <c r="AN24" s="336">
        <f t="shared" si="13"/>
        <v>0</v>
      </c>
      <c r="AO24" s="336"/>
      <c r="AP24" s="591"/>
      <c r="AQ24" s="336">
        <f t="shared" si="14"/>
        <v>2900000</v>
      </c>
      <c r="AR24" s="336"/>
      <c r="AS24" s="591"/>
    </row>
    <row r="25" spans="1:45" s="264" customFormat="1">
      <c r="A25" s="580" t="s">
        <v>844</v>
      </c>
      <c r="B25" s="589" t="s">
        <v>845</v>
      </c>
      <c r="C25" s="332">
        <f t="shared" si="15"/>
        <v>4</v>
      </c>
      <c r="D25" s="332">
        <v>1539</v>
      </c>
      <c r="E25" s="582" t="s">
        <v>1099</v>
      </c>
      <c r="F25" s="336">
        <v>16300000</v>
      </c>
      <c r="G25" s="336">
        <v>16300000</v>
      </c>
      <c r="H25" s="336">
        <f t="shared" si="4"/>
        <v>0</v>
      </c>
      <c r="I25" s="336">
        <v>1300000</v>
      </c>
      <c r="J25" s="336">
        <v>15000000</v>
      </c>
      <c r="K25" s="336">
        <f t="shared" si="5"/>
        <v>0</v>
      </c>
      <c r="L25" s="336">
        <f t="shared" si="6"/>
        <v>15000000</v>
      </c>
      <c r="M25" s="336">
        <v>3000000</v>
      </c>
      <c r="N25" s="336">
        <f t="shared" si="7"/>
        <v>12000000</v>
      </c>
      <c r="O25" s="336">
        <f t="shared" si="8"/>
        <v>12000000</v>
      </c>
      <c r="P25" s="336"/>
      <c r="Q25" s="336"/>
      <c r="R25" s="336"/>
      <c r="S25" s="336"/>
      <c r="T25" s="336"/>
      <c r="U25" s="336">
        <v>2500000</v>
      </c>
      <c r="V25" s="336"/>
      <c r="W25" s="593">
        <v>4440068</v>
      </c>
      <c r="X25" s="336"/>
      <c r="Y25" s="336"/>
      <c r="Z25" s="336"/>
      <c r="AA25" s="336"/>
      <c r="AB25" s="336"/>
      <c r="AC25" s="336"/>
      <c r="AD25" s="537"/>
      <c r="AE25" s="537"/>
      <c r="AF25" s="537"/>
      <c r="AG25" s="336">
        <f t="shared" si="9"/>
        <v>6940068</v>
      </c>
      <c r="AH25" s="336"/>
      <c r="AI25" s="336">
        <f t="shared" si="10"/>
        <v>6940068</v>
      </c>
      <c r="AJ25" s="336">
        <f t="shared" si="11"/>
        <v>5059932</v>
      </c>
      <c r="AK25" s="336">
        <f t="shared" si="12"/>
        <v>6940068</v>
      </c>
      <c r="AL25" s="336"/>
      <c r="AM25" s="336"/>
      <c r="AN25" s="336">
        <f t="shared" si="13"/>
        <v>0</v>
      </c>
      <c r="AO25" s="336"/>
      <c r="AP25" s="591"/>
      <c r="AQ25" s="336">
        <f t="shared" si="14"/>
        <v>5059932</v>
      </c>
      <c r="AR25" s="336"/>
      <c r="AS25" s="591"/>
    </row>
    <row r="26" spans="1:45" s="264" customFormat="1" ht="31.5">
      <c r="A26" s="580" t="s">
        <v>844</v>
      </c>
      <c r="B26" s="589" t="s">
        <v>845</v>
      </c>
      <c r="C26" s="332">
        <f t="shared" si="15"/>
        <v>5</v>
      </c>
      <c r="D26" s="335">
        <v>382</v>
      </c>
      <c r="E26" s="582" t="s">
        <v>847</v>
      </c>
      <c r="F26" s="336">
        <v>45781930</v>
      </c>
      <c r="G26" s="336">
        <v>45781930</v>
      </c>
      <c r="H26" s="336">
        <f t="shared" si="4"/>
        <v>0</v>
      </c>
      <c r="I26" s="336">
        <v>36881330</v>
      </c>
      <c r="J26" s="336"/>
      <c r="K26" s="336">
        <f t="shared" si="5"/>
        <v>8900600</v>
      </c>
      <c r="L26" s="336">
        <f t="shared" si="6"/>
        <v>0</v>
      </c>
      <c r="M26" s="336">
        <v>8900600</v>
      </c>
      <c r="N26" s="336">
        <f t="shared" si="7"/>
        <v>-8900600</v>
      </c>
      <c r="O26" s="336">
        <f t="shared" si="8"/>
        <v>-8900600</v>
      </c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6"/>
      <c r="AD26" s="537"/>
      <c r="AE26" s="537"/>
      <c r="AF26" s="537"/>
      <c r="AG26" s="336">
        <f t="shared" si="9"/>
        <v>0</v>
      </c>
      <c r="AH26" s="336"/>
      <c r="AI26" s="336">
        <f t="shared" si="10"/>
        <v>0</v>
      </c>
      <c r="AJ26" s="336">
        <f t="shared" si="11"/>
        <v>-8900600</v>
      </c>
      <c r="AK26" s="336">
        <f t="shared" si="12"/>
        <v>0</v>
      </c>
      <c r="AL26" s="336"/>
      <c r="AM26" s="336"/>
      <c r="AN26" s="336">
        <f t="shared" si="13"/>
        <v>0</v>
      </c>
      <c r="AO26" s="336"/>
      <c r="AP26" s="591"/>
      <c r="AQ26" s="336">
        <f t="shared" si="14"/>
        <v>-8900600</v>
      </c>
      <c r="AR26" s="336"/>
      <c r="AS26" s="591"/>
    </row>
    <row r="27" spans="1:45" s="264" customFormat="1">
      <c r="A27" s="580" t="s">
        <v>844</v>
      </c>
      <c r="B27" s="589" t="s">
        <v>845</v>
      </c>
      <c r="C27" s="332">
        <f t="shared" si="15"/>
        <v>6</v>
      </c>
      <c r="D27" s="332">
        <v>1657</v>
      </c>
      <c r="E27" s="582" t="s">
        <v>1100</v>
      </c>
      <c r="F27" s="336">
        <v>60000000</v>
      </c>
      <c r="G27" s="336">
        <v>60000000</v>
      </c>
      <c r="H27" s="336">
        <f t="shared" si="4"/>
        <v>0</v>
      </c>
      <c r="I27" s="336">
        <v>2700000</v>
      </c>
      <c r="J27" s="336">
        <v>8000000</v>
      </c>
      <c r="K27" s="336">
        <f t="shared" si="5"/>
        <v>49300000</v>
      </c>
      <c r="L27" s="336">
        <f t="shared" si="6"/>
        <v>8000000</v>
      </c>
      <c r="M27" s="336">
        <v>14000000</v>
      </c>
      <c r="N27" s="336">
        <f t="shared" si="7"/>
        <v>-6000000</v>
      </c>
      <c r="O27" s="336">
        <f t="shared" si="8"/>
        <v>-6000000</v>
      </c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537"/>
      <c r="AE27" s="537"/>
      <c r="AF27" s="537"/>
      <c r="AG27" s="336">
        <f t="shared" si="9"/>
        <v>0</v>
      </c>
      <c r="AH27" s="336"/>
      <c r="AI27" s="336">
        <f t="shared" si="10"/>
        <v>0</v>
      </c>
      <c r="AJ27" s="336">
        <f t="shared" si="11"/>
        <v>-6000000</v>
      </c>
      <c r="AK27" s="336">
        <f t="shared" si="12"/>
        <v>0</v>
      </c>
      <c r="AL27" s="336"/>
      <c r="AM27" s="336"/>
      <c r="AN27" s="336">
        <f t="shared" si="13"/>
        <v>0</v>
      </c>
      <c r="AO27" s="336"/>
      <c r="AP27" s="591"/>
      <c r="AQ27" s="336">
        <f t="shared" si="14"/>
        <v>-6000000</v>
      </c>
      <c r="AR27" s="336"/>
      <c r="AS27" s="591"/>
    </row>
    <row r="28" spans="1:45" s="264" customFormat="1">
      <c r="A28" s="580" t="s">
        <v>848</v>
      </c>
      <c r="B28" s="589" t="s">
        <v>845</v>
      </c>
      <c r="C28" s="332">
        <f t="shared" si="15"/>
        <v>7</v>
      </c>
      <c r="D28" s="332">
        <v>1991</v>
      </c>
      <c r="E28" s="582" t="s">
        <v>849</v>
      </c>
      <c r="F28" s="336">
        <v>2000000</v>
      </c>
      <c r="G28" s="336"/>
      <c r="H28" s="336">
        <f t="shared" si="4"/>
        <v>2000000</v>
      </c>
      <c r="I28" s="336"/>
      <c r="J28" s="336">
        <v>2000000</v>
      </c>
      <c r="K28" s="336">
        <f t="shared" si="5"/>
        <v>0</v>
      </c>
      <c r="L28" s="336">
        <f t="shared" si="6"/>
        <v>2000000</v>
      </c>
      <c r="M28" s="336"/>
      <c r="N28" s="336">
        <f t="shared" si="7"/>
        <v>2000000</v>
      </c>
      <c r="O28" s="336">
        <f t="shared" si="8"/>
        <v>0</v>
      </c>
      <c r="P28" s="336">
        <v>2000000</v>
      </c>
      <c r="Q28" s="336"/>
      <c r="R28" s="336"/>
      <c r="S28" s="336"/>
      <c r="T28" s="336"/>
      <c r="U28" s="336">
        <v>2000000</v>
      </c>
      <c r="V28" s="336"/>
      <c r="W28" s="336"/>
      <c r="X28" s="336"/>
      <c r="Y28" s="336"/>
      <c r="Z28" s="336"/>
      <c r="AA28" s="336"/>
      <c r="AB28" s="336"/>
      <c r="AC28" s="336"/>
      <c r="AD28" s="537"/>
      <c r="AE28" s="537"/>
      <c r="AF28" s="537"/>
      <c r="AG28" s="336">
        <f t="shared" si="9"/>
        <v>2000000</v>
      </c>
      <c r="AH28" s="336"/>
      <c r="AI28" s="336">
        <f t="shared" si="10"/>
        <v>2000000</v>
      </c>
      <c r="AJ28" s="336">
        <f t="shared" si="11"/>
        <v>0</v>
      </c>
      <c r="AK28" s="336">
        <f t="shared" si="12"/>
        <v>0</v>
      </c>
      <c r="AL28" s="336">
        <v>2000000</v>
      </c>
      <c r="AM28" s="336"/>
      <c r="AN28" s="336">
        <f t="shared" si="13"/>
        <v>0</v>
      </c>
      <c r="AO28" s="336"/>
      <c r="AP28" s="591"/>
      <c r="AQ28" s="336">
        <f t="shared" si="14"/>
        <v>0</v>
      </c>
      <c r="AR28" s="336"/>
      <c r="AS28" s="591"/>
    </row>
    <row r="29" spans="1:45" s="264" customFormat="1">
      <c r="A29" s="580" t="s">
        <v>848</v>
      </c>
      <c r="B29" s="589" t="s">
        <v>845</v>
      </c>
      <c r="C29" s="332">
        <f t="shared" si="15"/>
        <v>8</v>
      </c>
      <c r="D29" s="332">
        <v>1539</v>
      </c>
      <c r="E29" s="582" t="s">
        <v>1101</v>
      </c>
      <c r="F29" s="336">
        <v>16300000</v>
      </c>
      <c r="G29" s="336">
        <v>16300000</v>
      </c>
      <c r="H29" s="336">
        <f t="shared" si="4"/>
        <v>0</v>
      </c>
      <c r="I29" s="336">
        <v>1300000</v>
      </c>
      <c r="J29" s="336">
        <v>15000000</v>
      </c>
      <c r="K29" s="336">
        <f t="shared" si="5"/>
        <v>0</v>
      </c>
      <c r="L29" s="336">
        <f t="shared" si="6"/>
        <v>15000000</v>
      </c>
      <c r="M29" s="336">
        <v>15000000</v>
      </c>
      <c r="N29" s="336">
        <f t="shared" si="7"/>
        <v>0</v>
      </c>
      <c r="O29" s="336">
        <f t="shared" si="8"/>
        <v>-4440068</v>
      </c>
      <c r="P29" s="336"/>
      <c r="Q29" s="336">
        <v>4440068</v>
      </c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537"/>
      <c r="AE29" s="537"/>
      <c r="AF29" s="537"/>
      <c r="AG29" s="336">
        <f t="shared" si="9"/>
        <v>0</v>
      </c>
      <c r="AH29" s="336"/>
      <c r="AI29" s="336">
        <f t="shared" si="10"/>
        <v>0</v>
      </c>
      <c r="AJ29" s="336">
        <f t="shared" si="11"/>
        <v>0</v>
      </c>
      <c r="AK29" s="336">
        <f t="shared" si="12"/>
        <v>-4440068</v>
      </c>
      <c r="AL29" s="336"/>
      <c r="AM29" s="336">
        <v>4440068</v>
      </c>
      <c r="AN29" s="336">
        <f t="shared" si="13"/>
        <v>0</v>
      </c>
      <c r="AO29" s="336"/>
      <c r="AP29" s="591"/>
      <c r="AQ29" s="336">
        <f t="shared" si="14"/>
        <v>0</v>
      </c>
      <c r="AR29" s="336"/>
      <c r="AS29" s="591"/>
    </row>
    <row r="30" spans="1:45" s="264" customFormat="1">
      <c r="A30" s="580" t="s">
        <v>848</v>
      </c>
      <c r="B30" s="589" t="s">
        <v>845</v>
      </c>
      <c r="C30" s="332">
        <f t="shared" si="15"/>
        <v>9</v>
      </c>
      <c r="D30" s="332">
        <v>1312</v>
      </c>
      <c r="E30" s="582" t="s">
        <v>850</v>
      </c>
      <c r="F30" s="336">
        <v>115000000</v>
      </c>
      <c r="G30" s="336">
        <v>115000000</v>
      </c>
      <c r="H30" s="336">
        <f t="shared" si="4"/>
        <v>0</v>
      </c>
      <c r="I30" s="336">
        <f>48778528+60221472</f>
        <v>109000000</v>
      </c>
      <c r="J30" s="336">
        <v>500000</v>
      </c>
      <c r="K30" s="336">
        <f t="shared" si="5"/>
        <v>5500000</v>
      </c>
      <c r="L30" s="336">
        <f t="shared" si="6"/>
        <v>500000</v>
      </c>
      <c r="M30" s="336"/>
      <c r="N30" s="336">
        <f t="shared" si="7"/>
        <v>500000</v>
      </c>
      <c r="O30" s="336">
        <f t="shared" si="8"/>
        <v>500000</v>
      </c>
      <c r="P30" s="336"/>
      <c r="Q30" s="336"/>
      <c r="R30" s="336"/>
      <c r="S30" s="336"/>
      <c r="T30" s="336"/>
      <c r="U30" s="336"/>
      <c r="V30" s="336"/>
      <c r="W30" s="593">
        <v>500000</v>
      </c>
      <c r="X30" s="336"/>
      <c r="Y30" s="336"/>
      <c r="Z30" s="336"/>
      <c r="AA30" s="336"/>
      <c r="AB30" s="336"/>
      <c r="AC30" s="336"/>
      <c r="AD30" s="537"/>
      <c r="AE30" s="537"/>
      <c r="AF30" s="537"/>
      <c r="AG30" s="336">
        <f>SUM(R30:AF30)</f>
        <v>500000</v>
      </c>
      <c r="AH30" s="336"/>
      <c r="AI30" s="336">
        <f t="shared" si="10"/>
        <v>500000</v>
      </c>
      <c r="AJ30" s="336">
        <f t="shared" si="11"/>
        <v>0</v>
      </c>
      <c r="AK30" s="336">
        <f t="shared" si="12"/>
        <v>500000</v>
      </c>
      <c r="AL30" s="336"/>
      <c r="AM30" s="336"/>
      <c r="AN30" s="336">
        <f t="shared" si="13"/>
        <v>0</v>
      </c>
      <c r="AO30" s="336"/>
      <c r="AP30" s="591"/>
      <c r="AQ30" s="336">
        <f t="shared" si="14"/>
        <v>0</v>
      </c>
      <c r="AR30" s="336"/>
      <c r="AS30" s="591"/>
    </row>
    <row r="31" spans="1:45" s="264" customFormat="1">
      <c r="A31" s="580" t="s">
        <v>848</v>
      </c>
      <c r="B31" s="589" t="s">
        <v>845</v>
      </c>
      <c r="C31" s="332">
        <f t="shared" si="15"/>
        <v>10</v>
      </c>
      <c r="D31" s="332">
        <v>1908</v>
      </c>
      <c r="E31" s="582" t="s">
        <v>335</v>
      </c>
      <c r="F31" s="336">
        <v>16000000</v>
      </c>
      <c r="G31" s="336">
        <v>16000000</v>
      </c>
      <c r="H31" s="336">
        <f t="shared" si="4"/>
        <v>0</v>
      </c>
      <c r="I31" s="336">
        <v>1000000</v>
      </c>
      <c r="J31" s="336">
        <v>13932067</v>
      </c>
      <c r="K31" s="336">
        <f t="shared" si="5"/>
        <v>1067933</v>
      </c>
      <c r="L31" s="336">
        <f t="shared" si="6"/>
        <v>13932067</v>
      </c>
      <c r="M31" s="336">
        <v>6500000</v>
      </c>
      <c r="N31" s="336">
        <f t="shared" si="7"/>
        <v>7432067</v>
      </c>
      <c r="O31" s="336">
        <f t="shared" si="8"/>
        <v>0</v>
      </c>
      <c r="P31" s="336"/>
      <c r="Q31" s="336">
        <v>7432067</v>
      </c>
      <c r="R31" s="336"/>
      <c r="S31" s="336"/>
      <c r="T31" s="336"/>
      <c r="U31" s="336"/>
      <c r="V31" s="336">
        <v>7432067</v>
      </c>
      <c r="W31" s="336"/>
      <c r="X31" s="336"/>
      <c r="Y31" s="336"/>
      <c r="Z31" s="336"/>
      <c r="AA31" s="336"/>
      <c r="AB31" s="336"/>
      <c r="AC31" s="336"/>
      <c r="AD31" s="537"/>
      <c r="AE31" s="537"/>
      <c r="AF31" s="537"/>
      <c r="AG31" s="336">
        <f>SUM(R31:AF31)</f>
        <v>7432067</v>
      </c>
      <c r="AH31" s="336"/>
      <c r="AI31" s="336">
        <f t="shared" si="10"/>
        <v>7432067</v>
      </c>
      <c r="AJ31" s="336">
        <f t="shared" si="11"/>
        <v>0</v>
      </c>
      <c r="AK31" s="336">
        <f t="shared" si="12"/>
        <v>0</v>
      </c>
      <c r="AL31" s="336"/>
      <c r="AM31" s="336">
        <v>7432067</v>
      </c>
      <c r="AN31" s="336">
        <f t="shared" si="13"/>
        <v>0</v>
      </c>
      <c r="AO31" s="336"/>
      <c r="AP31" s="591"/>
      <c r="AQ31" s="336">
        <f t="shared" si="14"/>
        <v>0</v>
      </c>
      <c r="AR31" s="336"/>
      <c r="AS31" s="591"/>
    </row>
    <row r="32" spans="1:45" s="264" customFormat="1" ht="31.5">
      <c r="A32" s="580" t="s">
        <v>848</v>
      </c>
      <c r="B32" s="589" t="s">
        <v>845</v>
      </c>
      <c r="C32" s="332">
        <f t="shared" si="15"/>
        <v>11</v>
      </c>
      <c r="D32" s="335">
        <v>1911</v>
      </c>
      <c r="E32" s="582" t="s">
        <v>1102</v>
      </c>
      <c r="F32" s="336">
        <v>16000000</v>
      </c>
      <c r="G32" s="336">
        <v>16000000</v>
      </c>
      <c r="H32" s="336">
        <f t="shared" si="4"/>
        <v>0</v>
      </c>
      <c r="I32" s="336">
        <v>750000</v>
      </c>
      <c r="J32" s="336">
        <v>10057067</v>
      </c>
      <c r="K32" s="336">
        <f t="shared" si="5"/>
        <v>5192933</v>
      </c>
      <c r="L32" s="336">
        <f t="shared" si="6"/>
        <v>10057067</v>
      </c>
      <c r="M32" s="336">
        <v>2625000</v>
      </c>
      <c r="N32" s="336">
        <f t="shared" si="7"/>
        <v>7432067</v>
      </c>
      <c r="O32" s="336">
        <f t="shared" si="8"/>
        <v>0</v>
      </c>
      <c r="P32" s="336"/>
      <c r="Q32" s="336">
        <v>7432067</v>
      </c>
      <c r="R32" s="336"/>
      <c r="S32" s="336"/>
      <c r="T32" s="336"/>
      <c r="U32" s="336"/>
      <c r="V32" s="336">
        <v>7432067</v>
      </c>
      <c r="W32" s="336"/>
      <c r="X32" s="336"/>
      <c r="Y32" s="336"/>
      <c r="Z32" s="336"/>
      <c r="AA32" s="336"/>
      <c r="AB32" s="336"/>
      <c r="AC32" s="336"/>
      <c r="AD32" s="537"/>
      <c r="AE32" s="537"/>
      <c r="AF32" s="537"/>
      <c r="AG32" s="336">
        <f t="shared" si="9"/>
        <v>7432067</v>
      </c>
      <c r="AH32" s="336"/>
      <c r="AI32" s="336">
        <f t="shared" si="10"/>
        <v>7432067</v>
      </c>
      <c r="AJ32" s="336">
        <f t="shared" si="11"/>
        <v>0</v>
      </c>
      <c r="AK32" s="336">
        <f t="shared" si="12"/>
        <v>0</v>
      </c>
      <c r="AL32" s="336"/>
      <c r="AM32" s="336">
        <v>7432067</v>
      </c>
      <c r="AN32" s="336">
        <f t="shared" si="13"/>
        <v>0</v>
      </c>
      <c r="AO32" s="336"/>
      <c r="AP32" s="591"/>
      <c r="AQ32" s="336">
        <f t="shared" si="14"/>
        <v>0</v>
      </c>
      <c r="AR32" s="336"/>
      <c r="AS32" s="591"/>
    </row>
    <row r="33" spans="1:45" s="264" customFormat="1">
      <c r="A33" s="580" t="s">
        <v>837</v>
      </c>
      <c r="B33" s="589" t="s">
        <v>838</v>
      </c>
      <c r="C33" s="332">
        <f t="shared" si="15"/>
        <v>12</v>
      </c>
      <c r="D33" s="332">
        <v>1402</v>
      </c>
      <c r="E33" s="582" t="s">
        <v>851</v>
      </c>
      <c r="F33" s="336">
        <v>7700000</v>
      </c>
      <c r="G33" s="336">
        <v>6500000</v>
      </c>
      <c r="H33" s="336">
        <f t="shared" si="4"/>
        <v>1200000</v>
      </c>
      <c r="I33" s="336">
        <v>6500000</v>
      </c>
      <c r="J33" s="336">
        <v>1200000</v>
      </c>
      <c r="K33" s="336">
        <f t="shared" si="5"/>
        <v>0</v>
      </c>
      <c r="L33" s="336">
        <f t="shared" si="6"/>
        <v>1200000</v>
      </c>
      <c r="M33" s="336"/>
      <c r="N33" s="336">
        <f t="shared" si="7"/>
        <v>1200000</v>
      </c>
      <c r="O33" s="336">
        <f t="shared" si="8"/>
        <v>1200000</v>
      </c>
      <c r="P33" s="336"/>
      <c r="Q33" s="336"/>
      <c r="R33" s="336"/>
      <c r="S33" s="336"/>
      <c r="T33" s="336"/>
      <c r="U33" s="336"/>
      <c r="V33" s="336"/>
      <c r="W33" s="593">
        <v>1200000</v>
      </c>
      <c r="X33" s="336"/>
      <c r="Y33" s="336"/>
      <c r="Z33" s="336"/>
      <c r="AA33" s="336"/>
      <c r="AB33" s="336"/>
      <c r="AC33" s="336"/>
      <c r="AD33" s="537"/>
      <c r="AE33" s="537"/>
      <c r="AF33" s="537"/>
      <c r="AG33" s="336">
        <f t="shared" si="9"/>
        <v>1200000</v>
      </c>
      <c r="AH33" s="336"/>
      <c r="AI33" s="336">
        <f t="shared" si="10"/>
        <v>1200000</v>
      </c>
      <c r="AJ33" s="336">
        <f t="shared" si="11"/>
        <v>0</v>
      </c>
      <c r="AK33" s="336">
        <f t="shared" si="12"/>
        <v>1200000</v>
      </c>
      <c r="AL33" s="336"/>
      <c r="AM33" s="336"/>
      <c r="AN33" s="336">
        <f t="shared" si="13"/>
        <v>0</v>
      </c>
      <c r="AO33" s="336"/>
      <c r="AP33" s="591"/>
      <c r="AQ33" s="336">
        <f t="shared" si="14"/>
        <v>0</v>
      </c>
      <c r="AR33" s="336"/>
      <c r="AS33" s="591"/>
    </row>
    <row r="34" spans="1:45" s="264" customFormat="1">
      <c r="A34" s="580" t="s">
        <v>837</v>
      </c>
      <c r="B34" s="589" t="s">
        <v>838</v>
      </c>
      <c r="C34" s="332">
        <f t="shared" si="15"/>
        <v>13</v>
      </c>
      <c r="D34" s="332">
        <v>576</v>
      </c>
      <c r="E34" s="582" t="s">
        <v>1103</v>
      </c>
      <c r="F34" s="336">
        <v>45113000</v>
      </c>
      <c r="G34" s="336">
        <v>46313000</v>
      </c>
      <c r="H34" s="336">
        <f t="shared" si="4"/>
        <v>-1200000</v>
      </c>
      <c r="I34" s="336">
        <f>45113000-1200000</f>
        <v>43913000</v>
      </c>
      <c r="J34" s="336"/>
      <c r="K34" s="336">
        <f t="shared" si="5"/>
        <v>1200000</v>
      </c>
      <c r="L34" s="336">
        <f t="shared" si="6"/>
        <v>0</v>
      </c>
      <c r="M34" s="336">
        <v>1200000</v>
      </c>
      <c r="N34" s="336">
        <f t="shared" si="7"/>
        <v>-1200000</v>
      </c>
      <c r="O34" s="336">
        <f t="shared" si="8"/>
        <v>-1200000</v>
      </c>
      <c r="P34" s="336"/>
      <c r="Q34" s="336"/>
      <c r="R34" s="336"/>
      <c r="S34" s="336"/>
      <c r="T34" s="336"/>
      <c r="U34" s="336"/>
      <c r="V34" s="336"/>
      <c r="W34" s="593"/>
      <c r="X34" s="336"/>
      <c r="Y34" s="336"/>
      <c r="Z34" s="336"/>
      <c r="AA34" s="336"/>
      <c r="AB34" s="336"/>
      <c r="AC34" s="336"/>
      <c r="AD34" s="537"/>
      <c r="AE34" s="537"/>
      <c r="AF34" s="537"/>
      <c r="AG34" s="336">
        <f t="shared" si="9"/>
        <v>0</v>
      </c>
      <c r="AH34" s="336">
        <v>-1200000</v>
      </c>
      <c r="AI34" s="336">
        <f t="shared" si="10"/>
        <v>-1200000</v>
      </c>
      <c r="AJ34" s="336">
        <f t="shared" si="11"/>
        <v>0</v>
      </c>
      <c r="AK34" s="336">
        <f t="shared" si="12"/>
        <v>-1200000</v>
      </c>
      <c r="AL34" s="336"/>
      <c r="AM34" s="336"/>
      <c r="AN34" s="336">
        <f t="shared" si="13"/>
        <v>-1200000</v>
      </c>
      <c r="AO34" s="336"/>
      <c r="AP34" s="591"/>
      <c r="AQ34" s="336">
        <f t="shared" si="14"/>
        <v>0</v>
      </c>
      <c r="AR34" s="336"/>
      <c r="AS34" s="591"/>
    </row>
    <row r="35" spans="1:45" s="264" customFormat="1">
      <c r="A35" s="580" t="s">
        <v>840</v>
      </c>
      <c r="B35" s="589" t="s">
        <v>841</v>
      </c>
      <c r="C35" s="332">
        <f t="shared" si="15"/>
        <v>14</v>
      </c>
      <c r="D35" s="332">
        <v>1909</v>
      </c>
      <c r="E35" s="582" t="s">
        <v>852</v>
      </c>
      <c r="F35" s="336">
        <v>12000000</v>
      </c>
      <c r="G35" s="336">
        <v>10000000</v>
      </c>
      <c r="H35" s="336">
        <f t="shared" si="4"/>
        <v>2000000</v>
      </c>
      <c r="I35" s="336">
        <v>650000</v>
      </c>
      <c r="J35" s="336">
        <v>5637500</v>
      </c>
      <c r="K35" s="336">
        <f t="shared" si="5"/>
        <v>5712500</v>
      </c>
      <c r="L35" s="336">
        <f t="shared" si="6"/>
        <v>5637500</v>
      </c>
      <c r="M35" s="336">
        <v>4675000</v>
      </c>
      <c r="N35" s="336">
        <f t="shared" si="7"/>
        <v>962500</v>
      </c>
      <c r="O35" s="336">
        <f t="shared" si="8"/>
        <v>150000</v>
      </c>
      <c r="P35" s="336"/>
      <c r="Q35" s="336">
        <v>812500</v>
      </c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537"/>
      <c r="AE35" s="537"/>
      <c r="AF35" s="537"/>
      <c r="AG35" s="336">
        <f t="shared" si="9"/>
        <v>0</v>
      </c>
      <c r="AH35" s="336"/>
      <c r="AI35" s="336">
        <f t="shared" si="10"/>
        <v>0</v>
      </c>
      <c r="AJ35" s="336">
        <f t="shared" si="11"/>
        <v>962500</v>
      </c>
      <c r="AK35" s="336">
        <f t="shared" si="12"/>
        <v>0</v>
      </c>
      <c r="AL35" s="336"/>
      <c r="AM35" s="336"/>
      <c r="AN35" s="336">
        <f t="shared" si="13"/>
        <v>0</v>
      </c>
      <c r="AO35" s="336"/>
      <c r="AP35" s="591"/>
      <c r="AQ35" s="336">
        <f t="shared" si="14"/>
        <v>150000</v>
      </c>
      <c r="AR35" s="336"/>
      <c r="AS35" s="591">
        <v>812500</v>
      </c>
    </row>
    <row r="36" spans="1:45" s="264" customFormat="1" ht="31.5">
      <c r="A36" s="580" t="s">
        <v>840</v>
      </c>
      <c r="B36" s="589" t="s">
        <v>841</v>
      </c>
      <c r="C36" s="332">
        <f t="shared" si="15"/>
        <v>15</v>
      </c>
      <c r="D36" s="335">
        <v>1911</v>
      </c>
      <c r="E36" s="582" t="s">
        <v>1104</v>
      </c>
      <c r="F36" s="336">
        <v>23500000</v>
      </c>
      <c r="G36" s="336">
        <v>16000000</v>
      </c>
      <c r="H36" s="336">
        <f t="shared" si="4"/>
        <v>7500000</v>
      </c>
      <c r="I36" s="336">
        <v>750000</v>
      </c>
      <c r="J36" s="336">
        <v>12994567</v>
      </c>
      <c r="K36" s="336">
        <f t="shared" si="5"/>
        <v>9755433</v>
      </c>
      <c r="L36" s="336">
        <f t="shared" si="6"/>
        <v>12994567</v>
      </c>
      <c r="M36" s="336">
        <v>10057067</v>
      </c>
      <c r="N36" s="336">
        <f t="shared" si="7"/>
        <v>2937500</v>
      </c>
      <c r="O36" s="336">
        <f t="shared" si="8"/>
        <v>500000</v>
      </c>
      <c r="P36" s="336"/>
      <c r="Q36" s="336">
        <f>4062500-1625000</f>
        <v>2437500</v>
      </c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537"/>
      <c r="AE36" s="537"/>
      <c r="AF36" s="537"/>
      <c r="AG36" s="336">
        <f t="shared" si="9"/>
        <v>0</v>
      </c>
      <c r="AH36" s="336"/>
      <c r="AI36" s="336">
        <f t="shared" si="10"/>
        <v>0</v>
      </c>
      <c r="AJ36" s="336">
        <f t="shared" si="11"/>
        <v>2937500</v>
      </c>
      <c r="AK36" s="336">
        <f t="shared" si="12"/>
        <v>0</v>
      </c>
      <c r="AL36" s="336"/>
      <c r="AM36" s="336"/>
      <c r="AN36" s="336">
        <f t="shared" si="13"/>
        <v>0</v>
      </c>
      <c r="AO36" s="336"/>
      <c r="AP36" s="591"/>
      <c r="AQ36" s="336">
        <f t="shared" si="14"/>
        <v>500000</v>
      </c>
      <c r="AR36" s="336"/>
      <c r="AS36" s="591">
        <v>2437500</v>
      </c>
    </row>
    <row r="37" spans="1:45" s="264" customFormat="1" ht="31.5">
      <c r="A37" s="580" t="s">
        <v>840</v>
      </c>
      <c r="B37" s="589" t="s">
        <v>841</v>
      </c>
      <c r="C37" s="332">
        <f t="shared" si="15"/>
        <v>16</v>
      </c>
      <c r="D37" s="335">
        <v>1964</v>
      </c>
      <c r="E37" s="582" t="s">
        <v>1105</v>
      </c>
      <c r="F37" s="336">
        <v>0</v>
      </c>
      <c r="G37" s="336">
        <v>10000000</v>
      </c>
      <c r="H37" s="336">
        <f t="shared" si="4"/>
        <v>-10000000</v>
      </c>
      <c r="I37" s="336"/>
      <c r="J37" s="336"/>
      <c r="K37" s="336">
        <f t="shared" si="5"/>
        <v>0</v>
      </c>
      <c r="L37" s="336">
        <f t="shared" si="6"/>
        <v>0</v>
      </c>
      <c r="M37" s="336">
        <v>650000</v>
      </c>
      <c r="N37" s="336">
        <f t="shared" si="7"/>
        <v>-650000</v>
      </c>
      <c r="O37" s="336">
        <f t="shared" si="8"/>
        <v>-650000</v>
      </c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  <c r="AA37" s="336"/>
      <c r="AB37" s="336"/>
      <c r="AC37" s="336"/>
      <c r="AD37" s="537"/>
      <c r="AE37" s="537"/>
      <c r="AF37" s="537"/>
      <c r="AG37" s="336">
        <f t="shared" si="9"/>
        <v>0</v>
      </c>
      <c r="AH37" s="336"/>
      <c r="AI37" s="336">
        <f t="shared" si="10"/>
        <v>0</v>
      </c>
      <c r="AJ37" s="336">
        <f t="shared" si="11"/>
        <v>-650000</v>
      </c>
      <c r="AK37" s="336">
        <f t="shared" si="12"/>
        <v>0</v>
      </c>
      <c r="AL37" s="336"/>
      <c r="AM37" s="336"/>
      <c r="AN37" s="336">
        <f t="shared" si="13"/>
        <v>0</v>
      </c>
      <c r="AO37" s="336"/>
      <c r="AP37" s="591"/>
      <c r="AQ37" s="336">
        <f t="shared" si="14"/>
        <v>-650000</v>
      </c>
      <c r="AR37" s="336"/>
      <c r="AS37" s="591"/>
    </row>
    <row r="38" spans="1:45" s="264" customFormat="1">
      <c r="A38" s="580" t="s">
        <v>840</v>
      </c>
      <c r="B38" s="589" t="s">
        <v>841</v>
      </c>
      <c r="C38" s="332">
        <f t="shared" si="15"/>
        <v>17</v>
      </c>
      <c r="D38" s="332">
        <v>1207</v>
      </c>
      <c r="E38" s="582" t="s">
        <v>171</v>
      </c>
      <c r="F38" s="336">
        <v>32500000</v>
      </c>
      <c r="G38" s="336">
        <v>32500000</v>
      </c>
      <c r="H38" s="336">
        <f t="shared" si="4"/>
        <v>0</v>
      </c>
      <c r="I38" s="336">
        <v>17800000</v>
      </c>
      <c r="J38" s="336">
        <v>3850000</v>
      </c>
      <c r="K38" s="336">
        <f t="shared" si="5"/>
        <v>10850000</v>
      </c>
      <c r="L38" s="336">
        <f t="shared" si="6"/>
        <v>3850000</v>
      </c>
      <c r="M38" s="336"/>
      <c r="N38" s="336">
        <f t="shared" si="7"/>
        <v>3850000</v>
      </c>
      <c r="O38" s="336">
        <f t="shared" si="8"/>
        <v>3850000</v>
      </c>
      <c r="P38" s="336"/>
      <c r="Q38" s="336"/>
      <c r="R38" s="336"/>
      <c r="S38" s="336"/>
      <c r="T38" s="336"/>
      <c r="U38" s="336"/>
      <c r="V38" s="336"/>
      <c r="W38" s="593">
        <v>3850000</v>
      </c>
      <c r="X38" s="336"/>
      <c r="Y38" s="336"/>
      <c r="Z38" s="336"/>
      <c r="AA38" s="336"/>
      <c r="AB38" s="336"/>
      <c r="AC38" s="336"/>
      <c r="AD38" s="537"/>
      <c r="AE38" s="537"/>
      <c r="AF38" s="537"/>
      <c r="AG38" s="336">
        <f t="shared" si="9"/>
        <v>3850000</v>
      </c>
      <c r="AH38" s="336"/>
      <c r="AI38" s="336">
        <f t="shared" si="10"/>
        <v>3850000</v>
      </c>
      <c r="AJ38" s="336">
        <f t="shared" si="11"/>
        <v>0</v>
      </c>
      <c r="AK38" s="336">
        <f t="shared" si="12"/>
        <v>3850000</v>
      </c>
      <c r="AL38" s="336"/>
      <c r="AM38" s="336"/>
      <c r="AN38" s="336">
        <f t="shared" si="13"/>
        <v>0</v>
      </c>
      <c r="AO38" s="336"/>
      <c r="AP38" s="591"/>
      <c r="AQ38" s="336">
        <f t="shared" si="14"/>
        <v>0</v>
      </c>
      <c r="AR38" s="336"/>
      <c r="AS38" s="591"/>
    </row>
    <row r="39" spans="1:45" s="264" customFormat="1">
      <c r="A39" s="580" t="s">
        <v>840</v>
      </c>
      <c r="B39" s="589" t="s">
        <v>841</v>
      </c>
      <c r="C39" s="332">
        <f t="shared" si="15"/>
        <v>18</v>
      </c>
      <c r="D39" s="332">
        <v>1403</v>
      </c>
      <c r="E39" s="582" t="s">
        <v>1106</v>
      </c>
      <c r="F39" s="336">
        <v>26050000</v>
      </c>
      <c r="G39" s="336">
        <v>26050000</v>
      </c>
      <c r="H39" s="336">
        <f t="shared" si="4"/>
        <v>0</v>
      </c>
      <c r="I39" s="336">
        <f>11500500+2549500</f>
        <v>14050000</v>
      </c>
      <c r="J39" s="336">
        <v>5000000</v>
      </c>
      <c r="K39" s="336">
        <f t="shared" si="5"/>
        <v>7000000</v>
      </c>
      <c r="L39" s="336">
        <f t="shared" si="6"/>
        <v>5000000</v>
      </c>
      <c r="M39" s="336">
        <v>5000000</v>
      </c>
      <c r="N39" s="336">
        <f t="shared" si="7"/>
        <v>0</v>
      </c>
      <c r="O39" s="336">
        <f t="shared" si="8"/>
        <v>-5300000</v>
      </c>
      <c r="P39" s="336"/>
      <c r="Q39" s="336">
        <v>5300000</v>
      </c>
      <c r="R39" s="336"/>
      <c r="S39" s="336"/>
      <c r="T39" s="336"/>
      <c r="U39" s="336"/>
      <c r="V39" s="336"/>
      <c r="W39" s="336"/>
      <c r="X39" s="336"/>
      <c r="Y39" s="336"/>
      <c r="Z39" s="336"/>
      <c r="AA39" s="336"/>
      <c r="AB39" s="336"/>
      <c r="AC39" s="336"/>
      <c r="AD39" s="537"/>
      <c r="AE39" s="537"/>
      <c r="AF39" s="537"/>
      <c r="AG39" s="336">
        <f t="shared" si="9"/>
        <v>0</v>
      </c>
      <c r="AH39" s="336"/>
      <c r="AI39" s="336">
        <f t="shared" si="10"/>
        <v>0</v>
      </c>
      <c r="AJ39" s="336">
        <f t="shared" si="11"/>
        <v>0</v>
      </c>
      <c r="AK39" s="336">
        <f t="shared" si="12"/>
        <v>0</v>
      </c>
      <c r="AL39" s="336"/>
      <c r="AM39" s="336"/>
      <c r="AN39" s="336">
        <f t="shared" si="13"/>
        <v>0</v>
      </c>
      <c r="AO39" s="336"/>
      <c r="AP39" s="591"/>
      <c r="AQ39" s="336">
        <f t="shared" si="14"/>
        <v>0</v>
      </c>
      <c r="AR39" s="336"/>
      <c r="AS39" s="591"/>
    </row>
    <row r="40" spans="1:45" s="264" customFormat="1">
      <c r="A40" s="580" t="s">
        <v>840</v>
      </c>
      <c r="B40" s="589" t="s">
        <v>841</v>
      </c>
      <c r="C40" s="332">
        <f t="shared" si="15"/>
        <v>19</v>
      </c>
      <c r="D40" s="332">
        <v>2002</v>
      </c>
      <c r="E40" s="582" t="s">
        <v>853</v>
      </c>
      <c r="F40" s="336">
        <v>865000</v>
      </c>
      <c r="G40" s="336"/>
      <c r="H40" s="336">
        <f t="shared" si="4"/>
        <v>865000</v>
      </c>
      <c r="I40" s="336"/>
      <c r="J40" s="336">
        <v>865000</v>
      </c>
      <c r="K40" s="336">
        <f t="shared" si="5"/>
        <v>0</v>
      </c>
      <c r="L40" s="336">
        <f t="shared" si="6"/>
        <v>865000</v>
      </c>
      <c r="M40" s="336"/>
      <c r="N40" s="336">
        <f t="shared" si="7"/>
        <v>865000</v>
      </c>
      <c r="O40" s="336">
        <f t="shared" si="8"/>
        <v>865000</v>
      </c>
      <c r="P40" s="336"/>
      <c r="Q40" s="336"/>
      <c r="R40" s="336"/>
      <c r="S40" s="336"/>
      <c r="T40" s="336"/>
      <c r="U40" s="336"/>
      <c r="V40" s="336"/>
      <c r="W40" s="594">
        <v>865000</v>
      </c>
      <c r="X40" s="336"/>
      <c r="Y40" s="336"/>
      <c r="Z40" s="336"/>
      <c r="AA40" s="336"/>
      <c r="AB40" s="336"/>
      <c r="AC40" s="336"/>
      <c r="AD40" s="537"/>
      <c r="AE40" s="537"/>
      <c r="AF40" s="537"/>
      <c r="AG40" s="336">
        <f t="shared" si="9"/>
        <v>865000</v>
      </c>
      <c r="AH40" s="336"/>
      <c r="AI40" s="336">
        <f t="shared" si="10"/>
        <v>865000</v>
      </c>
      <c r="AJ40" s="336">
        <f t="shared" si="11"/>
        <v>0</v>
      </c>
      <c r="AK40" s="336">
        <f t="shared" si="12"/>
        <v>865000</v>
      </c>
      <c r="AL40" s="336"/>
      <c r="AM40" s="336"/>
      <c r="AN40" s="336">
        <f t="shared" si="13"/>
        <v>0</v>
      </c>
      <c r="AO40" s="336"/>
      <c r="AP40" s="591"/>
      <c r="AQ40" s="336">
        <f t="shared" si="14"/>
        <v>0</v>
      </c>
      <c r="AR40" s="336"/>
      <c r="AS40" s="591"/>
    </row>
    <row r="41" spans="1:45" s="264" customFormat="1">
      <c r="A41" s="580" t="s">
        <v>854</v>
      </c>
      <c r="B41" s="589" t="s">
        <v>841</v>
      </c>
      <c r="C41" s="332">
        <f t="shared" si="15"/>
        <v>20</v>
      </c>
      <c r="D41" s="332">
        <v>1765</v>
      </c>
      <c r="E41" s="582" t="s">
        <v>1107</v>
      </c>
      <c r="F41" s="336">
        <v>2800000</v>
      </c>
      <c r="G41" s="336">
        <v>2800000</v>
      </c>
      <c r="H41" s="336">
        <f t="shared" si="4"/>
        <v>0</v>
      </c>
      <c r="I41" s="336">
        <v>2100000</v>
      </c>
      <c r="J41" s="336">
        <v>700000</v>
      </c>
      <c r="K41" s="336">
        <f t="shared" si="5"/>
        <v>0</v>
      </c>
      <c r="L41" s="336">
        <f t="shared" si="6"/>
        <v>700000</v>
      </c>
      <c r="M41" s="336">
        <v>700000</v>
      </c>
      <c r="N41" s="336">
        <f t="shared" si="7"/>
        <v>0</v>
      </c>
      <c r="O41" s="336">
        <f t="shared" si="8"/>
        <v>-500000</v>
      </c>
      <c r="P41" s="336"/>
      <c r="Q41" s="336">
        <v>500000</v>
      </c>
      <c r="R41" s="336"/>
      <c r="S41" s="336"/>
      <c r="T41" s="336"/>
      <c r="U41" s="336"/>
      <c r="V41" s="336"/>
      <c r="W41" s="590"/>
      <c r="X41" s="336"/>
      <c r="Y41" s="336"/>
      <c r="Z41" s="336"/>
      <c r="AA41" s="336"/>
      <c r="AB41" s="336"/>
      <c r="AC41" s="336"/>
      <c r="AD41" s="537"/>
      <c r="AE41" s="537"/>
      <c r="AF41" s="537"/>
      <c r="AG41" s="336">
        <f t="shared" si="9"/>
        <v>0</v>
      </c>
      <c r="AH41" s="336"/>
      <c r="AI41" s="336">
        <f t="shared" si="10"/>
        <v>0</v>
      </c>
      <c r="AJ41" s="336">
        <f t="shared" si="11"/>
        <v>0</v>
      </c>
      <c r="AK41" s="336">
        <f t="shared" si="12"/>
        <v>-500000</v>
      </c>
      <c r="AL41" s="336"/>
      <c r="AM41" s="336">
        <v>500000</v>
      </c>
      <c r="AN41" s="336">
        <f t="shared" si="13"/>
        <v>0</v>
      </c>
      <c r="AO41" s="336"/>
      <c r="AP41" s="591"/>
      <c r="AQ41" s="336">
        <f t="shared" si="14"/>
        <v>0</v>
      </c>
      <c r="AR41" s="336"/>
      <c r="AS41" s="591"/>
    </row>
    <row r="42" spans="1:45" s="264" customFormat="1" ht="31.5">
      <c r="A42" s="580" t="s">
        <v>854</v>
      </c>
      <c r="B42" s="589" t="s">
        <v>841</v>
      </c>
      <c r="C42" s="332">
        <f t="shared" si="15"/>
        <v>21</v>
      </c>
      <c r="D42" s="335">
        <v>1772</v>
      </c>
      <c r="E42" s="582" t="s">
        <v>1108</v>
      </c>
      <c r="F42" s="336">
        <v>3210000</v>
      </c>
      <c r="G42" s="336">
        <v>3210000</v>
      </c>
      <c r="H42" s="336">
        <f t="shared" si="4"/>
        <v>0</v>
      </c>
      <c r="I42" s="336">
        <v>1800000</v>
      </c>
      <c r="J42" s="336">
        <v>1410000</v>
      </c>
      <c r="K42" s="336">
        <f t="shared" si="5"/>
        <v>0</v>
      </c>
      <c r="L42" s="336">
        <f t="shared" si="6"/>
        <v>1410000</v>
      </c>
      <c r="M42" s="336">
        <v>1410000</v>
      </c>
      <c r="N42" s="336">
        <f t="shared" si="7"/>
        <v>0</v>
      </c>
      <c r="O42" s="336">
        <f t="shared" si="8"/>
        <v>-546459</v>
      </c>
      <c r="P42" s="336"/>
      <c r="Q42" s="336">
        <v>546459</v>
      </c>
      <c r="R42" s="336"/>
      <c r="S42" s="336"/>
      <c r="T42" s="336"/>
      <c r="U42" s="336"/>
      <c r="V42" s="336"/>
      <c r="W42" s="590"/>
      <c r="X42" s="336"/>
      <c r="Y42" s="336"/>
      <c r="Z42" s="336"/>
      <c r="AA42" s="336"/>
      <c r="AB42" s="336"/>
      <c r="AC42" s="336"/>
      <c r="AD42" s="537"/>
      <c r="AE42" s="537"/>
      <c r="AF42" s="537"/>
      <c r="AG42" s="336">
        <f t="shared" si="9"/>
        <v>0</v>
      </c>
      <c r="AH42" s="336"/>
      <c r="AI42" s="336">
        <f t="shared" si="10"/>
        <v>0</v>
      </c>
      <c r="AJ42" s="336">
        <f t="shared" si="11"/>
        <v>0</v>
      </c>
      <c r="AK42" s="336">
        <f t="shared" si="12"/>
        <v>-546459</v>
      </c>
      <c r="AL42" s="336"/>
      <c r="AM42" s="336">
        <v>546459</v>
      </c>
      <c r="AN42" s="336">
        <f t="shared" si="13"/>
        <v>0</v>
      </c>
      <c r="AO42" s="336"/>
      <c r="AP42" s="591"/>
      <c r="AQ42" s="336">
        <f t="shared" si="14"/>
        <v>0</v>
      </c>
      <c r="AR42" s="336"/>
      <c r="AS42" s="591"/>
    </row>
    <row r="43" spans="1:45" s="264" customFormat="1">
      <c r="A43" s="580" t="s">
        <v>854</v>
      </c>
      <c r="B43" s="589" t="s">
        <v>841</v>
      </c>
      <c r="C43" s="332">
        <f t="shared" si="15"/>
        <v>22</v>
      </c>
      <c r="D43" s="332">
        <v>576</v>
      </c>
      <c r="E43" s="582" t="s">
        <v>1109</v>
      </c>
      <c r="F43" s="336">
        <v>55113000</v>
      </c>
      <c r="G43" s="336">
        <v>45113000</v>
      </c>
      <c r="H43" s="336">
        <f t="shared" si="4"/>
        <v>10000000</v>
      </c>
      <c r="I43" s="336">
        <f>45113000-1200000</f>
        <v>43913000</v>
      </c>
      <c r="J43" s="336">
        <v>10000000</v>
      </c>
      <c r="K43" s="336">
        <f t="shared" si="5"/>
        <v>1200000</v>
      </c>
      <c r="L43" s="336">
        <f t="shared" si="6"/>
        <v>10000000</v>
      </c>
      <c r="M43" s="336">
        <v>1200000</v>
      </c>
      <c r="N43" s="336">
        <f t="shared" si="7"/>
        <v>8800000</v>
      </c>
      <c r="O43" s="336">
        <f t="shared" si="8"/>
        <v>6000000</v>
      </c>
      <c r="P43" s="336"/>
      <c r="Q43" s="336">
        <v>2800000</v>
      </c>
      <c r="R43" s="336"/>
      <c r="S43" s="336"/>
      <c r="T43" s="336"/>
      <c r="U43" s="336"/>
      <c r="V43" s="336"/>
      <c r="W43" s="593">
        <f>3800000-3800000</f>
        <v>0</v>
      </c>
      <c r="X43" s="336"/>
      <c r="Y43" s="336"/>
      <c r="Z43" s="336"/>
      <c r="AA43" s="336"/>
      <c r="AB43" s="336"/>
      <c r="AC43" s="336"/>
      <c r="AD43" s="537"/>
      <c r="AE43" s="537"/>
      <c r="AF43" s="537"/>
      <c r="AG43" s="336">
        <f t="shared" si="9"/>
        <v>0</v>
      </c>
      <c r="AH43" s="336"/>
      <c r="AI43" s="336">
        <f t="shared" si="10"/>
        <v>0</v>
      </c>
      <c r="AJ43" s="336">
        <f t="shared" si="11"/>
        <v>8800000</v>
      </c>
      <c r="AK43" s="336">
        <f t="shared" si="12"/>
        <v>0</v>
      </c>
      <c r="AL43" s="336"/>
      <c r="AM43" s="336"/>
      <c r="AN43" s="336">
        <f t="shared" si="13"/>
        <v>0</v>
      </c>
      <c r="AO43" s="336"/>
      <c r="AP43" s="591"/>
      <c r="AQ43" s="336">
        <f t="shared" si="14"/>
        <v>6000000</v>
      </c>
      <c r="AR43" s="336"/>
      <c r="AS43" s="591">
        <v>2800000</v>
      </c>
    </row>
    <row r="44" spans="1:45" s="264" customFormat="1" ht="31.5">
      <c r="A44" s="580" t="s">
        <v>854</v>
      </c>
      <c r="B44" s="589" t="s">
        <v>841</v>
      </c>
      <c r="C44" s="332">
        <f t="shared" si="15"/>
        <v>23</v>
      </c>
      <c r="D44" s="335">
        <v>1825</v>
      </c>
      <c r="E44" s="582" t="s">
        <v>1110</v>
      </c>
      <c r="F44" s="336">
        <v>35000000</v>
      </c>
      <c r="G44" s="336">
        <v>35000000</v>
      </c>
      <c r="H44" s="336">
        <f t="shared" si="4"/>
        <v>0</v>
      </c>
      <c r="I44" s="336">
        <v>700000</v>
      </c>
      <c r="J44" s="336">
        <v>14000000</v>
      </c>
      <c r="K44" s="336">
        <f t="shared" si="5"/>
        <v>20300000</v>
      </c>
      <c r="L44" s="336">
        <f t="shared" si="6"/>
        <v>14000000</v>
      </c>
      <c r="M44" s="336">
        <v>14000000</v>
      </c>
      <c r="N44" s="336">
        <f t="shared" si="7"/>
        <v>0</v>
      </c>
      <c r="O44" s="336">
        <f t="shared" si="8"/>
        <v>7982160</v>
      </c>
      <c r="P44" s="336"/>
      <c r="Q44" s="336">
        <v>-7982160</v>
      </c>
      <c r="R44" s="336"/>
      <c r="S44" s="336"/>
      <c r="T44" s="336"/>
      <c r="U44" s="336"/>
      <c r="V44" s="336"/>
      <c r="W44" s="593">
        <v>7982160</v>
      </c>
      <c r="X44" s="336"/>
      <c r="Y44" s="336"/>
      <c r="Z44" s="336"/>
      <c r="AA44" s="336"/>
      <c r="AB44" s="336"/>
      <c r="AC44" s="336"/>
      <c r="AD44" s="537"/>
      <c r="AE44" s="537"/>
      <c r="AF44" s="537"/>
      <c r="AG44" s="336">
        <f t="shared" si="9"/>
        <v>7982160</v>
      </c>
      <c r="AH44" s="336"/>
      <c r="AI44" s="336">
        <f t="shared" si="10"/>
        <v>7982160</v>
      </c>
      <c r="AJ44" s="336">
        <f t="shared" si="11"/>
        <v>-7982160</v>
      </c>
      <c r="AK44" s="336">
        <f t="shared" si="12"/>
        <v>7982160</v>
      </c>
      <c r="AL44" s="336"/>
      <c r="AM44" s="336"/>
      <c r="AN44" s="336">
        <f t="shared" si="13"/>
        <v>0</v>
      </c>
      <c r="AO44" s="336"/>
      <c r="AP44" s="591"/>
      <c r="AQ44" s="336">
        <f t="shared" si="14"/>
        <v>0</v>
      </c>
      <c r="AR44" s="336"/>
      <c r="AS44" s="591">
        <v>-7982160</v>
      </c>
    </row>
    <row r="45" spans="1:45" s="264" customFormat="1">
      <c r="A45" s="586"/>
      <c r="B45" s="587"/>
      <c r="C45" s="587">
        <f>COUNT(C22:C44)</f>
        <v>23</v>
      </c>
      <c r="D45" s="587"/>
      <c r="E45" s="578" t="s">
        <v>180</v>
      </c>
      <c r="F45" s="339">
        <f>SUM(F22:F44)</f>
        <v>679132930</v>
      </c>
      <c r="G45" s="339">
        <f t="shared" ref="G45:AS45" si="16">SUM(G22:G44)</f>
        <v>660367930</v>
      </c>
      <c r="H45" s="339">
        <f t="shared" si="16"/>
        <v>18765000</v>
      </c>
      <c r="I45" s="339">
        <f t="shared" si="16"/>
        <v>297391844</v>
      </c>
      <c r="J45" s="339">
        <f t="shared" si="16"/>
        <v>125960214</v>
      </c>
      <c r="K45" s="339">
        <f t="shared" si="16"/>
        <v>255780872</v>
      </c>
      <c r="L45" s="339">
        <f t="shared" si="16"/>
        <v>125960214</v>
      </c>
      <c r="M45" s="339">
        <f t="shared" si="16"/>
        <v>89417667</v>
      </c>
      <c r="N45" s="339">
        <f t="shared" si="16"/>
        <v>36542547</v>
      </c>
      <c r="O45" s="339">
        <f t="shared" si="16"/>
        <v>9410033</v>
      </c>
      <c r="P45" s="339">
        <f t="shared" si="16"/>
        <v>2000000</v>
      </c>
      <c r="Q45" s="339">
        <f t="shared" si="16"/>
        <v>25132514</v>
      </c>
      <c r="R45" s="339">
        <f t="shared" si="16"/>
        <v>1414013</v>
      </c>
      <c r="S45" s="339">
        <f t="shared" si="16"/>
        <v>0</v>
      </c>
      <c r="T45" s="339">
        <f t="shared" si="16"/>
        <v>1000000</v>
      </c>
      <c r="U45" s="339">
        <f t="shared" si="16"/>
        <v>4500000</v>
      </c>
      <c r="V45" s="339">
        <f t="shared" si="16"/>
        <v>14864134</v>
      </c>
      <c r="W45" s="339">
        <f t="shared" si="16"/>
        <v>18837228</v>
      </c>
      <c r="X45" s="339">
        <f t="shared" si="16"/>
        <v>0</v>
      </c>
      <c r="Y45" s="339">
        <f t="shared" si="16"/>
        <v>0</v>
      </c>
      <c r="Z45" s="339">
        <f t="shared" si="16"/>
        <v>0</v>
      </c>
      <c r="AA45" s="339">
        <f t="shared" si="16"/>
        <v>0</v>
      </c>
      <c r="AB45" s="339">
        <f t="shared" si="16"/>
        <v>0</v>
      </c>
      <c r="AC45" s="339">
        <f t="shared" si="16"/>
        <v>0</v>
      </c>
      <c r="AD45" s="339">
        <f t="shared" si="16"/>
        <v>0</v>
      </c>
      <c r="AE45" s="339">
        <f t="shared" si="16"/>
        <v>0</v>
      </c>
      <c r="AF45" s="339">
        <f t="shared" si="16"/>
        <v>0</v>
      </c>
      <c r="AG45" s="339">
        <f t="shared" si="16"/>
        <v>40615375</v>
      </c>
      <c r="AH45" s="339">
        <f>SUM(AH22:AH44)</f>
        <v>-1200000</v>
      </c>
      <c r="AI45" s="339">
        <f t="shared" si="16"/>
        <v>39415375</v>
      </c>
      <c r="AJ45" s="339">
        <f t="shared" ref="AJ45:AP45" si="17">SUM(AJ22:AJ44)</f>
        <v>-2872828</v>
      </c>
      <c r="AK45" s="339">
        <f t="shared" si="17"/>
        <v>15650701</v>
      </c>
      <c r="AL45" s="339">
        <f t="shared" si="17"/>
        <v>2000000</v>
      </c>
      <c r="AM45" s="339">
        <f t="shared" si="17"/>
        <v>21764674</v>
      </c>
      <c r="AN45" s="339">
        <f t="shared" si="17"/>
        <v>-1200000</v>
      </c>
      <c r="AO45" s="339">
        <f t="shared" si="17"/>
        <v>0</v>
      </c>
      <c r="AP45" s="339">
        <f t="shared" si="17"/>
        <v>0</v>
      </c>
      <c r="AQ45" s="339">
        <f t="shared" si="16"/>
        <v>-940668</v>
      </c>
      <c r="AR45" s="339">
        <f t="shared" si="16"/>
        <v>0</v>
      </c>
      <c r="AS45" s="339">
        <f t="shared" si="16"/>
        <v>-1932160</v>
      </c>
    </row>
    <row r="46" spans="1:45" s="264" customFormat="1">
      <c r="A46" s="586"/>
      <c r="B46" s="587"/>
      <c r="C46" s="587"/>
      <c r="D46" s="587"/>
      <c r="E46" s="578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6"/>
      <c r="Y46" s="336"/>
      <c r="Z46" s="336"/>
      <c r="AA46" s="336"/>
      <c r="AB46" s="336"/>
      <c r="AC46" s="336"/>
      <c r="AD46" s="537"/>
      <c r="AE46" s="537"/>
      <c r="AF46" s="537"/>
      <c r="AG46" s="339"/>
      <c r="AH46" s="339"/>
      <c r="AI46" s="339"/>
      <c r="AJ46" s="339"/>
      <c r="AK46" s="339"/>
      <c r="AL46" s="339"/>
      <c r="AM46" s="339"/>
      <c r="AN46" s="339"/>
      <c r="AO46" s="339"/>
      <c r="AP46" s="588"/>
      <c r="AQ46" s="339"/>
      <c r="AR46" s="339"/>
      <c r="AS46" s="588"/>
    </row>
    <row r="47" spans="1:45" s="264" customFormat="1">
      <c r="A47" s="258"/>
      <c r="B47" s="332"/>
      <c r="C47" s="332"/>
      <c r="D47" s="332"/>
      <c r="E47" s="578" t="s">
        <v>829</v>
      </c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536"/>
      <c r="AE47" s="536"/>
      <c r="AF47" s="536"/>
      <c r="AG47" s="332"/>
      <c r="AH47" s="332"/>
      <c r="AI47" s="332"/>
      <c r="AJ47" s="332"/>
      <c r="AK47" s="332"/>
      <c r="AL47" s="332"/>
      <c r="AM47" s="332"/>
      <c r="AN47" s="332"/>
      <c r="AO47" s="332"/>
      <c r="AP47" s="579"/>
      <c r="AQ47" s="332"/>
      <c r="AR47" s="332"/>
      <c r="AS47" s="579"/>
    </row>
    <row r="48" spans="1:45" s="264" customFormat="1" ht="31.5">
      <c r="A48" s="580" t="s">
        <v>844</v>
      </c>
      <c r="B48" s="589" t="s">
        <v>845</v>
      </c>
      <c r="C48" s="332">
        <v>1</v>
      </c>
      <c r="D48" s="335">
        <v>1770</v>
      </c>
      <c r="E48" s="582" t="s">
        <v>1111</v>
      </c>
      <c r="F48" s="336">
        <v>29752105</v>
      </c>
      <c r="G48" s="336">
        <v>29520000</v>
      </c>
      <c r="H48" s="336">
        <f t="shared" ref="H48:H55" si="18">F48-G48</f>
        <v>232105</v>
      </c>
      <c r="I48" s="336">
        <v>29520000</v>
      </c>
      <c r="J48" s="336">
        <v>232105</v>
      </c>
      <c r="K48" s="336">
        <f t="shared" ref="K48:K55" si="19">F48-I48-J48</f>
        <v>0</v>
      </c>
      <c r="L48" s="336">
        <f t="shared" ref="L48:L55" si="20">J48</f>
        <v>232105</v>
      </c>
      <c r="M48" s="336"/>
      <c r="N48" s="336">
        <f t="shared" ref="N48:N55" si="21">L48-M48</f>
        <v>232105</v>
      </c>
      <c r="O48" s="336">
        <f t="shared" ref="O48:O55" si="22">N48-P48-Q48</f>
        <v>-696319</v>
      </c>
      <c r="P48" s="336"/>
      <c r="Q48" s="336">
        <v>928424</v>
      </c>
      <c r="R48" s="332"/>
      <c r="S48" s="336"/>
      <c r="T48" s="336"/>
      <c r="U48" s="336"/>
      <c r="V48" s="336">
        <v>232105</v>
      </c>
      <c r="W48" s="336"/>
      <c r="X48" s="336"/>
      <c r="Y48" s="336"/>
      <c r="Z48" s="336"/>
      <c r="AA48" s="336"/>
      <c r="AB48" s="336"/>
      <c r="AC48" s="336"/>
      <c r="AD48" s="537"/>
      <c r="AE48" s="537"/>
      <c r="AF48" s="537"/>
      <c r="AG48" s="336">
        <f t="shared" ref="AG48:AG55" si="23">SUM(R48:AF48)</f>
        <v>232105</v>
      </c>
      <c r="AH48" s="336"/>
      <c r="AI48" s="336">
        <f>AG48+AH48</f>
        <v>232105</v>
      </c>
      <c r="AJ48" s="336">
        <f>N48-AI48</f>
        <v>0</v>
      </c>
      <c r="AK48" s="336">
        <f>AI48-AL48-AM48</f>
        <v>-696319</v>
      </c>
      <c r="AL48" s="336"/>
      <c r="AM48" s="336">
        <v>928424</v>
      </c>
      <c r="AN48" s="336">
        <f>AH48-AO48-AP48</f>
        <v>0</v>
      </c>
      <c r="AO48" s="336"/>
      <c r="AP48" s="585"/>
      <c r="AQ48" s="336">
        <f>AJ48-AR48-AS48</f>
        <v>0</v>
      </c>
      <c r="AR48" s="336"/>
      <c r="AS48" s="585"/>
    </row>
    <row r="49" spans="1:45" s="264" customFormat="1">
      <c r="A49" s="580" t="s">
        <v>844</v>
      </c>
      <c r="B49" s="589" t="s">
        <v>845</v>
      </c>
      <c r="C49" s="332">
        <f>C48+1</f>
        <v>2</v>
      </c>
      <c r="D49" s="332">
        <v>1886</v>
      </c>
      <c r="E49" s="582" t="s">
        <v>1112</v>
      </c>
      <c r="F49" s="336">
        <v>4830000</v>
      </c>
      <c r="G49" s="336">
        <v>4830000</v>
      </c>
      <c r="H49" s="336">
        <f t="shared" si="18"/>
        <v>0</v>
      </c>
      <c r="I49" s="336">
        <v>4830000</v>
      </c>
      <c r="J49" s="336"/>
      <c r="K49" s="336">
        <f t="shared" si="19"/>
        <v>0</v>
      </c>
      <c r="L49" s="336">
        <f t="shared" si="20"/>
        <v>0</v>
      </c>
      <c r="M49" s="336"/>
      <c r="N49" s="336">
        <f t="shared" si="21"/>
        <v>0</v>
      </c>
      <c r="O49" s="336">
        <f t="shared" si="22"/>
        <v>-2363760</v>
      </c>
      <c r="P49" s="336"/>
      <c r="Q49" s="336">
        <v>2363760</v>
      </c>
      <c r="R49" s="332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537"/>
      <c r="AE49" s="537"/>
      <c r="AF49" s="537"/>
      <c r="AG49" s="336">
        <f t="shared" si="23"/>
        <v>0</v>
      </c>
      <c r="AH49" s="336"/>
      <c r="AI49" s="336">
        <f t="shared" ref="AI49:AI55" si="24">AG49+AH49</f>
        <v>0</v>
      </c>
      <c r="AJ49" s="336">
        <f t="shared" ref="AJ49:AJ55" si="25">N49-AI49</f>
        <v>0</v>
      </c>
      <c r="AK49" s="336">
        <f t="shared" ref="AK49:AK55" si="26">AI49-AL49-AM49</f>
        <v>-2363760</v>
      </c>
      <c r="AL49" s="336"/>
      <c r="AM49" s="336">
        <v>2363760</v>
      </c>
      <c r="AN49" s="336">
        <f t="shared" ref="AN49:AN55" si="27">AH49-AO49-AP49</f>
        <v>0</v>
      </c>
      <c r="AO49" s="336"/>
      <c r="AP49" s="585"/>
      <c r="AQ49" s="336">
        <f t="shared" ref="AQ49:AQ55" si="28">AJ49-AR49-AS49</f>
        <v>0</v>
      </c>
      <c r="AR49" s="336"/>
      <c r="AS49" s="585"/>
    </row>
    <row r="50" spans="1:45" s="264" customFormat="1" ht="31.5">
      <c r="A50" s="580" t="s">
        <v>844</v>
      </c>
      <c r="B50" s="589" t="s">
        <v>845</v>
      </c>
      <c r="C50" s="332">
        <f t="shared" ref="C50:C55" si="29">C49+1</f>
        <v>3</v>
      </c>
      <c r="D50" s="332">
        <v>1883</v>
      </c>
      <c r="E50" s="582" t="s">
        <v>1113</v>
      </c>
      <c r="F50" s="336">
        <v>23500000</v>
      </c>
      <c r="G50" s="336">
        <v>16500000</v>
      </c>
      <c r="H50" s="336">
        <f t="shared" si="18"/>
        <v>7000000</v>
      </c>
      <c r="I50" s="336">
        <v>8800000</v>
      </c>
      <c r="J50" s="336">
        <v>7700000</v>
      </c>
      <c r="K50" s="336">
        <f t="shared" si="19"/>
        <v>7000000</v>
      </c>
      <c r="L50" s="336">
        <f t="shared" si="20"/>
        <v>7700000</v>
      </c>
      <c r="M50" s="336">
        <v>7700000</v>
      </c>
      <c r="N50" s="336">
        <f t="shared" si="21"/>
        <v>0</v>
      </c>
      <c r="O50" s="336">
        <f t="shared" si="22"/>
        <v>0</v>
      </c>
      <c r="P50" s="336"/>
      <c r="Q50" s="336"/>
      <c r="R50" s="332"/>
      <c r="S50" s="336"/>
      <c r="T50" s="336"/>
      <c r="U50" s="336"/>
      <c r="V50" s="336"/>
      <c r="W50" s="336"/>
      <c r="X50" s="336"/>
      <c r="Y50" s="336"/>
      <c r="Z50" s="336"/>
      <c r="AA50" s="336"/>
      <c r="AB50" s="336"/>
      <c r="AC50" s="336"/>
      <c r="AD50" s="537"/>
      <c r="AE50" s="537"/>
      <c r="AF50" s="537"/>
      <c r="AG50" s="336">
        <f t="shared" si="23"/>
        <v>0</v>
      </c>
      <c r="AH50" s="336"/>
      <c r="AI50" s="336">
        <f t="shared" si="24"/>
        <v>0</v>
      </c>
      <c r="AJ50" s="336">
        <f t="shared" si="25"/>
        <v>0</v>
      </c>
      <c r="AK50" s="336">
        <f t="shared" si="26"/>
        <v>0</v>
      </c>
      <c r="AL50" s="336"/>
      <c r="AM50" s="336"/>
      <c r="AN50" s="336">
        <f t="shared" si="27"/>
        <v>0</v>
      </c>
      <c r="AO50" s="336"/>
      <c r="AP50" s="585"/>
      <c r="AQ50" s="336">
        <f t="shared" si="28"/>
        <v>0</v>
      </c>
      <c r="AR50" s="336"/>
      <c r="AS50" s="585"/>
    </row>
    <row r="51" spans="1:45" s="264" customFormat="1">
      <c r="A51" s="580" t="s">
        <v>848</v>
      </c>
      <c r="B51" s="589" t="s">
        <v>845</v>
      </c>
      <c r="C51" s="332">
        <f t="shared" si="29"/>
        <v>4</v>
      </c>
      <c r="D51" s="332">
        <v>1794</v>
      </c>
      <c r="E51" s="582" t="s">
        <v>242</v>
      </c>
      <c r="F51" s="336">
        <v>850000</v>
      </c>
      <c r="G51" s="336">
        <v>380000</v>
      </c>
      <c r="H51" s="336">
        <f t="shared" si="18"/>
        <v>470000</v>
      </c>
      <c r="I51" s="336">
        <v>380000</v>
      </c>
      <c r="J51" s="336">
        <v>470000</v>
      </c>
      <c r="K51" s="336">
        <f t="shared" si="19"/>
        <v>0</v>
      </c>
      <c r="L51" s="336">
        <f t="shared" si="20"/>
        <v>470000</v>
      </c>
      <c r="M51" s="336"/>
      <c r="N51" s="336">
        <f t="shared" si="21"/>
        <v>470000</v>
      </c>
      <c r="O51" s="336">
        <f t="shared" si="22"/>
        <v>300000</v>
      </c>
      <c r="P51" s="336">
        <v>170000</v>
      </c>
      <c r="Q51" s="336"/>
      <c r="R51" s="332"/>
      <c r="S51" s="336"/>
      <c r="T51" s="336">
        <v>470000</v>
      </c>
      <c r="U51" s="336"/>
      <c r="V51" s="336"/>
      <c r="W51" s="336"/>
      <c r="X51" s="336"/>
      <c r="Y51" s="336"/>
      <c r="Z51" s="336"/>
      <c r="AA51" s="336"/>
      <c r="AB51" s="336"/>
      <c r="AC51" s="336"/>
      <c r="AD51" s="537"/>
      <c r="AE51" s="537"/>
      <c r="AF51" s="537"/>
      <c r="AG51" s="336">
        <f t="shared" si="23"/>
        <v>470000</v>
      </c>
      <c r="AH51" s="336"/>
      <c r="AI51" s="336">
        <f t="shared" si="24"/>
        <v>470000</v>
      </c>
      <c r="AJ51" s="336">
        <f t="shared" si="25"/>
        <v>0</v>
      </c>
      <c r="AK51" s="336">
        <f t="shared" si="26"/>
        <v>300000</v>
      </c>
      <c r="AL51" s="336">
        <v>170000</v>
      </c>
      <c r="AM51" s="336"/>
      <c r="AN51" s="336">
        <f t="shared" si="27"/>
        <v>0</v>
      </c>
      <c r="AO51" s="336"/>
      <c r="AP51" s="585"/>
      <c r="AQ51" s="336">
        <f t="shared" si="28"/>
        <v>0</v>
      </c>
      <c r="AR51" s="336"/>
      <c r="AS51" s="585"/>
    </row>
    <row r="52" spans="1:45" s="264" customFormat="1" ht="31.5">
      <c r="A52" s="580" t="s">
        <v>848</v>
      </c>
      <c r="B52" s="589" t="s">
        <v>845</v>
      </c>
      <c r="C52" s="332">
        <f t="shared" si="29"/>
        <v>5</v>
      </c>
      <c r="D52" s="335">
        <v>1992</v>
      </c>
      <c r="E52" s="595" t="s">
        <v>907</v>
      </c>
      <c r="F52" s="596">
        <v>3800000</v>
      </c>
      <c r="G52" s="596"/>
      <c r="H52" s="596">
        <f t="shared" si="18"/>
        <v>3800000</v>
      </c>
      <c r="I52" s="596"/>
      <c r="J52" s="596">
        <v>3800000</v>
      </c>
      <c r="K52" s="596">
        <f t="shared" si="19"/>
        <v>0</v>
      </c>
      <c r="L52" s="596">
        <f t="shared" si="20"/>
        <v>3800000</v>
      </c>
      <c r="M52" s="596"/>
      <c r="N52" s="596">
        <f t="shared" si="21"/>
        <v>3800000</v>
      </c>
      <c r="O52" s="596">
        <f t="shared" si="22"/>
        <v>2800000</v>
      </c>
      <c r="P52" s="596">
        <v>1000000</v>
      </c>
      <c r="Q52" s="336"/>
      <c r="R52" s="332"/>
      <c r="S52" s="336"/>
      <c r="T52" s="336"/>
      <c r="U52" s="336"/>
      <c r="V52" s="336"/>
      <c r="W52" s="336"/>
      <c r="X52" s="336"/>
      <c r="Y52" s="336"/>
      <c r="Z52" s="336"/>
      <c r="AA52" s="336"/>
      <c r="AB52" s="336"/>
      <c r="AC52" s="336"/>
      <c r="AD52" s="537"/>
      <c r="AE52" s="537"/>
      <c r="AF52" s="537"/>
      <c r="AG52" s="336">
        <f t="shared" si="23"/>
        <v>0</v>
      </c>
      <c r="AH52" s="336"/>
      <c r="AI52" s="336">
        <f t="shared" si="24"/>
        <v>0</v>
      </c>
      <c r="AJ52" s="596">
        <f t="shared" si="25"/>
        <v>3800000</v>
      </c>
      <c r="AK52" s="336">
        <f t="shared" si="26"/>
        <v>0</v>
      </c>
      <c r="AL52" s="336"/>
      <c r="AM52" s="336"/>
      <c r="AN52" s="336">
        <f t="shared" si="27"/>
        <v>0</v>
      </c>
      <c r="AO52" s="336"/>
      <c r="AP52" s="585"/>
      <c r="AQ52" s="596">
        <f t="shared" si="28"/>
        <v>3800000</v>
      </c>
      <c r="AR52" s="336"/>
      <c r="AS52" s="585"/>
    </row>
    <row r="53" spans="1:45" s="592" customFormat="1">
      <c r="A53" s="580" t="s">
        <v>837</v>
      </c>
      <c r="B53" s="589" t="s">
        <v>838</v>
      </c>
      <c r="C53" s="332">
        <f t="shared" si="29"/>
        <v>6</v>
      </c>
      <c r="D53" s="536">
        <v>2000</v>
      </c>
      <c r="E53" s="505" t="s">
        <v>434</v>
      </c>
      <c r="F53" s="537">
        <v>354000</v>
      </c>
      <c r="G53" s="537"/>
      <c r="H53" s="537">
        <f t="shared" si="18"/>
        <v>354000</v>
      </c>
      <c r="I53" s="537"/>
      <c r="J53" s="537">
        <v>354000</v>
      </c>
      <c r="K53" s="537">
        <f t="shared" si="19"/>
        <v>0</v>
      </c>
      <c r="L53" s="537">
        <f t="shared" si="20"/>
        <v>354000</v>
      </c>
      <c r="M53" s="537"/>
      <c r="N53" s="537">
        <f t="shared" si="21"/>
        <v>354000</v>
      </c>
      <c r="O53" s="336">
        <f t="shared" si="22"/>
        <v>0</v>
      </c>
      <c r="P53" s="537"/>
      <c r="Q53" s="537">
        <v>354000</v>
      </c>
      <c r="R53" s="537"/>
      <c r="S53" s="537"/>
      <c r="T53" s="537"/>
      <c r="U53" s="537"/>
      <c r="V53" s="537">
        <v>354000</v>
      </c>
      <c r="W53" s="537"/>
      <c r="X53" s="332"/>
      <c r="Y53" s="332"/>
      <c r="Z53" s="332"/>
      <c r="AA53" s="332"/>
      <c r="AB53" s="332"/>
      <c r="AC53" s="339"/>
      <c r="AD53" s="537"/>
      <c r="AE53" s="537"/>
      <c r="AF53" s="537"/>
      <c r="AG53" s="336">
        <f t="shared" si="23"/>
        <v>354000</v>
      </c>
      <c r="AH53" s="336"/>
      <c r="AI53" s="336">
        <f t="shared" si="24"/>
        <v>354000</v>
      </c>
      <c r="AJ53" s="336">
        <f t="shared" si="25"/>
        <v>0</v>
      </c>
      <c r="AK53" s="336">
        <f t="shared" si="26"/>
        <v>0</v>
      </c>
      <c r="AL53" s="336"/>
      <c r="AM53" s="336">
        <v>354000</v>
      </c>
      <c r="AN53" s="336">
        <f t="shared" si="27"/>
        <v>0</v>
      </c>
      <c r="AO53" s="336"/>
      <c r="AP53" s="585"/>
      <c r="AQ53" s="336">
        <f t="shared" si="28"/>
        <v>0</v>
      </c>
      <c r="AR53" s="336"/>
      <c r="AS53" s="585"/>
    </row>
    <row r="54" spans="1:45" s="592" customFormat="1" ht="31.5">
      <c r="A54" s="580" t="s">
        <v>840</v>
      </c>
      <c r="B54" s="589" t="s">
        <v>841</v>
      </c>
      <c r="C54" s="332">
        <f t="shared" si="29"/>
        <v>7</v>
      </c>
      <c r="D54" s="536">
        <v>1770</v>
      </c>
      <c r="E54" s="505" t="s">
        <v>1114</v>
      </c>
      <c r="F54" s="537">
        <v>29752105</v>
      </c>
      <c r="G54" s="537">
        <v>29752105</v>
      </c>
      <c r="H54" s="537">
        <f t="shared" si="18"/>
        <v>0</v>
      </c>
      <c r="I54" s="537">
        <v>29520000</v>
      </c>
      <c r="J54" s="537">
        <v>232105</v>
      </c>
      <c r="K54" s="537">
        <f t="shared" si="19"/>
        <v>0</v>
      </c>
      <c r="L54" s="537">
        <f t="shared" si="20"/>
        <v>232105</v>
      </c>
      <c r="M54" s="537">
        <v>232105</v>
      </c>
      <c r="N54" s="537">
        <f t="shared" si="21"/>
        <v>0</v>
      </c>
      <c r="O54" s="336">
        <f t="shared" si="22"/>
        <v>0</v>
      </c>
      <c r="P54" s="537">
        <v>-395940</v>
      </c>
      <c r="Q54" s="537">
        <v>395940</v>
      </c>
      <c r="R54" s="537"/>
      <c r="S54" s="537"/>
      <c r="T54" s="537"/>
      <c r="U54" s="537"/>
      <c r="V54" s="537"/>
      <c r="W54" s="590"/>
      <c r="X54" s="332"/>
      <c r="Y54" s="332"/>
      <c r="Z54" s="332"/>
      <c r="AA54" s="332"/>
      <c r="AB54" s="332"/>
      <c r="AC54" s="339"/>
      <c r="AD54" s="537"/>
      <c r="AE54" s="537"/>
      <c r="AF54" s="537"/>
      <c r="AG54" s="336">
        <f t="shared" si="23"/>
        <v>0</v>
      </c>
      <c r="AH54" s="336"/>
      <c r="AI54" s="336">
        <f t="shared" si="24"/>
        <v>0</v>
      </c>
      <c r="AJ54" s="336">
        <f t="shared" si="25"/>
        <v>0</v>
      </c>
      <c r="AK54" s="336">
        <f t="shared" si="26"/>
        <v>0</v>
      </c>
      <c r="AL54" s="336">
        <v>-395940</v>
      </c>
      <c r="AM54" s="336">
        <v>395940</v>
      </c>
      <c r="AN54" s="336">
        <f t="shared" si="27"/>
        <v>0</v>
      </c>
      <c r="AO54" s="336"/>
      <c r="AP54" s="585"/>
      <c r="AQ54" s="336">
        <f t="shared" si="28"/>
        <v>0</v>
      </c>
      <c r="AR54" s="336"/>
      <c r="AS54" s="585"/>
    </row>
    <row r="55" spans="1:45" s="592" customFormat="1">
      <c r="A55" s="580" t="s">
        <v>840</v>
      </c>
      <c r="B55" s="589" t="s">
        <v>841</v>
      </c>
      <c r="C55" s="332">
        <f t="shared" si="29"/>
        <v>8</v>
      </c>
      <c r="D55" s="536">
        <v>2001</v>
      </c>
      <c r="E55" s="505" t="s">
        <v>855</v>
      </c>
      <c r="F55" s="537">
        <v>18500000</v>
      </c>
      <c r="G55" s="537"/>
      <c r="H55" s="537">
        <f t="shared" si="18"/>
        <v>18500000</v>
      </c>
      <c r="I55" s="537"/>
      <c r="J55" s="537">
        <v>16000000</v>
      </c>
      <c r="K55" s="537">
        <f t="shared" si="19"/>
        <v>2500000</v>
      </c>
      <c r="L55" s="537">
        <f t="shared" si="20"/>
        <v>16000000</v>
      </c>
      <c r="M55" s="537"/>
      <c r="N55" s="537">
        <f t="shared" si="21"/>
        <v>16000000</v>
      </c>
      <c r="O55" s="336">
        <f t="shared" si="22"/>
        <v>6998700</v>
      </c>
      <c r="P55" s="537"/>
      <c r="Q55" s="537">
        <v>9001300</v>
      </c>
      <c r="R55" s="537"/>
      <c r="S55" s="537"/>
      <c r="T55" s="537"/>
      <c r="U55" s="537"/>
      <c r="V55" s="537"/>
      <c r="W55" s="590">
        <v>6998700</v>
      </c>
      <c r="X55" s="332"/>
      <c r="Y55" s="332"/>
      <c r="Z55" s="332"/>
      <c r="AA55" s="332"/>
      <c r="AB55" s="332"/>
      <c r="AC55" s="339"/>
      <c r="AD55" s="537"/>
      <c r="AE55" s="537"/>
      <c r="AF55" s="537"/>
      <c r="AG55" s="336">
        <f t="shared" si="23"/>
        <v>6998700</v>
      </c>
      <c r="AH55" s="336"/>
      <c r="AI55" s="336">
        <f t="shared" si="24"/>
        <v>6998700</v>
      </c>
      <c r="AJ55" s="336">
        <f t="shared" si="25"/>
        <v>9001300</v>
      </c>
      <c r="AK55" s="336">
        <f t="shared" si="26"/>
        <v>6998700</v>
      </c>
      <c r="AL55" s="336"/>
      <c r="AM55" s="336"/>
      <c r="AN55" s="336">
        <f t="shared" si="27"/>
        <v>0</v>
      </c>
      <c r="AO55" s="336"/>
      <c r="AP55" s="585"/>
      <c r="AQ55" s="336">
        <f t="shared" si="28"/>
        <v>0</v>
      </c>
      <c r="AR55" s="336"/>
      <c r="AS55" s="585">
        <v>9001300</v>
      </c>
    </row>
    <row r="56" spans="1:45" s="264" customFormat="1">
      <c r="A56" s="586"/>
      <c r="B56" s="587"/>
      <c r="C56" s="587">
        <f>COUNT(C48:C55)</f>
        <v>8</v>
      </c>
      <c r="D56" s="587"/>
      <c r="E56" s="578" t="s">
        <v>834</v>
      </c>
      <c r="F56" s="339">
        <f>SUM(F48:F55)</f>
        <v>111338210</v>
      </c>
      <c r="G56" s="339">
        <f t="shared" ref="G56:AS56" si="30">SUM(G48:G55)</f>
        <v>80982105</v>
      </c>
      <c r="H56" s="339">
        <f t="shared" si="30"/>
        <v>30356105</v>
      </c>
      <c r="I56" s="339">
        <f t="shared" si="30"/>
        <v>73050000</v>
      </c>
      <c r="J56" s="339">
        <f t="shared" si="30"/>
        <v>28788210</v>
      </c>
      <c r="K56" s="339">
        <f t="shared" si="30"/>
        <v>9500000</v>
      </c>
      <c r="L56" s="339">
        <f t="shared" si="30"/>
        <v>28788210</v>
      </c>
      <c r="M56" s="339">
        <f t="shared" si="30"/>
        <v>7932105</v>
      </c>
      <c r="N56" s="339">
        <f t="shared" si="30"/>
        <v>20856105</v>
      </c>
      <c r="O56" s="339">
        <f t="shared" si="30"/>
        <v>7038621</v>
      </c>
      <c r="P56" s="339">
        <f t="shared" si="30"/>
        <v>774060</v>
      </c>
      <c r="Q56" s="339">
        <f t="shared" si="30"/>
        <v>13043424</v>
      </c>
      <c r="R56" s="339">
        <f t="shared" si="30"/>
        <v>0</v>
      </c>
      <c r="S56" s="339">
        <f t="shared" si="30"/>
        <v>0</v>
      </c>
      <c r="T56" s="339">
        <f t="shared" si="30"/>
        <v>470000</v>
      </c>
      <c r="U56" s="339">
        <f t="shared" si="30"/>
        <v>0</v>
      </c>
      <c r="V56" s="339">
        <f t="shared" si="30"/>
        <v>586105</v>
      </c>
      <c r="W56" s="339">
        <f t="shared" si="30"/>
        <v>6998700</v>
      </c>
      <c r="X56" s="339">
        <f t="shared" si="30"/>
        <v>0</v>
      </c>
      <c r="Y56" s="339">
        <f t="shared" si="30"/>
        <v>0</v>
      </c>
      <c r="Z56" s="339">
        <f t="shared" si="30"/>
        <v>0</v>
      </c>
      <c r="AA56" s="339">
        <f t="shared" si="30"/>
        <v>0</v>
      </c>
      <c r="AB56" s="339">
        <f t="shared" si="30"/>
        <v>0</v>
      </c>
      <c r="AC56" s="339">
        <f t="shared" si="30"/>
        <v>0</v>
      </c>
      <c r="AD56" s="339">
        <f t="shared" si="30"/>
        <v>0</v>
      </c>
      <c r="AE56" s="339">
        <f t="shared" si="30"/>
        <v>0</v>
      </c>
      <c r="AF56" s="339">
        <f t="shared" si="30"/>
        <v>0</v>
      </c>
      <c r="AG56" s="339">
        <f t="shared" si="30"/>
        <v>8054805</v>
      </c>
      <c r="AH56" s="339">
        <f>SUM(AH48:AH55)</f>
        <v>0</v>
      </c>
      <c r="AI56" s="339">
        <f t="shared" si="30"/>
        <v>8054805</v>
      </c>
      <c r="AJ56" s="339">
        <f t="shared" ref="AJ56:AP56" si="31">SUM(AJ48:AJ55)</f>
        <v>12801300</v>
      </c>
      <c r="AK56" s="339">
        <f t="shared" si="31"/>
        <v>4238621</v>
      </c>
      <c r="AL56" s="339">
        <f t="shared" si="31"/>
        <v>-225940</v>
      </c>
      <c r="AM56" s="339">
        <f t="shared" si="31"/>
        <v>4042124</v>
      </c>
      <c r="AN56" s="339">
        <f t="shared" si="31"/>
        <v>0</v>
      </c>
      <c r="AO56" s="339">
        <f t="shared" si="31"/>
        <v>0</v>
      </c>
      <c r="AP56" s="339">
        <f t="shared" si="31"/>
        <v>0</v>
      </c>
      <c r="AQ56" s="339">
        <f t="shared" si="30"/>
        <v>3800000</v>
      </c>
      <c r="AR56" s="339">
        <f t="shared" si="30"/>
        <v>0</v>
      </c>
      <c r="AS56" s="339">
        <f t="shared" si="30"/>
        <v>9001300</v>
      </c>
    </row>
    <row r="57" spans="1:45" s="264" customFormat="1">
      <c r="A57" s="586"/>
      <c r="B57" s="587"/>
      <c r="C57" s="587"/>
      <c r="D57" s="587"/>
      <c r="E57" s="578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597"/>
      <c r="AQ57" s="339"/>
      <c r="AR57" s="339"/>
      <c r="AS57" s="597"/>
    </row>
    <row r="58" spans="1:45" s="264" customFormat="1">
      <c r="A58" s="258"/>
      <c r="B58" s="332"/>
      <c r="C58" s="332"/>
      <c r="D58" s="332"/>
      <c r="E58" s="578" t="s">
        <v>856</v>
      </c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2"/>
      <c r="R58" s="332"/>
      <c r="S58" s="332"/>
      <c r="T58" s="332"/>
      <c r="U58" s="332"/>
      <c r="V58" s="332"/>
      <c r="W58" s="332"/>
      <c r="X58" s="339"/>
      <c r="Y58" s="339"/>
      <c r="Z58" s="339"/>
      <c r="AA58" s="339"/>
      <c r="AB58" s="339"/>
      <c r="AC58" s="339"/>
      <c r="AD58" s="344"/>
      <c r="AE58" s="344"/>
      <c r="AF58" s="344"/>
      <c r="AG58" s="332"/>
      <c r="AH58" s="332"/>
      <c r="AI58" s="332"/>
      <c r="AJ58" s="332"/>
      <c r="AK58" s="332"/>
      <c r="AL58" s="332"/>
      <c r="AM58" s="332"/>
      <c r="AN58" s="332"/>
      <c r="AO58" s="332"/>
      <c r="AP58" s="579"/>
      <c r="AQ58" s="332"/>
      <c r="AR58" s="332"/>
      <c r="AS58" s="579"/>
    </row>
    <row r="59" spans="1:45" s="592" customFormat="1" ht="31.5">
      <c r="A59" s="580" t="s">
        <v>840</v>
      </c>
      <c r="B59" s="589" t="s">
        <v>841</v>
      </c>
      <c r="C59" s="332">
        <f>C57+1</f>
        <v>1</v>
      </c>
      <c r="D59" s="536">
        <v>1857</v>
      </c>
      <c r="E59" s="505" t="s">
        <v>1115</v>
      </c>
      <c r="F59" s="537">
        <v>345015</v>
      </c>
      <c r="G59" s="537">
        <v>373500</v>
      </c>
      <c r="H59" s="537">
        <f>F59-G59</f>
        <v>-28485</v>
      </c>
      <c r="I59" s="537">
        <v>373500</v>
      </c>
      <c r="J59" s="537">
        <v>-28485</v>
      </c>
      <c r="K59" s="537">
        <f>F59-I59-J59</f>
        <v>0</v>
      </c>
      <c r="L59" s="537">
        <f>J59</f>
        <v>-28485</v>
      </c>
      <c r="M59" s="537"/>
      <c r="N59" s="537">
        <f>L59-M59</f>
        <v>-28485</v>
      </c>
      <c r="O59" s="336">
        <f>N59-P59-Q59</f>
        <v>0</v>
      </c>
      <c r="P59" s="537"/>
      <c r="Q59" s="537">
        <v>-28485</v>
      </c>
      <c r="R59" s="537"/>
      <c r="S59" s="537"/>
      <c r="T59" s="537"/>
      <c r="U59" s="537"/>
      <c r="V59" s="537"/>
      <c r="W59" s="590">
        <v>-28485</v>
      </c>
      <c r="X59" s="332"/>
      <c r="Y59" s="332"/>
      <c r="Z59" s="332"/>
      <c r="AA59" s="332"/>
      <c r="AB59" s="332"/>
      <c r="AC59" s="339"/>
      <c r="AD59" s="537"/>
      <c r="AE59" s="537"/>
      <c r="AF59" s="537"/>
      <c r="AG59" s="336">
        <f>SUM(R59:AF59)</f>
        <v>-28485</v>
      </c>
      <c r="AH59" s="336"/>
      <c r="AI59" s="336">
        <f>AG59+AH59</f>
        <v>-28485</v>
      </c>
      <c r="AJ59" s="336">
        <f>N59-AI59</f>
        <v>0</v>
      </c>
      <c r="AK59" s="336">
        <f>AI59-AL59-AM59</f>
        <v>0</v>
      </c>
      <c r="AL59" s="336"/>
      <c r="AM59" s="336">
        <v>-28485</v>
      </c>
      <c r="AN59" s="336">
        <f>AH59-AO59-AP59</f>
        <v>0</v>
      </c>
      <c r="AO59" s="336"/>
      <c r="AP59" s="585"/>
      <c r="AQ59" s="336">
        <f>AJ59-AR59-AS59</f>
        <v>0</v>
      </c>
      <c r="AR59" s="336"/>
      <c r="AS59" s="585"/>
    </row>
    <row r="60" spans="1:45" s="592" customFormat="1">
      <c r="A60" s="580" t="s">
        <v>840</v>
      </c>
      <c r="B60" s="589" t="s">
        <v>841</v>
      </c>
      <c r="C60" s="332">
        <f>C59+1</f>
        <v>2</v>
      </c>
      <c r="D60" s="536">
        <v>2005</v>
      </c>
      <c r="E60" s="505" t="s">
        <v>437</v>
      </c>
      <c r="F60" s="537">
        <v>100000</v>
      </c>
      <c r="G60" s="537"/>
      <c r="H60" s="537">
        <f>F60-G60</f>
        <v>100000</v>
      </c>
      <c r="I60" s="537"/>
      <c r="J60" s="537">
        <v>100000</v>
      </c>
      <c r="K60" s="537">
        <f>F60-I60-J60</f>
        <v>0</v>
      </c>
      <c r="L60" s="537">
        <f>J60</f>
        <v>100000</v>
      </c>
      <c r="M60" s="537"/>
      <c r="N60" s="537">
        <f>L60-M60</f>
        <v>100000</v>
      </c>
      <c r="O60" s="336">
        <f>N60-P60-Q60</f>
        <v>0</v>
      </c>
      <c r="P60" s="537">
        <v>100000</v>
      </c>
      <c r="Q60" s="537"/>
      <c r="R60" s="537"/>
      <c r="S60" s="537"/>
      <c r="T60" s="537"/>
      <c r="U60" s="537"/>
      <c r="V60" s="537"/>
      <c r="W60" s="590">
        <v>100000</v>
      </c>
      <c r="X60" s="332"/>
      <c r="Y60" s="332"/>
      <c r="Z60" s="332"/>
      <c r="AA60" s="332"/>
      <c r="AB60" s="332"/>
      <c r="AC60" s="339"/>
      <c r="AD60" s="537"/>
      <c r="AE60" s="537"/>
      <c r="AF60" s="537"/>
      <c r="AG60" s="336">
        <f>SUM(R60:AF60)</f>
        <v>100000</v>
      </c>
      <c r="AH60" s="336"/>
      <c r="AI60" s="336">
        <f>AG60+AH60</f>
        <v>100000</v>
      </c>
      <c r="AJ60" s="336">
        <f>N60-AI60</f>
        <v>0</v>
      </c>
      <c r="AK60" s="336">
        <f>AI60-AL60-AM60</f>
        <v>0</v>
      </c>
      <c r="AL60" s="336">
        <v>100000</v>
      </c>
      <c r="AM60" s="336"/>
      <c r="AN60" s="336">
        <f>AH60-AO60-AP60</f>
        <v>0</v>
      </c>
      <c r="AO60" s="336"/>
      <c r="AP60" s="585"/>
      <c r="AQ60" s="336">
        <f>AJ60-AR60-AS60</f>
        <v>0</v>
      </c>
      <c r="AR60" s="336"/>
      <c r="AS60" s="585"/>
    </row>
    <row r="61" spans="1:45" s="264" customFormat="1">
      <c r="A61" s="586"/>
      <c r="B61" s="587"/>
      <c r="C61" s="587">
        <f>COUNT(C59:C60)</f>
        <v>2</v>
      </c>
      <c r="D61" s="587"/>
      <c r="E61" s="578" t="s">
        <v>857</v>
      </c>
      <c r="F61" s="339">
        <f>SUM(F59:F60)</f>
        <v>445015</v>
      </c>
      <c r="G61" s="339">
        <f t="shared" ref="G61:AS61" si="32">SUM(G59:G60)</f>
        <v>373500</v>
      </c>
      <c r="H61" s="339">
        <f t="shared" si="32"/>
        <v>71515</v>
      </c>
      <c r="I61" s="339">
        <f t="shared" si="32"/>
        <v>373500</v>
      </c>
      <c r="J61" s="339">
        <f t="shared" si="32"/>
        <v>71515</v>
      </c>
      <c r="K61" s="339">
        <f t="shared" si="32"/>
        <v>0</v>
      </c>
      <c r="L61" s="339">
        <f t="shared" si="32"/>
        <v>71515</v>
      </c>
      <c r="M61" s="339">
        <f t="shared" si="32"/>
        <v>0</v>
      </c>
      <c r="N61" s="339">
        <f t="shared" si="32"/>
        <v>71515</v>
      </c>
      <c r="O61" s="339">
        <f t="shared" si="32"/>
        <v>0</v>
      </c>
      <c r="P61" s="339">
        <f t="shared" si="32"/>
        <v>100000</v>
      </c>
      <c r="Q61" s="339">
        <f t="shared" si="32"/>
        <v>-28485</v>
      </c>
      <c r="R61" s="339">
        <f t="shared" si="32"/>
        <v>0</v>
      </c>
      <c r="S61" s="339">
        <f t="shared" si="32"/>
        <v>0</v>
      </c>
      <c r="T61" s="339">
        <f t="shared" si="32"/>
        <v>0</v>
      </c>
      <c r="U61" s="339">
        <f t="shared" si="32"/>
        <v>0</v>
      </c>
      <c r="V61" s="339">
        <f t="shared" si="32"/>
        <v>0</v>
      </c>
      <c r="W61" s="339">
        <f t="shared" si="32"/>
        <v>71515</v>
      </c>
      <c r="X61" s="339">
        <f t="shared" si="32"/>
        <v>0</v>
      </c>
      <c r="Y61" s="339">
        <f t="shared" si="32"/>
        <v>0</v>
      </c>
      <c r="Z61" s="339">
        <f t="shared" si="32"/>
        <v>0</v>
      </c>
      <c r="AA61" s="339">
        <f t="shared" si="32"/>
        <v>0</v>
      </c>
      <c r="AB61" s="339">
        <f t="shared" si="32"/>
        <v>0</v>
      </c>
      <c r="AC61" s="339">
        <f t="shared" si="32"/>
        <v>0</v>
      </c>
      <c r="AD61" s="339">
        <f t="shared" si="32"/>
        <v>0</v>
      </c>
      <c r="AE61" s="339">
        <f t="shared" si="32"/>
        <v>0</v>
      </c>
      <c r="AF61" s="339">
        <f t="shared" si="32"/>
        <v>0</v>
      </c>
      <c r="AG61" s="339">
        <f t="shared" si="32"/>
        <v>71515</v>
      </c>
      <c r="AH61" s="339">
        <f>SUM(AH59:AH60)</f>
        <v>0</v>
      </c>
      <c r="AI61" s="339">
        <f t="shared" si="32"/>
        <v>71515</v>
      </c>
      <c r="AJ61" s="339">
        <f t="shared" ref="AJ61:AP61" si="33">SUM(AJ59:AJ60)</f>
        <v>0</v>
      </c>
      <c r="AK61" s="339">
        <f t="shared" si="33"/>
        <v>0</v>
      </c>
      <c r="AL61" s="339">
        <f t="shared" si="33"/>
        <v>100000</v>
      </c>
      <c r="AM61" s="339">
        <f t="shared" si="33"/>
        <v>-28485</v>
      </c>
      <c r="AN61" s="339">
        <f t="shared" si="33"/>
        <v>0</v>
      </c>
      <c r="AO61" s="339">
        <f t="shared" si="33"/>
        <v>0</v>
      </c>
      <c r="AP61" s="339">
        <f t="shared" si="33"/>
        <v>0</v>
      </c>
      <c r="AQ61" s="339">
        <f t="shared" si="32"/>
        <v>0</v>
      </c>
      <c r="AR61" s="339">
        <f t="shared" si="32"/>
        <v>0</v>
      </c>
      <c r="AS61" s="339">
        <f t="shared" si="32"/>
        <v>0</v>
      </c>
    </row>
    <row r="62" spans="1:45" s="264" customFormat="1">
      <c r="A62" s="586"/>
      <c r="B62" s="587"/>
      <c r="C62" s="587"/>
      <c r="D62" s="587"/>
      <c r="E62" s="578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597"/>
      <c r="AQ62" s="339"/>
      <c r="AR62" s="339"/>
      <c r="AS62" s="597"/>
    </row>
    <row r="63" spans="1:45" s="264" customFormat="1">
      <c r="A63" s="258"/>
      <c r="B63" s="332"/>
      <c r="C63" s="332"/>
      <c r="D63" s="332"/>
      <c r="E63" s="578" t="s">
        <v>858</v>
      </c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536"/>
      <c r="AE63" s="536"/>
      <c r="AF63" s="536"/>
      <c r="AG63" s="332"/>
      <c r="AH63" s="332"/>
      <c r="AI63" s="332"/>
      <c r="AJ63" s="332"/>
      <c r="AK63" s="332"/>
      <c r="AL63" s="332"/>
      <c r="AM63" s="332"/>
      <c r="AN63" s="332"/>
      <c r="AO63" s="332"/>
      <c r="AP63" s="579"/>
      <c r="AQ63" s="332"/>
      <c r="AR63" s="332"/>
      <c r="AS63" s="579"/>
    </row>
    <row r="64" spans="1:45" s="264" customFormat="1">
      <c r="A64" s="580" t="s">
        <v>842</v>
      </c>
      <c r="B64" s="581" t="s">
        <v>843</v>
      </c>
      <c r="C64" s="332">
        <v>1</v>
      </c>
      <c r="D64" s="332">
        <v>1987</v>
      </c>
      <c r="E64" s="582" t="s">
        <v>859</v>
      </c>
      <c r="F64" s="336">
        <v>120000</v>
      </c>
      <c r="G64" s="336"/>
      <c r="H64" s="336">
        <f t="shared" ref="H64:H73" si="34">F64-G64</f>
        <v>120000</v>
      </c>
      <c r="I64" s="336"/>
      <c r="J64" s="336">
        <v>120000</v>
      </c>
      <c r="K64" s="336">
        <f t="shared" ref="K64:K73" si="35">F64-I64-J64</f>
        <v>0</v>
      </c>
      <c r="L64" s="336">
        <f t="shared" ref="L64:L73" si="36">J64</f>
        <v>120000</v>
      </c>
      <c r="M64" s="336"/>
      <c r="N64" s="336">
        <f t="shared" ref="N64:N73" si="37">L64-M64</f>
        <v>120000</v>
      </c>
      <c r="O64" s="336">
        <f t="shared" ref="O64:O69" si="38">N64-P64-Q64</f>
        <v>0</v>
      </c>
      <c r="P64" s="336"/>
      <c r="Q64" s="336">
        <v>120000</v>
      </c>
      <c r="R64" s="336">
        <v>120000</v>
      </c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537"/>
      <c r="AE64" s="537"/>
      <c r="AF64" s="537"/>
      <c r="AG64" s="336">
        <f t="shared" ref="AG64:AG73" si="39">SUM(R64:AF64)</f>
        <v>120000</v>
      </c>
      <c r="AH64" s="336"/>
      <c r="AI64" s="336">
        <f>AG64+AH64</f>
        <v>120000</v>
      </c>
      <c r="AJ64" s="336">
        <f>N64-AI64</f>
        <v>0</v>
      </c>
      <c r="AK64" s="336"/>
      <c r="AL64" s="336">
        <f>AI64-AM64</f>
        <v>0</v>
      </c>
      <c r="AM64" s="336">
        <v>120000</v>
      </c>
      <c r="AN64" s="336">
        <f>AH64-AO64-AP64</f>
        <v>0</v>
      </c>
      <c r="AO64" s="336"/>
      <c r="AP64" s="585"/>
      <c r="AQ64" s="336">
        <f>AJ64-AR64-AS64</f>
        <v>0</v>
      </c>
      <c r="AR64" s="336"/>
      <c r="AS64" s="585"/>
    </row>
    <row r="65" spans="1:45" s="264" customFormat="1">
      <c r="A65" s="580" t="s">
        <v>844</v>
      </c>
      <c r="B65" s="589" t="s">
        <v>845</v>
      </c>
      <c r="C65" s="332">
        <f>C64+1</f>
        <v>2</v>
      </c>
      <c r="D65" s="332">
        <v>1990</v>
      </c>
      <c r="E65" s="582" t="s">
        <v>439</v>
      </c>
      <c r="F65" s="336">
        <v>58800</v>
      </c>
      <c r="G65" s="336"/>
      <c r="H65" s="336">
        <f t="shared" si="34"/>
        <v>58800</v>
      </c>
      <c r="I65" s="336"/>
      <c r="J65" s="336">
        <v>58800</v>
      </c>
      <c r="K65" s="336">
        <f t="shared" si="35"/>
        <v>0</v>
      </c>
      <c r="L65" s="336">
        <f t="shared" si="36"/>
        <v>58800</v>
      </c>
      <c r="M65" s="336"/>
      <c r="N65" s="336">
        <f t="shared" si="37"/>
        <v>58800</v>
      </c>
      <c r="O65" s="336">
        <f t="shared" si="38"/>
        <v>0</v>
      </c>
      <c r="P65" s="336"/>
      <c r="Q65" s="336">
        <v>58800</v>
      </c>
      <c r="R65" s="336"/>
      <c r="S65" s="336"/>
      <c r="T65" s="336"/>
      <c r="U65" s="336"/>
      <c r="V65" s="336">
        <v>58800</v>
      </c>
      <c r="W65" s="336"/>
      <c r="X65" s="336"/>
      <c r="Y65" s="336"/>
      <c r="Z65" s="336"/>
      <c r="AA65" s="336"/>
      <c r="AB65" s="336"/>
      <c r="AC65" s="336"/>
      <c r="AD65" s="537"/>
      <c r="AE65" s="537"/>
      <c r="AF65" s="537"/>
      <c r="AG65" s="336">
        <f t="shared" si="39"/>
        <v>58800</v>
      </c>
      <c r="AH65" s="336"/>
      <c r="AI65" s="336">
        <f t="shared" ref="AI65:AI73" si="40">AG65+AH65</f>
        <v>58800</v>
      </c>
      <c r="AJ65" s="336">
        <f t="shared" ref="AJ65:AJ73" si="41">N65-AI65</f>
        <v>0</v>
      </c>
      <c r="AK65" s="336"/>
      <c r="AL65" s="336">
        <f t="shared" ref="AL65:AL73" si="42">AI65-AM65</f>
        <v>0</v>
      </c>
      <c r="AM65" s="336">
        <v>58800</v>
      </c>
      <c r="AN65" s="336">
        <f t="shared" ref="AN65:AN73" si="43">AH65-AO65-AP65</f>
        <v>0</v>
      </c>
      <c r="AO65" s="336"/>
      <c r="AP65" s="585"/>
      <c r="AQ65" s="336">
        <f t="shared" ref="AQ65:AQ73" si="44">AJ65-AR65-AS65</f>
        <v>0</v>
      </c>
      <c r="AR65" s="336"/>
      <c r="AS65" s="585"/>
    </row>
    <row r="66" spans="1:45" s="264" customFormat="1">
      <c r="A66" s="598" t="s">
        <v>860</v>
      </c>
      <c r="B66" s="589" t="s">
        <v>861</v>
      </c>
      <c r="C66" s="332">
        <f t="shared" ref="C66:C73" si="45">C65+1</f>
        <v>3</v>
      </c>
      <c r="D66" s="332">
        <v>1976</v>
      </c>
      <c r="E66" s="582" t="s">
        <v>862</v>
      </c>
      <c r="F66" s="336">
        <v>644100</v>
      </c>
      <c r="G66" s="336">
        <v>44100</v>
      </c>
      <c r="H66" s="336">
        <f t="shared" si="34"/>
        <v>600000</v>
      </c>
      <c r="I66" s="336"/>
      <c r="J66" s="336">
        <v>644100</v>
      </c>
      <c r="K66" s="336">
        <f t="shared" si="35"/>
        <v>0</v>
      </c>
      <c r="L66" s="336">
        <f t="shared" si="36"/>
        <v>644100</v>
      </c>
      <c r="M66" s="336">
        <v>44100</v>
      </c>
      <c r="N66" s="336">
        <f t="shared" si="37"/>
        <v>600000</v>
      </c>
      <c r="O66" s="336">
        <f t="shared" si="38"/>
        <v>0</v>
      </c>
      <c r="P66" s="336">
        <v>600000</v>
      </c>
      <c r="Q66" s="336"/>
      <c r="R66" s="336"/>
      <c r="S66" s="336"/>
      <c r="T66" s="336">
        <v>600000</v>
      </c>
      <c r="U66" s="336"/>
      <c r="V66" s="336"/>
      <c r="W66" s="336"/>
      <c r="X66" s="336"/>
      <c r="Y66" s="336"/>
      <c r="Z66" s="336"/>
      <c r="AA66" s="336"/>
      <c r="AB66" s="336"/>
      <c r="AC66" s="336"/>
      <c r="AD66" s="537"/>
      <c r="AE66" s="537"/>
      <c r="AF66" s="537"/>
      <c r="AG66" s="336">
        <f t="shared" si="39"/>
        <v>600000</v>
      </c>
      <c r="AH66" s="336"/>
      <c r="AI66" s="336">
        <f t="shared" si="40"/>
        <v>600000</v>
      </c>
      <c r="AJ66" s="336">
        <f t="shared" si="41"/>
        <v>0</v>
      </c>
      <c r="AK66" s="336"/>
      <c r="AL66" s="336">
        <f t="shared" si="42"/>
        <v>600000</v>
      </c>
      <c r="AM66" s="336"/>
      <c r="AN66" s="336">
        <f t="shared" si="43"/>
        <v>0</v>
      </c>
      <c r="AO66" s="336"/>
      <c r="AP66" s="585"/>
      <c r="AQ66" s="336">
        <f t="shared" si="44"/>
        <v>0</v>
      </c>
      <c r="AR66" s="336"/>
      <c r="AS66" s="585"/>
    </row>
    <row r="67" spans="1:45" s="264" customFormat="1">
      <c r="A67" s="598" t="s">
        <v>860</v>
      </c>
      <c r="B67" s="589" t="s">
        <v>861</v>
      </c>
      <c r="C67" s="332">
        <f t="shared" si="45"/>
        <v>4</v>
      </c>
      <c r="D67" s="332">
        <v>1999</v>
      </c>
      <c r="E67" s="595" t="s">
        <v>908</v>
      </c>
      <c r="F67" s="596">
        <v>190000</v>
      </c>
      <c r="G67" s="596"/>
      <c r="H67" s="596">
        <f t="shared" si="34"/>
        <v>190000</v>
      </c>
      <c r="I67" s="596"/>
      <c r="J67" s="596">
        <v>190000</v>
      </c>
      <c r="K67" s="596">
        <f t="shared" si="35"/>
        <v>0</v>
      </c>
      <c r="L67" s="596">
        <f t="shared" si="36"/>
        <v>190000</v>
      </c>
      <c r="M67" s="596"/>
      <c r="N67" s="596">
        <f t="shared" si="37"/>
        <v>190000</v>
      </c>
      <c r="O67" s="596">
        <f t="shared" si="38"/>
        <v>0</v>
      </c>
      <c r="P67" s="596">
        <v>190000</v>
      </c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537"/>
      <c r="AE67" s="537"/>
      <c r="AF67" s="537"/>
      <c r="AG67" s="336">
        <f t="shared" si="39"/>
        <v>0</v>
      </c>
      <c r="AH67" s="596"/>
      <c r="AI67" s="336">
        <f t="shared" si="40"/>
        <v>0</v>
      </c>
      <c r="AJ67" s="596">
        <f t="shared" si="41"/>
        <v>190000</v>
      </c>
      <c r="AK67" s="336"/>
      <c r="AL67" s="336">
        <f t="shared" si="42"/>
        <v>0</v>
      </c>
      <c r="AM67" s="336"/>
      <c r="AN67" s="336">
        <f t="shared" si="43"/>
        <v>0</v>
      </c>
      <c r="AO67" s="336"/>
      <c r="AP67" s="585"/>
      <c r="AQ67" s="596">
        <f t="shared" si="44"/>
        <v>190000</v>
      </c>
      <c r="AR67" s="336"/>
      <c r="AS67" s="585"/>
    </row>
    <row r="68" spans="1:45" s="264" customFormat="1">
      <c r="A68" s="580" t="s">
        <v>837</v>
      </c>
      <c r="B68" s="589" t="s">
        <v>838</v>
      </c>
      <c r="C68" s="332">
        <f t="shared" si="45"/>
        <v>5</v>
      </c>
      <c r="D68" s="332">
        <v>1930</v>
      </c>
      <c r="E68" s="582" t="s">
        <v>863</v>
      </c>
      <c r="F68" s="336">
        <v>400000</v>
      </c>
      <c r="G68" s="336">
        <v>320000</v>
      </c>
      <c r="H68" s="336">
        <f t="shared" si="34"/>
        <v>80000</v>
      </c>
      <c r="I68" s="336">
        <v>320000</v>
      </c>
      <c r="J68" s="336">
        <v>80000</v>
      </c>
      <c r="K68" s="336">
        <f t="shared" si="35"/>
        <v>0</v>
      </c>
      <c r="L68" s="336">
        <f t="shared" si="36"/>
        <v>80000</v>
      </c>
      <c r="M68" s="336"/>
      <c r="N68" s="336">
        <f t="shared" si="37"/>
        <v>80000</v>
      </c>
      <c r="O68" s="336">
        <f t="shared" si="38"/>
        <v>0</v>
      </c>
      <c r="P68" s="336">
        <v>80000</v>
      </c>
      <c r="Q68" s="336"/>
      <c r="R68" s="336"/>
      <c r="S68" s="336"/>
      <c r="T68" s="336"/>
      <c r="U68" s="336"/>
      <c r="V68" s="336">
        <v>80000</v>
      </c>
      <c r="W68" s="336"/>
      <c r="X68" s="336"/>
      <c r="Y68" s="336"/>
      <c r="Z68" s="336"/>
      <c r="AA68" s="336"/>
      <c r="AB68" s="336"/>
      <c r="AC68" s="336"/>
      <c r="AD68" s="537"/>
      <c r="AE68" s="537"/>
      <c r="AF68" s="537"/>
      <c r="AG68" s="336">
        <f t="shared" si="39"/>
        <v>80000</v>
      </c>
      <c r="AH68" s="336"/>
      <c r="AI68" s="336">
        <f t="shared" si="40"/>
        <v>80000</v>
      </c>
      <c r="AJ68" s="336">
        <f t="shared" si="41"/>
        <v>0</v>
      </c>
      <c r="AK68" s="336"/>
      <c r="AL68" s="336">
        <f t="shared" si="42"/>
        <v>80000</v>
      </c>
      <c r="AM68" s="336"/>
      <c r="AN68" s="336">
        <f t="shared" si="43"/>
        <v>0</v>
      </c>
      <c r="AO68" s="336"/>
      <c r="AP68" s="585"/>
      <c r="AQ68" s="336">
        <f t="shared" si="44"/>
        <v>0</v>
      </c>
      <c r="AR68" s="336"/>
      <c r="AS68" s="585"/>
    </row>
    <row r="69" spans="1:45" s="264" customFormat="1">
      <c r="A69" s="580" t="s">
        <v>837</v>
      </c>
      <c r="B69" s="589" t="s">
        <v>838</v>
      </c>
      <c r="C69" s="332">
        <f t="shared" si="45"/>
        <v>6</v>
      </c>
      <c r="D69" s="332">
        <v>1776</v>
      </c>
      <c r="E69" s="582" t="s">
        <v>864</v>
      </c>
      <c r="F69" s="336">
        <v>350000</v>
      </c>
      <c r="G69" s="336">
        <v>240000</v>
      </c>
      <c r="H69" s="336">
        <f t="shared" si="34"/>
        <v>110000</v>
      </c>
      <c r="I69" s="336">
        <v>240000</v>
      </c>
      <c r="J69" s="336">
        <v>110000</v>
      </c>
      <c r="K69" s="336">
        <f t="shared" si="35"/>
        <v>0</v>
      </c>
      <c r="L69" s="336">
        <f t="shared" si="36"/>
        <v>110000</v>
      </c>
      <c r="M69" s="336"/>
      <c r="N69" s="336">
        <f t="shared" si="37"/>
        <v>110000</v>
      </c>
      <c r="O69" s="336">
        <f t="shared" si="38"/>
        <v>0</v>
      </c>
      <c r="P69" s="336">
        <v>110000</v>
      </c>
      <c r="Q69" s="336"/>
      <c r="R69" s="336"/>
      <c r="S69" s="336"/>
      <c r="T69" s="336"/>
      <c r="U69" s="336"/>
      <c r="V69" s="336">
        <v>110000</v>
      </c>
      <c r="W69" s="336"/>
      <c r="X69" s="336"/>
      <c r="Y69" s="336"/>
      <c r="Z69" s="336"/>
      <c r="AA69" s="336"/>
      <c r="AB69" s="336"/>
      <c r="AC69" s="336"/>
      <c r="AD69" s="537"/>
      <c r="AE69" s="537"/>
      <c r="AF69" s="537"/>
      <c r="AG69" s="336">
        <f t="shared" si="39"/>
        <v>110000</v>
      </c>
      <c r="AH69" s="336"/>
      <c r="AI69" s="336">
        <f t="shared" si="40"/>
        <v>110000</v>
      </c>
      <c r="AJ69" s="336">
        <f t="shared" si="41"/>
        <v>0</v>
      </c>
      <c r="AK69" s="336"/>
      <c r="AL69" s="336">
        <f t="shared" si="42"/>
        <v>110000</v>
      </c>
      <c r="AM69" s="336"/>
      <c r="AN69" s="336">
        <f t="shared" si="43"/>
        <v>0</v>
      </c>
      <c r="AO69" s="336"/>
      <c r="AP69" s="585"/>
      <c r="AQ69" s="336">
        <f t="shared" si="44"/>
        <v>0</v>
      </c>
      <c r="AR69" s="336"/>
      <c r="AS69" s="585"/>
    </row>
    <row r="70" spans="1:45" s="592" customFormat="1">
      <c r="A70" s="580" t="s">
        <v>840</v>
      </c>
      <c r="B70" s="589" t="s">
        <v>841</v>
      </c>
      <c r="C70" s="332">
        <f t="shared" si="45"/>
        <v>7</v>
      </c>
      <c r="D70" s="536">
        <v>1895</v>
      </c>
      <c r="E70" s="505" t="s">
        <v>865</v>
      </c>
      <c r="F70" s="537">
        <v>585287</v>
      </c>
      <c r="G70" s="537">
        <v>600000</v>
      </c>
      <c r="H70" s="537">
        <f>F70-G70</f>
        <v>-14713</v>
      </c>
      <c r="I70" s="537">
        <v>600000</v>
      </c>
      <c r="J70" s="537">
        <v>-14713</v>
      </c>
      <c r="K70" s="537">
        <f>F70-I70-J70</f>
        <v>0</v>
      </c>
      <c r="L70" s="537">
        <f>J70</f>
        <v>-14713</v>
      </c>
      <c r="M70" s="537"/>
      <c r="N70" s="537">
        <f>L70-M70</f>
        <v>-14713</v>
      </c>
      <c r="O70" s="336">
        <f>N70-P70-Q70</f>
        <v>0</v>
      </c>
      <c r="P70" s="537">
        <v>20410</v>
      </c>
      <c r="Q70" s="537">
        <v>-35123</v>
      </c>
      <c r="R70" s="537"/>
      <c r="S70" s="537"/>
      <c r="T70" s="537"/>
      <c r="U70" s="537"/>
      <c r="V70" s="537"/>
      <c r="W70" s="590">
        <v>-14713</v>
      </c>
      <c r="X70" s="332"/>
      <c r="Y70" s="332"/>
      <c r="Z70" s="332"/>
      <c r="AA70" s="332"/>
      <c r="AB70" s="332"/>
      <c r="AC70" s="339"/>
      <c r="AD70" s="537"/>
      <c r="AE70" s="537"/>
      <c r="AF70" s="537"/>
      <c r="AG70" s="336">
        <f>SUM(R70:AF70)</f>
        <v>-14713</v>
      </c>
      <c r="AH70" s="336"/>
      <c r="AI70" s="336">
        <f t="shared" si="40"/>
        <v>-14713</v>
      </c>
      <c r="AJ70" s="336">
        <f t="shared" si="41"/>
        <v>0</v>
      </c>
      <c r="AK70" s="336"/>
      <c r="AL70" s="336">
        <f t="shared" si="42"/>
        <v>20410</v>
      </c>
      <c r="AM70" s="336">
        <v>-35123</v>
      </c>
      <c r="AN70" s="336">
        <f t="shared" si="43"/>
        <v>0</v>
      </c>
      <c r="AO70" s="336"/>
      <c r="AP70" s="585"/>
      <c r="AQ70" s="336">
        <f t="shared" si="44"/>
        <v>0</v>
      </c>
      <c r="AR70" s="336"/>
      <c r="AS70" s="585"/>
    </row>
    <row r="71" spans="1:45" s="264" customFormat="1">
      <c r="A71" s="580" t="s">
        <v>840</v>
      </c>
      <c r="B71" s="589" t="s">
        <v>841</v>
      </c>
      <c r="C71" s="332">
        <f t="shared" si="45"/>
        <v>8</v>
      </c>
      <c r="D71" s="332">
        <v>2003</v>
      </c>
      <c r="E71" s="582" t="s">
        <v>440</v>
      </c>
      <c r="F71" s="336">
        <v>150000</v>
      </c>
      <c r="G71" s="336"/>
      <c r="H71" s="336">
        <f>F71-G71</f>
        <v>150000</v>
      </c>
      <c r="I71" s="336"/>
      <c r="J71" s="336">
        <v>150000</v>
      </c>
      <c r="K71" s="336">
        <f>F71-I71-J71</f>
        <v>0</v>
      </c>
      <c r="L71" s="336">
        <f>J71</f>
        <v>150000</v>
      </c>
      <c r="M71" s="336"/>
      <c r="N71" s="336">
        <f>L71-M71</f>
        <v>150000</v>
      </c>
      <c r="O71" s="336">
        <f>N71-P71-Q71</f>
        <v>0</v>
      </c>
      <c r="P71" s="336">
        <v>150000</v>
      </c>
      <c r="Q71" s="336"/>
      <c r="R71" s="336"/>
      <c r="S71" s="336"/>
      <c r="T71" s="336"/>
      <c r="U71" s="336"/>
      <c r="V71" s="336"/>
      <c r="W71" s="590">
        <v>150000</v>
      </c>
      <c r="X71" s="336"/>
      <c r="Y71" s="336"/>
      <c r="Z71" s="336"/>
      <c r="AA71" s="336"/>
      <c r="AB71" s="336"/>
      <c r="AC71" s="336"/>
      <c r="AD71" s="537"/>
      <c r="AE71" s="537"/>
      <c r="AF71" s="537"/>
      <c r="AG71" s="336">
        <f>SUM(R71:AF71)</f>
        <v>150000</v>
      </c>
      <c r="AH71" s="336"/>
      <c r="AI71" s="336">
        <f t="shared" si="40"/>
        <v>150000</v>
      </c>
      <c r="AJ71" s="336">
        <f t="shared" si="41"/>
        <v>0</v>
      </c>
      <c r="AK71" s="336"/>
      <c r="AL71" s="336">
        <f t="shared" si="42"/>
        <v>150000</v>
      </c>
      <c r="AM71" s="336"/>
      <c r="AN71" s="336">
        <f t="shared" si="43"/>
        <v>0</v>
      </c>
      <c r="AO71" s="336"/>
      <c r="AP71" s="585"/>
      <c r="AQ71" s="336">
        <f t="shared" si="44"/>
        <v>0</v>
      </c>
      <c r="AR71" s="336"/>
      <c r="AS71" s="585"/>
    </row>
    <row r="72" spans="1:45" s="264" customFormat="1">
      <c r="A72" s="580" t="s">
        <v>840</v>
      </c>
      <c r="B72" s="589" t="s">
        <v>841</v>
      </c>
      <c r="C72" s="332">
        <f t="shared" si="45"/>
        <v>9</v>
      </c>
      <c r="D72" s="332">
        <v>2004</v>
      </c>
      <c r="E72" s="582" t="s">
        <v>442</v>
      </c>
      <c r="F72" s="336">
        <v>535000</v>
      </c>
      <c r="G72" s="336"/>
      <c r="H72" s="336">
        <f>F72-G72</f>
        <v>535000</v>
      </c>
      <c r="I72" s="336"/>
      <c r="J72" s="336">
        <v>185000</v>
      </c>
      <c r="K72" s="336">
        <f>F72-I72-J72</f>
        <v>350000</v>
      </c>
      <c r="L72" s="336">
        <f>J72</f>
        <v>185000</v>
      </c>
      <c r="M72" s="336"/>
      <c r="N72" s="336">
        <f>L72-M72</f>
        <v>185000</v>
      </c>
      <c r="O72" s="336">
        <f>N72-P72-Q72</f>
        <v>0</v>
      </c>
      <c r="P72" s="336">
        <v>185000</v>
      </c>
      <c r="Q72" s="336"/>
      <c r="R72" s="336"/>
      <c r="S72" s="336"/>
      <c r="T72" s="336"/>
      <c r="U72" s="336"/>
      <c r="V72" s="336"/>
      <c r="W72" s="590">
        <v>185000</v>
      </c>
      <c r="X72" s="336"/>
      <c r="Y72" s="336"/>
      <c r="Z72" s="336"/>
      <c r="AA72" s="336"/>
      <c r="AB72" s="336"/>
      <c r="AC72" s="336"/>
      <c r="AD72" s="537"/>
      <c r="AE72" s="537"/>
      <c r="AF72" s="537"/>
      <c r="AG72" s="336">
        <f>SUM(R72:AF72)</f>
        <v>185000</v>
      </c>
      <c r="AH72" s="336"/>
      <c r="AI72" s="336">
        <f t="shared" si="40"/>
        <v>185000</v>
      </c>
      <c r="AJ72" s="336">
        <f t="shared" si="41"/>
        <v>0</v>
      </c>
      <c r="AK72" s="336"/>
      <c r="AL72" s="336">
        <f t="shared" si="42"/>
        <v>185000</v>
      </c>
      <c r="AM72" s="336"/>
      <c r="AN72" s="336">
        <f t="shared" si="43"/>
        <v>0</v>
      </c>
      <c r="AO72" s="336"/>
      <c r="AP72" s="585"/>
      <c r="AQ72" s="336">
        <f t="shared" si="44"/>
        <v>0</v>
      </c>
      <c r="AR72" s="336"/>
      <c r="AS72" s="585"/>
    </row>
    <row r="73" spans="1:45" s="264" customFormat="1" ht="31.5">
      <c r="A73" s="580" t="s">
        <v>854</v>
      </c>
      <c r="B73" s="589" t="s">
        <v>841</v>
      </c>
      <c r="C73" s="332">
        <f t="shared" si="45"/>
        <v>10</v>
      </c>
      <c r="D73" s="335">
        <v>1890</v>
      </c>
      <c r="E73" s="582" t="s">
        <v>1116</v>
      </c>
      <c r="F73" s="336">
        <v>800000</v>
      </c>
      <c r="G73" s="336">
        <v>600000</v>
      </c>
      <c r="H73" s="336">
        <f t="shared" si="34"/>
        <v>200000</v>
      </c>
      <c r="I73" s="336">
        <v>600000</v>
      </c>
      <c r="J73" s="336">
        <v>200000</v>
      </c>
      <c r="K73" s="336">
        <f t="shared" si="35"/>
        <v>0</v>
      </c>
      <c r="L73" s="336">
        <f t="shared" si="36"/>
        <v>200000</v>
      </c>
      <c r="M73" s="336"/>
      <c r="N73" s="336">
        <f t="shared" si="37"/>
        <v>200000</v>
      </c>
      <c r="O73" s="336"/>
      <c r="P73" s="336">
        <f>N73-O73-Q73</f>
        <v>200000</v>
      </c>
      <c r="Q73" s="336"/>
      <c r="R73" s="336"/>
      <c r="S73" s="336"/>
      <c r="T73" s="336"/>
      <c r="U73" s="336"/>
      <c r="V73" s="336"/>
      <c r="W73" s="590">
        <v>200000</v>
      </c>
      <c r="X73" s="336"/>
      <c r="Y73" s="336"/>
      <c r="Z73" s="336"/>
      <c r="AA73" s="336"/>
      <c r="AB73" s="336"/>
      <c r="AC73" s="336"/>
      <c r="AD73" s="537"/>
      <c r="AE73" s="537"/>
      <c r="AF73" s="537"/>
      <c r="AG73" s="336">
        <f t="shared" si="39"/>
        <v>200000</v>
      </c>
      <c r="AH73" s="336"/>
      <c r="AI73" s="336">
        <f t="shared" si="40"/>
        <v>200000</v>
      </c>
      <c r="AJ73" s="336">
        <f t="shared" si="41"/>
        <v>0</v>
      </c>
      <c r="AK73" s="336"/>
      <c r="AL73" s="336">
        <f t="shared" si="42"/>
        <v>200000</v>
      </c>
      <c r="AM73" s="336"/>
      <c r="AN73" s="336">
        <f t="shared" si="43"/>
        <v>0</v>
      </c>
      <c r="AO73" s="336"/>
      <c r="AP73" s="585"/>
      <c r="AQ73" s="336">
        <f t="shared" si="44"/>
        <v>0</v>
      </c>
      <c r="AR73" s="336"/>
      <c r="AS73" s="585"/>
    </row>
    <row r="74" spans="1:45" s="264" customFormat="1">
      <c r="A74" s="586"/>
      <c r="B74" s="587"/>
      <c r="C74" s="587">
        <f>COUNT(C64:C73)</f>
        <v>10</v>
      </c>
      <c r="D74" s="587"/>
      <c r="E74" s="578" t="s">
        <v>866</v>
      </c>
      <c r="F74" s="339">
        <f>SUM(F64:F73)</f>
        <v>3833187</v>
      </c>
      <c r="G74" s="339">
        <f t="shared" ref="G74:AS74" si="46">SUM(G64:G73)</f>
        <v>1804100</v>
      </c>
      <c r="H74" s="339">
        <f t="shared" si="46"/>
        <v>2029087</v>
      </c>
      <c r="I74" s="339">
        <f t="shared" si="46"/>
        <v>1760000</v>
      </c>
      <c r="J74" s="339">
        <f t="shared" si="46"/>
        <v>1723187</v>
      </c>
      <c r="K74" s="339">
        <f t="shared" si="46"/>
        <v>350000</v>
      </c>
      <c r="L74" s="339">
        <f t="shared" si="46"/>
        <v>1723187</v>
      </c>
      <c r="M74" s="339">
        <f t="shared" si="46"/>
        <v>44100</v>
      </c>
      <c r="N74" s="339">
        <f t="shared" si="46"/>
        <v>1679087</v>
      </c>
      <c r="O74" s="339">
        <f t="shared" si="46"/>
        <v>0</v>
      </c>
      <c r="P74" s="339">
        <f t="shared" si="46"/>
        <v>1535410</v>
      </c>
      <c r="Q74" s="339">
        <f t="shared" si="46"/>
        <v>143677</v>
      </c>
      <c r="R74" s="339">
        <f t="shared" si="46"/>
        <v>120000</v>
      </c>
      <c r="S74" s="339">
        <f t="shared" si="46"/>
        <v>0</v>
      </c>
      <c r="T74" s="339">
        <f t="shared" si="46"/>
        <v>600000</v>
      </c>
      <c r="U74" s="339">
        <f t="shared" si="46"/>
        <v>0</v>
      </c>
      <c r="V74" s="339">
        <f t="shared" si="46"/>
        <v>248800</v>
      </c>
      <c r="W74" s="339">
        <f t="shared" si="46"/>
        <v>520287</v>
      </c>
      <c r="X74" s="339">
        <f t="shared" si="46"/>
        <v>0</v>
      </c>
      <c r="Y74" s="339">
        <f t="shared" si="46"/>
        <v>0</v>
      </c>
      <c r="Z74" s="339">
        <f t="shared" si="46"/>
        <v>0</v>
      </c>
      <c r="AA74" s="339">
        <f t="shared" si="46"/>
        <v>0</v>
      </c>
      <c r="AB74" s="339">
        <f t="shared" si="46"/>
        <v>0</v>
      </c>
      <c r="AC74" s="339">
        <f t="shared" si="46"/>
        <v>0</v>
      </c>
      <c r="AD74" s="339">
        <f t="shared" si="46"/>
        <v>0</v>
      </c>
      <c r="AE74" s="339">
        <f t="shared" si="46"/>
        <v>0</v>
      </c>
      <c r="AF74" s="339">
        <f t="shared" si="46"/>
        <v>0</v>
      </c>
      <c r="AG74" s="339">
        <f t="shared" si="46"/>
        <v>1489087</v>
      </c>
      <c r="AH74" s="339">
        <f>SUM(AH64:AH73)</f>
        <v>0</v>
      </c>
      <c r="AI74" s="339">
        <f t="shared" si="46"/>
        <v>1489087</v>
      </c>
      <c r="AJ74" s="339">
        <f t="shared" ref="AJ74:AP74" si="47">SUM(AJ64:AJ73)</f>
        <v>190000</v>
      </c>
      <c r="AK74" s="339">
        <f t="shared" si="47"/>
        <v>0</v>
      </c>
      <c r="AL74" s="339">
        <f t="shared" si="47"/>
        <v>1345410</v>
      </c>
      <c r="AM74" s="339">
        <f t="shared" si="47"/>
        <v>143677</v>
      </c>
      <c r="AN74" s="339">
        <f t="shared" si="47"/>
        <v>0</v>
      </c>
      <c r="AO74" s="339">
        <f t="shared" si="47"/>
        <v>0</v>
      </c>
      <c r="AP74" s="339">
        <f t="shared" si="47"/>
        <v>0</v>
      </c>
      <c r="AQ74" s="339">
        <f t="shared" si="46"/>
        <v>190000</v>
      </c>
      <c r="AR74" s="339">
        <f t="shared" si="46"/>
        <v>0</v>
      </c>
      <c r="AS74" s="339">
        <f t="shared" si="46"/>
        <v>0</v>
      </c>
    </row>
    <row r="75" spans="1:45" s="264" customFormat="1">
      <c r="A75" s="586"/>
      <c r="B75" s="587"/>
      <c r="C75" s="587"/>
      <c r="D75" s="587"/>
      <c r="E75" s="578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39"/>
      <c r="AD75" s="344"/>
      <c r="AE75" s="344"/>
      <c r="AF75" s="344"/>
      <c r="AG75" s="339"/>
      <c r="AH75" s="339"/>
      <c r="AI75" s="339"/>
      <c r="AJ75" s="339"/>
      <c r="AK75" s="339"/>
      <c r="AL75" s="339"/>
      <c r="AM75" s="339"/>
      <c r="AN75" s="339"/>
      <c r="AO75" s="339"/>
      <c r="AP75" s="588"/>
      <c r="AQ75" s="339"/>
      <c r="AR75" s="339"/>
      <c r="AS75" s="588"/>
    </row>
    <row r="76" spans="1:45" s="264" customFormat="1">
      <c r="A76" s="258"/>
      <c r="B76" s="332"/>
      <c r="C76" s="332"/>
      <c r="D76" s="332"/>
      <c r="E76" s="578" t="s">
        <v>867</v>
      </c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2"/>
      <c r="R76" s="332"/>
      <c r="S76" s="332"/>
      <c r="T76" s="332"/>
      <c r="U76" s="332"/>
      <c r="V76" s="332"/>
      <c r="W76" s="332"/>
      <c r="X76" s="336"/>
      <c r="Y76" s="336"/>
      <c r="Z76" s="336"/>
      <c r="AA76" s="336"/>
      <c r="AB76" s="336"/>
      <c r="AC76" s="336"/>
      <c r="AD76" s="537"/>
      <c r="AE76" s="537"/>
      <c r="AF76" s="537"/>
      <c r="AG76" s="332"/>
      <c r="AH76" s="332"/>
      <c r="AI76" s="332"/>
      <c r="AJ76" s="332"/>
      <c r="AK76" s="332"/>
      <c r="AL76" s="332"/>
      <c r="AM76" s="332"/>
      <c r="AN76" s="332"/>
      <c r="AO76" s="332"/>
      <c r="AP76" s="579"/>
      <c r="AQ76" s="332"/>
      <c r="AR76" s="332"/>
      <c r="AS76" s="579"/>
    </row>
    <row r="77" spans="1:45" s="264" customFormat="1" ht="31.5">
      <c r="A77" s="580" t="s">
        <v>842</v>
      </c>
      <c r="B77" s="581" t="s">
        <v>843</v>
      </c>
      <c r="C77" s="332">
        <v>1</v>
      </c>
      <c r="D77" s="335">
        <v>1988</v>
      </c>
      <c r="E77" s="582" t="s">
        <v>868</v>
      </c>
      <c r="F77" s="336">
        <v>30000</v>
      </c>
      <c r="G77" s="336"/>
      <c r="H77" s="336">
        <f>F77-G77</f>
        <v>30000</v>
      </c>
      <c r="I77" s="336"/>
      <c r="J77" s="336">
        <v>30000</v>
      </c>
      <c r="K77" s="336">
        <f>F77-I77-J77</f>
        <v>0</v>
      </c>
      <c r="L77" s="336">
        <f>J77</f>
        <v>30000</v>
      </c>
      <c r="M77" s="336"/>
      <c r="N77" s="336">
        <f>L77-M77</f>
        <v>30000</v>
      </c>
      <c r="O77" s="336">
        <f>N77-P77-Q77</f>
        <v>0</v>
      </c>
      <c r="P77" s="336"/>
      <c r="Q77" s="336">
        <v>30000</v>
      </c>
      <c r="R77" s="336">
        <v>30000</v>
      </c>
      <c r="S77" s="336"/>
      <c r="T77" s="336"/>
      <c r="U77" s="336"/>
      <c r="V77" s="336"/>
      <c r="W77" s="336"/>
      <c r="X77" s="336"/>
      <c r="Y77" s="336"/>
      <c r="Z77" s="336"/>
      <c r="AA77" s="336"/>
      <c r="AB77" s="336"/>
      <c r="AC77" s="336"/>
      <c r="AD77" s="537"/>
      <c r="AE77" s="537"/>
      <c r="AF77" s="537"/>
      <c r="AG77" s="336">
        <f>SUM(R77:AF77)</f>
        <v>30000</v>
      </c>
      <c r="AH77" s="336"/>
      <c r="AI77" s="336">
        <f>AG77+AH77</f>
        <v>30000</v>
      </c>
      <c r="AJ77" s="336">
        <f>N77-AI77</f>
        <v>0</v>
      </c>
      <c r="AK77" s="336"/>
      <c r="AL77" s="336">
        <f>AI77-AM77</f>
        <v>0</v>
      </c>
      <c r="AM77" s="336">
        <v>30000</v>
      </c>
      <c r="AN77" s="336">
        <f>AH77-AO77-AP77</f>
        <v>0</v>
      </c>
      <c r="AO77" s="336"/>
      <c r="AP77" s="585"/>
      <c r="AQ77" s="336">
        <f>AJ77-AR77-AS77</f>
        <v>0</v>
      </c>
      <c r="AR77" s="336"/>
      <c r="AS77" s="585"/>
    </row>
    <row r="78" spans="1:45" s="264" customFormat="1">
      <c r="A78" s="580" t="s">
        <v>848</v>
      </c>
      <c r="B78" s="589" t="s">
        <v>845</v>
      </c>
      <c r="C78" s="332">
        <f>C77+1</f>
        <v>2</v>
      </c>
      <c r="D78" s="332">
        <v>1994</v>
      </c>
      <c r="E78" s="582" t="s">
        <v>869</v>
      </c>
      <c r="F78" s="336">
        <v>112000</v>
      </c>
      <c r="G78" s="336"/>
      <c r="H78" s="336">
        <f>F78-G78</f>
        <v>112000</v>
      </c>
      <c r="I78" s="336"/>
      <c r="J78" s="336">
        <v>112000</v>
      </c>
      <c r="K78" s="336">
        <f>F78-I78-J78</f>
        <v>0</v>
      </c>
      <c r="L78" s="336">
        <f>J78</f>
        <v>112000</v>
      </c>
      <c r="M78" s="336"/>
      <c r="N78" s="336">
        <f>L78-M78</f>
        <v>112000</v>
      </c>
      <c r="O78" s="336">
        <f>N78-P78-Q78</f>
        <v>0</v>
      </c>
      <c r="P78" s="336">
        <v>52000</v>
      </c>
      <c r="Q78" s="336">
        <v>60000</v>
      </c>
      <c r="R78" s="336"/>
      <c r="S78" s="336"/>
      <c r="T78" s="336"/>
      <c r="U78" s="336"/>
      <c r="V78" s="336">
        <v>112000</v>
      </c>
      <c r="W78" s="336"/>
      <c r="X78" s="336"/>
      <c r="Y78" s="336"/>
      <c r="Z78" s="336"/>
      <c r="AA78" s="336"/>
      <c r="AB78" s="336"/>
      <c r="AC78" s="336"/>
      <c r="AD78" s="537"/>
      <c r="AE78" s="537"/>
      <c r="AF78" s="537"/>
      <c r="AG78" s="336">
        <f>SUM(R78:AF78)</f>
        <v>112000</v>
      </c>
      <c r="AH78" s="336"/>
      <c r="AI78" s="336">
        <f>AG78+AH78</f>
        <v>112000</v>
      </c>
      <c r="AJ78" s="336">
        <f>N78-AI78</f>
        <v>0</v>
      </c>
      <c r="AK78" s="336"/>
      <c r="AL78" s="336">
        <f>AI78-AM78</f>
        <v>52000</v>
      </c>
      <c r="AM78" s="336">
        <v>60000</v>
      </c>
      <c r="AN78" s="336">
        <f>AH78-AO78-AP78</f>
        <v>0</v>
      </c>
      <c r="AO78" s="336"/>
      <c r="AP78" s="585"/>
      <c r="AQ78" s="336">
        <f>AJ78-AR78-AS78</f>
        <v>0</v>
      </c>
      <c r="AR78" s="336"/>
      <c r="AS78" s="585"/>
    </row>
    <row r="79" spans="1:45" s="264" customFormat="1">
      <c r="A79" s="580" t="s">
        <v>848</v>
      </c>
      <c r="B79" s="589" t="s">
        <v>845</v>
      </c>
      <c r="C79" s="332">
        <f>C78+1</f>
        <v>3</v>
      </c>
      <c r="D79" s="332">
        <v>1995</v>
      </c>
      <c r="E79" s="582" t="s">
        <v>449</v>
      </c>
      <c r="F79" s="336">
        <v>170000</v>
      </c>
      <c r="G79" s="336"/>
      <c r="H79" s="336">
        <f>F79-G79</f>
        <v>170000</v>
      </c>
      <c r="I79" s="336"/>
      <c r="J79" s="336">
        <v>170000</v>
      </c>
      <c r="K79" s="336">
        <f>F79-I79-J79</f>
        <v>0</v>
      </c>
      <c r="L79" s="336">
        <f>J79</f>
        <v>170000</v>
      </c>
      <c r="M79" s="336"/>
      <c r="N79" s="336">
        <f>L79-M79</f>
        <v>170000</v>
      </c>
      <c r="O79" s="336">
        <f>N79-P79-Q79</f>
        <v>0</v>
      </c>
      <c r="P79" s="336"/>
      <c r="Q79" s="336">
        <v>170000</v>
      </c>
      <c r="R79" s="336"/>
      <c r="S79" s="336"/>
      <c r="T79" s="336"/>
      <c r="U79" s="336"/>
      <c r="V79" s="336">
        <v>170000</v>
      </c>
      <c r="W79" s="336"/>
      <c r="X79" s="336"/>
      <c r="Y79" s="336"/>
      <c r="Z79" s="336"/>
      <c r="AA79" s="336"/>
      <c r="AB79" s="336"/>
      <c r="AC79" s="336"/>
      <c r="AD79" s="537"/>
      <c r="AE79" s="537"/>
      <c r="AF79" s="537"/>
      <c r="AG79" s="336">
        <f>SUM(R79:AF79)</f>
        <v>170000</v>
      </c>
      <c r="AH79" s="336"/>
      <c r="AI79" s="336">
        <f>AG79+AH79</f>
        <v>170000</v>
      </c>
      <c r="AJ79" s="336">
        <f>N79-AI79</f>
        <v>0</v>
      </c>
      <c r="AK79" s="336"/>
      <c r="AL79" s="336">
        <f>AI79-AM79</f>
        <v>0</v>
      </c>
      <c r="AM79" s="336">
        <v>170000</v>
      </c>
      <c r="AN79" s="336">
        <f>AH79-AO79-AP79</f>
        <v>0</v>
      </c>
      <c r="AO79" s="336"/>
      <c r="AP79" s="585"/>
      <c r="AQ79" s="336">
        <f>AJ79-AR79-AS79</f>
        <v>0</v>
      </c>
      <c r="AR79" s="336"/>
      <c r="AS79" s="585"/>
    </row>
    <row r="80" spans="1:45" s="264" customFormat="1">
      <c r="A80" s="580" t="s">
        <v>848</v>
      </c>
      <c r="B80" s="589" t="s">
        <v>845</v>
      </c>
      <c r="C80" s="332">
        <f>C79+1</f>
        <v>4</v>
      </c>
      <c r="D80" s="332">
        <v>1996</v>
      </c>
      <c r="E80" s="582" t="s">
        <v>450</v>
      </c>
      <c r="F80" s="336">
        <v>45000</v>
      </c>
      <c r="G80" s="336"/>
      <c r="H80" s="336">
        <f>F80-G80</f>
        <v>45000</v>
      </c>
      <c r="I80" s="336"/>
      <c r="J80" s="336">
        <v>45000</v>
      </c>
      <c r="K80" s="336">
        <f>F80-I80-J80</f>
        <v>0</v>
      </c>
      <c r="L80" s="336">
        <f>J80</f>
        <v>45000</v>
      </c>
      <c r="M80" s="336"/>
      <c r="N80" s="336">
        <f>L80-M80</f>
        <v>45000</v>
      </c>
      <c r="O80" s="336">
        <f>N80-P80-Q80</f>
        <v>0</v>
      </c>
      <c r="P80" s="336"/>
      <c r="Q80" s="336">
        <v>45000</v>
      </c>
      <c r="R80" s="336"/>
      <c r="S80" s="336"/>
      <c r="T80" s="336"/>
      <c r="U80" s="336"/>
      <c r="V80" s="336">
        <v>45000</v>
      </c>
      <c r="W80" s="336"/>
      <c r="X80" s="336"/>
      <c r="Y80" s="336"/>
      <c r="Z80" s="336"/>
      <c r="AA80" s="336"/>
      <c r="AB80" s="336"/>
      <c r="AC80" s="336"/>
      <c r="AD80" s="537"/>
      <c r="AE80" s="537"/>
      <c r="AF80" s="537"/>
      <c r="AG80" s="336">
        <f>SUM(R80:AF80)</f>
        <v>45000</v>
      </c>
      <c r="AH80" s="336"/>
      <c r="AI80" s="336">
        <f>AG80+AH80</f>
        <v>45000</v>
      </c>
      <c r="AJ80" s="336">
        <f>N80-AI80</f>
        <v>0</v>
      </c>
      <c r="AK80" s="336"/>
      <c r="AL80" s="336">
        <f>AI80-AM80</f>
        <v>0</v>
      </c>
      <c r="AM80" s="336">
        <v>45000</v>
      </c>
      <c r="AN80" s="336">
        <f>AH80-AO80-AP80</f>
        <v>0</v>
      </c>
      <c r="AO80" s="336"/>
      <c r="AP80" s="585"/>
      <c r="AQ80" s="336">
        <f>AJ80-AR80-AS80</f>
        <v>0</v>
      </c>
      <c r="AR80" s="336"/>
      <c r="AS80" s="585"/>
    </row>
    <row r="81" spans="1:45" s="264" customFormat="1">
      <c r="A81" s="580" t="s">
        <v>848</v>
      </c>
      <c r="B81" s="589" t="s">
        <v>845</v>
      </c>
      <c r="C81" s="332">
        <f>C80+1</f>
        <v>5</v>
      </c>
      <c r="D81" s="332">
        <v>1997</v>
      </c>
      <c r="E81" s="582" t="s">
        <v>451</v>
      </c>
      <c r="F81" s="336">
        <v>40000</v>
      </c>
      <c r="G81" s="336"/>
      <c r="H81" s="336">
        <f>F81-G81</f>
        <v>40000</v>
      </c>
      <c r="I81" s="336"/>
      <c r="J81" s="336">
        <v>40000</v>
      </c>
      <c r="K81" s="336">
        <f>F81-I81-J81</f>
        <v>0</v>
      </c>
      <c r="L81" s="336">
        <f>J81</f>
        <v>40000</v>
      </c>
      <c r="M81" s="336"/>
      <c r="N81" s="336">
        <f>L81-M81</f>
        <v>40000</v>
      </c>
      <c r="O81" s="336">
        <f>N81-P81-Q81</f>
        <v>0</v>
      </c>
      <c r="P81" s="336">
        <v>5000</v>
      </c>
      <c r="Q81" s="336">
        <v>35000</v>
      </c>
      <c r="R81" s="336"/>
      <c r="S81" s="336"/>
      <c r="T81" s="336"/>
      <c r="U81" s="336"/>
      <c r="V81" s="336">
        <v>40000</v>
      </c>
      <c r="W81" s="336"/>
      <c r="X81" s="336"/>
      <c r="Y81" s="336"/>
      <c r="Z81" s="336"/>
      <c r="AA81" s="336"/>
      <c r="AB81" s="336"/>
      <c r="AC81" s="336"/>
      <c r="AD81" s="537"/>
      <c r="AE81" s="537"/>
      <c r="AF81" s="537"/>
      <c r="AG81" s="336">
        <f>SUM(R81:AF81)</f>
        <v>40000</v>
      </c>
      <c r="AH81" s="336"/>
      <c r="AI81" s="336">
        <f>AG81+AH81</f>
        <v>40000</v>
      </c>
      <c r="AJ81" s="336">
        <f>N81-AI81</f>
        <v>0</v>
      </c>
      <c r="AK81" s="336"/>
      <c r="AL81" s="336">
        <f>AI81-AM81</f>
        <v>5000</v>
      </c>
      <c r="AM81" s="336">
        <v>35000</v>
      </c>
      <c r="AN81" s="336">
        <f>AH81-AO81-AP81</f>
        <v>0</v>
      </c>
      <c r="AO81" s="336"/>
      <c r="AP81" s="585"/>
      <c r="AQ81" s="336">
        <f>AJ81-AR81-AS81</f>
        <v>0</v>
      </c>
      <c r="AR81" s="336"/>
      <c r="AS81" s="585"/>
    </row>
    <row r="82" spans="1:45" s="264" customFormat="1">
      <c r="A82" s="586"/>
      <c r="B82" s="587"/>
      <c r="C82" s="587">
        <f>COUNT(C77:C81)</f>
        <v>5</v>
      </c>
      <c r="D82" s="587"/>
      <c r="E82" s="578" t="s">
        <v>870</v>
      </c>
      <c r="F82" s="339">
        <f>SUM(F77:F81)</f>
        <v>397000</v>
      </c>
      <c r="G82" s="339">
        <f t="shared" ref="G82:AS82" si="48">SUM(G77:G81)</f>
        <v>0</v>
      </c>
      <c r="H82" s="339">
        <f t="shared" si="48"/>
        <v>397000</v>
      </c>
      <c r="I82" s="339">
        <f t="shared" si="48"/>
        <v>0</v>
      </c>
      <c r="J82" s="339">
        <f t="shared" si="48"/>
        <v>397000</v>
      </c>
      <c r="K82" s="339">
        <f t="shared" si="48"/>
        <v>0</v>
      </c>
      <c r="L82" s="339">
        <f t="shared" si="48"/>
        <v>397000</v>
      </c>
      <c r="M82" s="339">
        <f t="shared" si="48"/>
        <v>0</v>
      </c>
      <c r="N82" s="339">
        <f t="shared" si="48"/>
        <v>397000</v>
      </c>
      <c r="O82" s="339">
        <f t="shared" si="48"/>
        <v>0</v>
      </c>
      <c r="P82" s="339">
        <f t="shared" si="48"/>
        <v>57000</v>
      </c>
      <c r="Q82" s="339">
        <f t="shared" si="48"/>
        <v>340000</v>
      </c>
      <c r="R82" s="339">
        <f t="shared" si="48"/>
        <v>30000</v>
      </c>
      <c r="S82" s="339">
        <f t="shared" si="48"/>
        <v>0</v>
      </c>
      <c r="T82" s="339">
        <f t="shared" si="48"/>
        <v>0</v>
      </c>
      <c r="U82" s="339">
        <f t="shared" si="48"/>
        <v>0</v>
      </c>
      <c r="V82" s="339">
        <f t="shared" si="48"/>
        <v>367000</v>
      </c>
      <c r="W82" s="339">
        <f t="shared" si="48"/>
        <v>0</v>
      </c>
      <c r="X82" s="339">
        <f t="shared" si="48"/>
        <v>0</v>
      </c>
      <c r="Y82" s="339">
        <f t="shared" si="48"/>
        <v>0</v>
      </c>
      <c r="Z82" s="339">
        <f t="shared" si="48"/>
        <v>0</v>
      </c>
      <c r="AA82" s="339">
        <f t="shared" si="48"/>
        <v>0</v>
      </c>
      <c r="AB82" s="339">
        <f t="shared" si="48"/>
        <v>0</v>
      </c>
      <c r="AC82" s="339">
        <f t="shared" si="48"/>
        <v>0</v>
      </c>
      <c r="AD82" s="339">
        <f t="shared" si="48"/>
        <v>0</v>
      </c>
      <c r="AE82" s="339">
        <f t="shared" si="48"/>
        <v>0</v>
      </c>
      <c r="AF82" s="339">
        <f t="shared" si="48"/>
        <v>0</v>
      </c>
      <c r="AG82" s="339">
        <f t="shared" si="48"/>
        <v>397000</v>
      </c>
      <c r="AH82" s="339">
        <f>SUM(AH77:AH81)</f>
        <v>0</v>
      </c>
      <c r="AI82" s="339">
        <f t="shared" si="48"/>
        <v>397000</v>
      </c>
      <c r="AJ82" s="339">
        <f t="shared" ref="AJ82:AP82" si="49">SUM(AJ77:AJ81)</f>
        <v>0</v>
      </c>
      <c r="AK82" s="339">
        <f t="shared" si="49"/>
        <v>0</v>
      </c>
      <c r="AL82" s="339">
        <f t="shared" si="49"/>
        <v>57000</v>
      </c>
      <c r="AM82" s="339">
        <f t="shared" si="49"/>
        <v>340000</v>
      </c>
      <c r="AN82" s="339">
        <f t="shared" si="49"/>
        <v>0</v>
      </c>
      <c r="AO82" s="339">
        <f t="shared" si="49"/>
        <v>0</v>
      </c>
      <c r="AP82" s="339">
        <f t="shared" si="49"/>
        <v>0</v>
      </c>
      <c r="AQ82" s="339">
        <f t="shared" si="48"/>
        <v>0</v>
      </c>
      <c r="AR82" s="339">
        <f t="shared" si="48"/>
        <v>0</v>
      </c>
      <c r="AS82" s="339">
        <f t="shared" si="48"/>
        <v>0</v>
      </c>
    </row>
    <row r="83" spans="1:45" s="264" customFormat="1">
      <c r="A83" s="586"/>
      <c r="B83" s="587"/>
      <c r="C83" s="587"/>
      <c r="D83" s="587"/>
      <c r="E83" s="578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  <c r="AA83" s="339"/>
      <c r="AB83" s="339"/>
      <c r="AC83" s="339"/>
      <c r="AD83" s="344"/>
      <c r="AE83" s="344"/>
      <c r="AF83" s="344"/>
      <c r="AG83" s="339"/>
      <c r="AH83" s="339"/>
      <c r="AI83" s="339"/>
      <c r="AJ83" s="339"/>
      <c r="AK83" s="339"/>
      <c r="AL83" s="339"/>
      <c r="AM83" s="339"/>
      <c r="AN83" s="339"/>
      <c r="AO83" s="339"/>
      <c r="AP83" s="588"/>
      <c r="AQ83" s="339"/>
      <c r="AR83" s="339"/>
      <c r="AS83" s="588"/>
    </row>
    <row r="84" spans="1:45" s="264" customFormat="1">
      <c r="A84" s="258"/>
      <c r="B84" s="332"/>
      <c r="C84" s="332"/>
      <c r="D84" s="332"/>
      <c r="E84" s="578" t="s">
        <v>185</v>
      </c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2"/>
      <c r="R84" s="332"/>
      <c r="S84" s="332"/>
      <c r="T84" s="332"/>
      <c r="U84" s="332"/>
      <c r="V84" s="332"/>
      <c r="W84" s="332"/>
      <c r="X84" s="339"/>
      <c r="Y84" s="339"/>
      <c r="Z84" s="339"/>
      <c r="AA84" s="339"/>
      <c r="AB84" s="339"/>
      <c r="AC84" s="339"/>
      <c r="AD84" s="344"/>
      <c r="AE84" s="344"/>
      <c r="AF84" s="344"/>
      <c r="AG84" s="332"/>
      <c r="AH84" s="332"/>
      <c r="AI84" s="332"/>
      <c r="AJ84" s="332"/>
      <c r="AK84" s="332"/>
      <c r="AL84" s="332"/>
      <c r="AM84" s="332"/>
      <c r="AN84" s="332"/>
      <c r="AO84" s="332"/>
      <c r="AP84" s="579"/>
      <c r="AQ84" s="332"/>
      <c r="AR84" s="332"/>
      <c r="AS84" s="579"/>
    </row>
    <row r="85" spans="1:45" s="592" customFormat="1">
      <c r="A85" s="580" t="s">
        <v>842</v>
      </c>
      <c r="B85" s="581" t="s">
        <v>843</v>
      </c>
      <c r="C85" s="536">
        <v>1</v>
      </c>
      <c r="D85" s="536">
        <v>1989</v>
      </c>
      <c r="E85" s="595" t="s">
        <v>445</v>
      </c>
      <c r="F85" s="596">
        <v>860000</v>
      </c>
      <c r="G85" s="537"/>
      <c r="H85" s="596">
        <f>F85-G85</f>
        <v>860000</v>
      </c>
      <c r="I85" s="537"/>
      <c r="J85" s="596">
        <v>860000</v>
      </c>
      <c r="K85" s="537">
        <f>F85-I85-J85</f>
        <v>0</v>
      </c>
      <c r="L85" s="596">
        <f>J85</f>
        <v>860000</v>
      </c>
      <c r="M85" s="537"/>
      <c r="N85" s="596">
        <f>L85-M85</f>
        <v>860000</v>
      </c>
      <c r="O85" s="596">
        <f>N85-P85-Q85</f>
        <v>660000</v>
      </c>
      <c r="P85" s="537"/>
      <c r="Q85" s="596">
        <v>200000</v>
      </c>
      <c r="R85" s="537"/>
      <c r="S85" s="537"/>
      <c r="T85" s="537"/>
      <c r="U85" s="537"/>
      <c r="V85" s="537"/>
      <c r="W85" s="537"/>
      <c r="X85" s="332"/>
      <c r="Y85" s="332"/>
      <c r="Z85" s="332"/>
      <c r="AA85" s="332"/>
      <c r="AB85" s="332"/>
      <c r="AC85" s="339"/>
      <c r="AD85" s="537"/>
      <c r="AE85" s="537"/>
      <c r="AF85" s="537"/>
      <c r="AG85" s="336">
        <f>SUM(R85:AF85)</f>
        <v>0</v>
      </c>
      <c r="AH85" s="336"/>
      <c r="AI85" s="336">
        <f>AG85+AH85</f>
        <v>0</v>
      </c>
      <c r="AJ85" s="336">
        <f>N85-AI85</f>
        <v>860000</v>
      </c>
      <c r="AK85" s="336"/>
      <c r="AL85" s="336">
        <f>AI85-AM85</f>
        <v>0</v>
      </c>
      <c r="AM85" s="336"/>
      <c r="AN85" s="336">
        <f>AH85-AO85-AP85</f>
        <v>0</v>
      </c>
      <c r="AO85" s="336"/>
      <c r="AP85" s="585"/>
      <c r="AQ85" s="336">
        <f>AJ85-AR85-AS85</f>
        <v>860000</v>
      </c>
      <c r="AR85" s="336"/>
      <c r="AS85" s="585"/>
    </row>
    <row r="86" spans="1:45" s="264" customFormat="1">
      <c r="A86" s="580" t="s">
        <v>848</v>
      </c>
      <c r="B86" s="589" t="s">
        <v>845</v>
      </c>
      <c r="C86" s="332">
        <f>C85+1</f>
        <v>2</v>
      </c>
      <c r="D86" s="332">
        <v>1998</v>
      </c>
      <c r="E86" s="582" t="s">
        <v>871</v>
      </c>
      <c r="F86" s="336">
        <v>4630000</v>
      </c>
      <c r="G86" s="336"/>
      <c r="H86" s="336">
        <f>F86-G86</f>
        <v>4630000</v>
      </c>
      <c r="I86" s="336"/>
      <c r="J86" s="336"/>
      <c r="K86" s="336">
        <f>F86-I86-J86</f>
        <v>4630000</v>
      </c>
      <c r="L86" s="336">
        <f>J86</f>
        <v>0</v>
      </c>
      <c r="M86" s="336"/>
      <c r="N86" s="336">
        <f>L86-M86</f>
        <v>0</v>
      </c>
      <c r="O86" s="336">
        <f>N86-P86-Q86</f>
        <v>0</v>
      </c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537"/>
      <c r="AE86" s="537"/>
      <c r="AF86" s="537"/>
      <c r="AG86" s="336">
        <f>SUM(R86:AF86)</f>
        <v>0</v>
      </c>
      <c r="AH86" s="336"/>
      <c r="AI86" s="336">
        <f>AG86+AH86</f>
        <v>0</v>
      </c>
      <c r="AJ86" s="336">
        <f>N86-AI86</f>
        <v>0</v>
      </c>
      <c r="AK86" s="336"/>
      <c r="AL86" s="336">
        <f>AI86-AM86</f>
        <v>0</v>
      </c>
      <c r="AM86" s="336"/>
      <c r="AN86" s="336">
        <f>AH86-AO86-AP86</f>
        <v>0</v>
      </c>
      <c r="AO86" s="336"/>
      <c r="AP86" s="585"/>
      <c r="AQ86" s="336">
        <f>AJ86-AR86-AS86</f>
        <v>0</v>
      </c>
      <c r="AR86" s="336"/>
      <c r="AS86" s="585"/>
    </row>
    <row r="87" spans="1:45" s="264" customFormat="1">
      <c r="A87" s="580" t="s">
        <v>854</v>
      </c>
      <c r="B87" s="589" t="s">
        <v>841</v>
      </c>
      <c r="C87" s="332">
        <f>C86+1</f>
        <v>3</v>
      </c>
      <c r="D87" s="332">
        <v>2006</v>
      </c>
      <c r="E87" s="582" t="s">
        <v>872</v>
      </c>
      <c r="F87" s="336">
        <v>980000</v>
      </c>
      <c r="G87" s="336"/>
      <c r="H87" s="336">
        <f>F87-G87</f>
        <v>980000</v>
      </c>
      <c r="I87" s="336"/>
      <c r="J87" s="336">
        <v>980000</v>
      </c>
      <c r="K87" s="336">
        <f>F87-I87-J87</f>
        <v>0</v>
      </c>
      <c r="L87" s="336">
        <f>J87</f>
        <v>980000</v>
      </c>
      <c r="M87" s="336"/>
      <c r="N87" s="336">
        <f>L87-M87</f>
        <v>980000</v>
      </c>
      <c r="O87" s="336">
        <f>N87-P87-Q87</f>
        <v>980000</v>
      </c>
      <c r="P87" s="336"/>
      <c r="Q87" s="336"/>
      <c r="R87" s="336"/>
      <c r="S87" s="336"/>
      <c r="T87" s="336"/>
      <c r="U87" s="336"/>
      <c r="V87" s="336"/>
      <c r="W87" s="336"/>
      <c r="X87" s="336"/>
      <c r="Y87" s="336"/>
      <c r="Z87" s="336"/>
      <c r="AA87" s="336"/>
      <c r="AB87" s="336"/>
      <c r="AC87" s="336"/>
      <c r="AD87" s="537"/>
      <c r="AE87" s="537"/>
      <c r="AF87" s="537"/>
      <c r="AG87" s="336">
        <f>SUM(R87:AF87)</f>
        <v>0</v>
      </c>
      <c r="AH87" s="336">
        <v>980000</v>
      </c>
      <c r="AI87" s="336">
        <f>AG87+AH87</f>
        <v>980000</v>
      </c>
      <c r="AJ87" s="336">
        <f>N87-AI87</f>
        <v>0</v>
      </c>
      <c r="AK87" s="336">
        <f>AI87-AL87-AM87</f>
        <v>980000</v>
      </c>
      <c r="AL87" s="336"/>
      <c r="AM87" s="336"/>
      <c r="AN87" s="336">
        <f>AH87-AO87-AP87</f>
        <v>980000</v>
      </c>
      <c r="AO87" s="336"/>
      <c r="AP87" s="585"/>
      <c r="AQ87" s="336">
        <f>AJ87-AR87-AS87</f>
        <v>0</v>
      </c>
      <c r="AR87" s="336"/>
      <c r="AS87" s="585"/>
    </row>
    <row r="88" spans="1:45" s="264" customFormat="1">
      <c r="A88" s="586"/>
      <c r="B88" s="587"/>
      <c r="C88" s="587">
        <f>COUNT(C85:C87)</f>
        <v>3</v>
      </c>
      <c r="D88" s="587"/>
      <c r="E88" s="578" t="s">
        <v>162</v>
      </c>
      <c r="F88" s="339">
        <f>SUM(F85:F87)</f>
        <v>6470000</v>
      </c>
      <c r="G88" s="339">
        <f t="shared" ref="G88:AS88" si="50">SUM(G85:G87)</f>
        <v>0</v>
      </c>
      <c r="H88" s="339">
        <f t="shared" si="50"/>
        <v>6470000</v>
      </c>
      <c r="I88" s="339">
        <f t="shared" si="50"/>
        <v>0</v>
      </c>
      <c r="J88" s="339">
        <f t="shared" si="50"/>
        <v>1840000</v>
      </c>
      <c r="K88" s="339">
        <f t="shared" si="50"/>
        <v>4630000</v>
      </c>
      <c r="L88" s="339">
        <f t="shared" si="50"/>
        <v>1840000</v>
      </c>
      <c r="M88" s="339">
        <f t="shared" si="50"/>
        <v>0</v>
      </c>
      <c r="N88" s="339">
        <f t="shared" si="50"/>
        <v>1840000</v>
      </c>
      <c r="O88" s="339">
        <f t="shared" si="50"/>
        <v>1640000</v>
      </c>
      <c r="P88" s="339">
        <f t="shared" si="50"/>
        <v>0</v>
      </c>
      <c r="Q88" s="339">
        <f t="shared" si="50"/>
        <v>200000</v>
      </c>
      <c r="R88" s="339">
        <f t="shared" si="50"/>
        <v>0</v>
      </c>
      <c r="S88" s="339">
        <f t="shared" si="50"/>
        <v>0</v>
      </c>
      <c r="T88" s="339">
        <f t="shared" si="50"/>
        <v>0</v>
      </c>
      <c r="U88" s="339">
        <f t="shared" si="50"/>
        <v>0</v>
      </c>
      <c r="V88" s="339">
        <f t="shared" si="50"/>
        <v>0</v>
      </c>
      <c r="W88" s="339">
        <f t="shared" si="50"/>
        <v>0</v>
      </c>
      <c r="X88" s="339">
        <f t="shared" si="50"/>
        <v>0</v>
      </c>
      <c r="Y88" s="339">
        <f t="shared" si="50"/>
        <v>0</v>
      </c>
      <c r="Z88" s="339">
        <f t="shared" si="50"/>
        <v>0</v>
      </c>
      <c r="AA88" s="339">
        <f t="shared" si="50"/>
        <v>0</v>
      </c>
      <c r="AB88" s="339">
        <f t="shared" si="50"/>
        <v>0</v>
      </c>
      <c r="AC88" s="339">
        <f t="shared" si="50"/>
        <v>0</v>
      </c>
      <c r="AD88" s="339">
        <f t="shared" si="50"/>
        <v>0</v>
      </c>
      <c r="AE88" s="339">
        <f t="shared" si="50"/>
        <v>0</v>
      </c>
      <c r="AF88" s="339">
        <f t="shared" si="50"/>
        <v>0</v>
      </c>
      <c r="AG88" s="339">
        <f t="shared" si="50"/>
        <v>0</v>
      </c>
      <c r="AH88" s="339">
        <f t="shared" si="50"/>
        <v>980000</v>
      </c>
      <c r="AI88" s="339">
        <f t="shared" si="50"/>
        <v>980000</v>
      </c>
      <c r="AJ88" s="339">
        <f t="shared" si="50"/>
        <v>860000</v>
      </c>
      <c r="AK88" s="339">
        <f t="shared" si="50"/>
        <v>980000</v>
      </c>
      <c r="AL88" s="339">
        <f t="shared" si="50"/>
        <v>0</v>
      </c>
      <c r="AM88" s="339">
        <f t="shared" si="50"/>
        <v>0</v>
      </c>
      <c r="AN88" s="339">
        <f>SUM(AN85:AN87)</f>
        <v>980000</v>
      </c>
      <c r="AO88" s="339">
        <f>SUM(AO85:AO87)</f>
        <v>0</v>
      </c>
      <c r="AP88" s="339">
        <f>SUM(AP85:AP87)</f>
        <v>0</v>
      </c>
      <c r="AQ88" s="339">
        <f t="shared" si="50"/>
        <v>860000</v>
      </c>
      <c r="AR88" s="339">
        <f t="shared" si="50"/>
        <v>0</v>
      </c>
      <c r="AS88" s="339">
        <f t="shared" si="50"/>
        <v>0</v>
      </c>
    </row>
    <row r="89" spans="1:45" s="264" customFormat="1">
      <c r="A89" s="586"/>
      <c r="B89" s="587"/>
      <c r="C89" s="587"/>
      <c r="D89" s="587"/>
      <c r="E89" s="578"/>
      <c r="F89" s="339"/>
      <c r="G89" s="339"/>
      <c r="H89" s="339"/>
      <c r="I89" s="339"/>
      <c r="J89" s="339"/>
      <c r="K89" s="339"/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  <c r="AA89" s="339"/>
      <c r="AB89" s="339"/>
      <c r="AC89" s="339"/>
      <c r="AD89" s="344"/>
      <c r="AE89" s="344"/>
      <c r="AF89" s="344"/>
      <c r="AG89" s="339"/>
      <c r="AH89" s="339"/>
      <c r="AI89" s="339"/>
      <c r="AJ89" s="339"/>
      <c r="AK89" s="339"/>
      <c r="AL89" s="339"/>
      <c r="AM89" s="339"/>
      <c r="AN89" s="339"/>
      <c r="AO89" s="339"/>
      <c r="AP89" s="588"/>
      <c r="AQ89" s="339"/>
      <c r="AR89" s="339"/>
      <c r="AS89" s="588"/>
    </row>
    <row r="90" spans="1:45" s="264" customFormat="1">
      <c r="A90" s="258"/>
      <c r="B90" s="332"/>
      <c r="C90" s="332"/>
      <c r="D90" s="332"/>
      <c r="E90" s="578" t="s">
        <v>873</v>
      </c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2"/>
      <c r="R90" s="332"/>
      <c r="S90" s="332"/>
      <c r="T90" s="332"/>
      <c r="U90" s="332"/>
      <c r="V90" s="332"/>
      <c r="W90" s="332"/>
      <c r="X90" s="339"/>
      <c r="Y90" s="339"/>
      <c r="Z90" s="339"/>
      <c r="AA90" s="339"/>
      <c r="AB90" s="339"/>
      <c r="AC90" s="339"/>
      <c r="AD90" s="344"/>
      <c r="AE90" s="344"/>
      <c r="AF90" s="344"/>
      <c r="AG90" s="332"/>
      <c r="AH90" s="332"/>
      <c r="AI90" s="332"/>
      <c r="AJ90" s="332"/>
      <c r="AK90" s="332"/>
      <c r="AL90" s="332"/>
      <c r="AM90" s="332"/>
      <c r="AN90" s="332"/>
      <c r="AO90" s="332"/>
      <c r="AP90" s="579"/>
      <c r="AQ90" s="332"/>
      <c r="AR90" s="332"/>
      <c r="AS90" s="579"/>
    </row>
    <row r="91" spans="1:45" s="592" customFormat="1">
      <c r="A91" s="580" t="s">
        <v>854</v>
      </c>
      <c r="B91" s="589" t="s">
        <v>841</v>
      </c>
      <c r="C91" s="536">
        <v>1</v>
      </c>
      <c r="D91" s="536">
        <v>1934</v>
      </c>
      <c r="E91" s="505" t="s">
        <v>379</v>
      </c>
      <c r="F91" s="537">
        <v>3300000</v>
      </c>
      <c r="G91" s="537">
        <v>1300000</v>
      </c>
      <c r="H91" s="537">
        <f>F91-G91</f>
        <v>2000000</v>
      </c>
      <c r="I91" s="537"/>
      <c r="J91" s="537">
        <v>2000000</v>
      </c>
      <c r="K91" s="537">
        <f>F91-I91-J91</f>
        <v>1300000</v>
      </c>
      <c r="L91" s="537">
        <f>J91</f>
        <v>2000000</v>
      </c>
      <c r="M91" s="537"/>
      <c r="N91" s="537">
        <f>L91-M91</f>
        <v>2000000</v>
      </c>
      <c r="O91" s="336">
        <f>N91-P91-Q91</f>
        <v>2000000</v>
      </c>
      <c r="P91" s="537"/>
      <c r="Q91" s="537"/>
      <c r="R91" s="537"/>
      <c r="S91" s="537"/>
      <c r="T91" s="537"/>
      <c r="U91" s="537"/>
      <c r="V91" s="537"/>
      <c r="W91" s="537"/>
      <c r="X91" s="332"/>
      <c r="Y91" s="332"/>
      <c r="Z91" s="332"/>
      <c r="AA91" s="332"/>
      <c r="AB91" s="332"/>
      <c r="AC91" s="339"/>
      <c r="AD91" s="537"/>
      <c r="AE91" s="537"/>
      <c r="AF91" s="537"/>
      <c r="AG91" s="336">
        <f>SUM(R91:AF91)</f>
        <v>0</v>
      </c>
      <c r="AH91" s="336">
        <v>2000000</v>
      </c>
      <c r="AI91" s="336">
        <f>AG91+AH91</f>
        <v>2000000</v>
      </c>
      <c r="AJ91" s="336">
        <f>N91-AI91</f>
        <v>0</v>
      </c>
      <c r="AK91" s="336">
        <f>AI91-AL91-AM91</f>
        <v>2000000</v>
      </c>
      <c r="AL91" s="336"/>
      <c r="AM91" s="336"/>
      <c r="AN91" s="336">
        <f>AH91-AO91-AP91</f>
        <v>2000000</v>
      </c>
      <c r="AO91" s="336"/>
      <c r="AP91" s="585"/>
      <c r="AQ91" s="336">
        <f>AJ91-AR91-AS91</f>
        <v>0</v>
      </c>
      <c r="AR91" s="336"/>
      <c r="AS91" s="585"/>
    </row>
    <row r="92" spans="1:45" s="264" customFormat="1">
      <c r="A92" s="586"/>
      <c r="B92" s="587"/>
      <c r="C92" s="587">
        <f>COUNT(C91:C91)</f>
        <v>1</v>
      </c>
      <c r="D92" s="587"/>
      <c r="E92" s="578" t="s">
        <v>874</v>
      </c>
      <c r="F92" s="339">
        <f t="shared" ref="F92:AS92" si="51">SUM(F91:F91)</f>
        <v>3300000</v>
      </c>
      <c r="G92" s="339">
        <f t="shared" si="51"/>
        <v>1300000</v>
      </c>
      <c r="H92" s="339">
        <f t="shared" si="51"/>
        <v>2000000</v>
      </c>
      <c r="I92" s="339">
        <f t="shared" si="51"/>
        <v>0</v>
      </c>
      <c r="J92" s="339">
        <f t="shared" si="51"/>
        <v>2000000</v>
      </c>
      <c r="K92" s="339">
        <f t="shared" si="51"/>
        <v>1300000</v>
      </c>
      <c r="L92" s="339">
        <f t="shared" si="51"/>
        <v>2000000</v>
      </c>
      <c r="M92" s="339">
        <f t="shared" si="51"/>
        <v>0</v>
      </c>
      <c r="N92" s="339">
        <f t="shared" si="51"/>
        <v>2000000</v>
      </c>
      <c r="O92" s="339">
        <f t="shared" si="51"/>
        <v>2000000</v>
      </c>
      <c r="P92" s="339">
        <f t="shared" si="51"/>
        <v>0</v>
      </c>
      <c r="Q92" s="339">
        <f t="shared" si="51"/>
        <v>0</v>
      </c>
      <c r="R92" s="339">
        <f t="shared" si="51"/>
        <v>0</v>
      </c>
      <c r="S92" s="339">
        <f t="shared" si="51"/>
        <v>0</v>
      </c>
      <c r="T92" s="339">
        <f t="shared" si="51"/>
        <v>0</v>
      </c>
      <c r="U92" s="339">
        <f t="shared" si="51"/>
        <v>0</v>
      </c>
      <c r="V92" s="339">
        <f t="shared" si="51"/>
        <v>0</v>
      </c>
      <c r="W92" s="339">
        <f t="shared" si="51"/>
        <v>0</v>
      </c>
      <c r="X92" s="339">
        <f t="shared" si="51"/>
        <v>0</v>
      </c>
      <c r="Y92" s="339">
        <f t="shared" si="51"/>
        <v>0</v>
      </c>
      <c r="Z92" s="339">
        <f t="shared" si="51"/>
        <v>0</v>
      </c>
      <c r="AA92" s="339">
        <f t="shared" si="51"/>
        <v>0</v>
      </c>
      <c r="AB92" s="339">
        <f t="shared" si="51"/>
        <v>0</v>
      </c>
      <c r="AC92" s="339">
        <f t="shared" si="51"/>
        <v>0</v>
      </c>
      <c r="AD92" s="344">
        <f t="shared" si="51"/>
        <v>0</v>
      </c>
      <c r="AE92" s="344">
        <f t="shared" si="51"/>
        <v>0</v>
      </c>
      <c r="AF92" s="344">
        <f t="shared" si="51"/>
        <v>0</v>
      </c>
      <c r="AG92" s="339">
        <f t="shared" si="51"/>
        <v>0</v>
      </c>
      <c r="AH92" s="339">
        <f>SUM(AH91:AH91)</f>
        <v>2000000</v>
      </c>
      <c r="AI92" s="339">
        <f t="shared" si="51"/>
        <v>2000000</v>
      </c>
      <c r="AJ92" s="339">
        <f t="shared" ref="AJ92:AP92" si="52">SUM(AJ91:AJ91)</f>
        <v>0</v>
      </c>
      <c r="AK92" s="339">
        <f t="shared" si="52"/>
        <v>2000000</v>
      </c>
      <c r="AL92" s="339">
        <f t="shared" si="52"/>
        <v>0</v>
      </c>
      <c r="AM92" s="339">
        <f t="shared" si="52"/>
        <v>0</v>
      </c>
      <c r="AN92" s="339">
        <f t="shared" si="52"/>
        <v>2000000</v>
      </c>
      <c r="AO92" s="339">
        <f t="shared" si="52"/>
        <v>0</v>
      </c>
      <c r="AP92" s="588">
        <f t="shared" si="52"/>
        <v>0</v>
      </c>
      <c r="AQ92" s="339">
        <f t="shared" si="51"/>
        <v>0</v>
      </c>
      <c r="AR92" s="339">
        <f t="shared" si="51"/>
        <v>0</v>
      </c>
      <c r="AS92" s="588">
        <f t="shared" si="51"/>
        <v>0</v>
      </c>
    </row>
    <row r="93" spans="1:45" s="264" customFormat="1">
      <c r="A93" s="586"/>
      <c r="B93" s="587"/>
      <c r="C93" s="587"/>
      <c r="D93" s="587"/>
      <c r="E93" s="578"/>
      <c r="F93" s="339"/>
      <c r="G93" s="339"/>
      <c r="H93" s="339"/>
      <c r="I93" s="339"/>
      <c r="J93" s="339"/>
      <c r="K93" s="33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  <c r="AA93" s="339"/>
      <c r="AB93" s="339"/>
      <c r="AC93" s="339"/>
      <c r="AD93" s="344"/>
      <c r="AE93" s="344"/>
      <c r="AF93" s="344"/>
      <c r="AG93" s="339"/>
      <c r="AH93" s="339"/>
      <c r="AI93" s="339"/>
      <c r="AJ93" s="339"/>
      <c r="AK93" s="339"/>
      <c r="AL93" s="339"/>
      <c r="AM93" s="339"/>
      <c r="AN93" s="339"/>
      <c r="AO93" s="339"/>
      <c r="AP93" s="588"/>
      <c r="AQ93" s="339"/>
      <c r="AR93" s="339"/>
      <c r="AS93" s="588"/>
    </row>
    <row r="94" spans="1:45" s="264" customFormat="1">
      <c r="A94" s="258"/>
      <c r="B94" s="332"/>
      <c r="C94" s="332"/>
      <c r="D94" s="332"/>
      <c r="E94" s="578" t="s">
        <v>797</v>
      </c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2"/>
      <c r="R94" s="332"/>
      <c r="S94" s="332"/>
      <c r="T94" s="332"/>
      <c r="U94" s="332"/>
      <c r="V94" s="332"/>
      <c r="W94" s="332"/>
      <c r="X94" s="339"/>
      <c r="Y94" s="339"/>
      <c r="Z94" s="339"/>
      <c r="AA94" s="339"/>
      <c r="AB94" s="339"/>
      <c r="AC94" s="339"/>
      <c r="AD94" s="344"/>
      <c r="AE94" s="344"/>
      <c r="AF94" s="344"/>
      <c r="AG94" s="332"/>
      <c r="AH94" s="332"/>
      <c r="AI94" s="332"/>
      <c r="AJ94" s="332"/>
      <c r="AK94" s="332"/>
      <c r="AL94" s="332"/>
      <c r="AM94" s="332"/>
      <c r="AN94" s="332"/>
      <c r="AO94" s="332"/>
      <c r="AP94" s="579"/>
      <c r="AQ94" s="332"/>
      <c r="AR94" s="332"/>
      <c r="AS94" s="579"/>
    </row>
    <row r="95" spans="1:45" s="592" customFormat="1">
      <c r="A95" s="580" t="s">
        <v>848</v>
      </c>
      <c r="B95" s="589" t="s">
        <v>845</v>
      </c>
      <c r="C95" s="536">
        <v>1</v>
      </c>
      <c r="D95" s="536">
        <v>1993</v>
      </c>
      <c r="E95" s="505" t="s">
        <v>875</v>
      </c>
      <c r="F95" s="537">
        <v>500000</v>
      </c>
      <c r="G95" s="537"/>
      <c r="H95" s="537">
        <f>F95-G95</f>
        <v>500000</v>
      </c>
      <c r="I95" s="537"/>
      <c r="J95" s="537">
        <v>500000</v>
      </c>
      <c r="K95" s="537">
        <f>F95-I95-J95</f>
        <v>0</v>
      </c>
      <c r="L95" s="537">
        <f>J95</f>
        <v>500000</v>
      </c>
      <c r="M95" s="537"/>
      <c r="N95" s="537">
        <f>L95-M95</f>
        <v>500000</v>
      </c>
      <c r="O95" s="336">
        <f>N95-P95-Q95</f>
        <v>500000</v>
      </c>
      <c r="P95" s="537"/>
      <c r="Q95" s="537"/>
      <c r="R95" s="537"/>
      <c r="S95" s="537"/>
      <c r="T95" s="537">
        <v>50000</v>
      </c>
      <c r="U95" s="537"/>
      <c r="V95" s="537"/>
      <c r="W95" s="537"/>
      <c r="X95" s="332"/>
      <c r="Y95" s="332"/>
      <c r="Z95" s="332"/>
      <c r="AA95" s="332"/>
      <c r="AB95" s="332"/>
      <c r="AC95" s="339"/>
      <c r="AD95" s="537"/>
      <c r="AE95" s="537"/>
      <c r="AF95" s="537"/>
      <c r="AG95" s="336">
        <f>SUM(R95:AF95)</f>
        <v>50000</v>
      </c>
      <c r="AH95" s="336"/>
      <c r="AI95" s="336">
        <f>AG95+AH95</f>
        <v>50000</v>
      </c>
      <c r="AJ95" s="336">
        <f>N95-AI95</f>
        <v>450000</v>
      </c>
      <c r="AK95" s="336">
        <f>AI95-AL95-AM95</f>
        <v>50000</v>
      </c>
      <c r="AL95" s="336"/>
      <c r="AM95" s="336"/>
      <c r="AN95" s="336">
        <f>AH95-AO95-AP95</f>
        <v>0</v>
      </c>
      <c r="AO95" s="336"/>
      <c r="AP95" s="585"/>
      <c r="AQ95" s="336">
        <f>AJ95-AR95-AS95</f>
        <v>450000</v>
      </c>
      <c r="AR95" s="336"/>
      <c r="AS95" s="585"/>
    </row>
    <row r="96" spans="1:45" s="264" customFormat="1">
      <c r="A96" s="586"/>
      <c r="B96" s="587"/>
      <c r="C96" s="587">
        <f>COUNT(C95:C95)</f>
        <v>1</v>
      </c>
      <c r="D96" s="587"/>
      <c r="E96" s="578" t="s">
        <v>876</v>
      </c>
      <c r="F96" s="339">
        <f t="shared" ref="F96:AS96" si="53">SUM(F95:F95)</f>
        <v>500000</v>
      </c>
      <c r="G96" s="339">
        <f t="shared" si="53"/>
        <v>0</v>
      </c>
      <c r="H96" s="339">
        <f t="shared" si="53"/>
        <v>500000</v>
      </c>
      <c r="I96" s="339">
        <f t="shared" si="53"/>
        <v>0</v>
      </c>
      <c r="J96" s="339">
        <f t="shared" si="53"/>
        <v>500000</v>
      </c>
      <c r="K96" s="339">
        <f t="shared" si="53"/>
        <v>0</v>
      </c>
      <c r="L96" s="339">
        <f t="shared" si="53"/>
        <v>500000</v>
      </c>
      <c r="M96" s="339">
        <f t="shared" si="53"/>
        <v>0</v>
      </c>
      <c r="N96" s="339">
        <f t="shared" si="53"/>
        <v>500000</v>
      </c>
      <c r="O96" s="339">
        <f t="shared" si="53"/>
        <v>500000</v>
      </c>
      <c r="P96" s="339">
        <f t="shared" si="53"/>
        <v>0</v>
      </c>
      <c r="Q96" s="339">
        <f t="shared" si="53"/>
        <v>0</v>
      </c>
      <c r="R96" s="339">
        <f t="shared" si="53"/>
        <v>0</v>
      </c>
      <c r="S96" s="339">
        <f t="shared" si="53"/>
        <v>0</v>
      </c>
      <c r="T96" s="339">
        <f t="shared" si="53"/>
        <v>50000</v>
      </c>
      <c r="U96" s="339">
        <f t="shared" si="53"/>
        <v>0</v>
      </c>
      <c r="V96" s="339">
        <f t="shared" si="53"/>
        <v>0</v>
      </c>
      <c r="W96" s="339">
        <f t="shared" si="53"/>
        <v>0</v>
      </c>
      <c r="X96" s="339">
        <f t="shared" si="53"/>
        <v>0</v>
      </c>
      <c r="Y96" s="339">
        <f t="shared" si="53"/>
        <v>0</v>
      </c>
      <c r="Z96" s="339">
        <f t="shared" si="53"/>
        <v>0</v>
      </c>
      <c r="AA96" s="339">
        <f t="shared" si="53"/>
        <v>0</v>
      </c>
      <c r="AB96" s="339">
        <f t="shared" si="53"/>
        <v>0</v>
      </c>
      <c r="AC96" s="339">
        <f t="shared" si="53"/>
        <v>0</v>
      </c>
      <c r="AD96" s="344">
        <f t="shared" si="53"/>
        <v>0</v>
      </c>
      <c r="AE96" s="344">
        <f t="shared" si="53"/>
        <v>0</v>
      </c>
      <c r="AF96" s="344">
        <f t="shared" si="53"/>
        <v>0</v>
      </c>
      <c r="AG96" s="339">
        <f t="shared" si="53"/>
        <v>50000</v>
      </c>
      <c r="AH96" s="339">
        <f>SUM(AH95:AH95)</f>
        <v>0</v>
      </c>
      <c r="AI96" s="339">
        <f t="shared" si="53"/>
        <v>50000</v>
      </c>
      <c r="AJ96" s="339">
        <f t="shared" ref="AJ96:AP96" si="54">SUM(AJ95:AJ95)</f>
        <v>450000</v>
      </c>
      <c r="AK96" s="339">
        <f t="shared" si="54"/>
        <v>50000</v>
      </c>
      <c r="AL96" s="339">
        <f t="shared" si="54"/>
        <v>0</v>
      </c>
      <c r="AM96" s="339">
        <f t="shared" si="54"/>
        <v>0</v>
      </c>
      <c r="AN96" s="339">
        <f t="shared" si="54"/>
        <v>0</v>
      </c>
      <c r="AO96" s="339">
        <f t="shared" si="54"/>
        <v>0</v>
      </c>
      <c r="AP96" s="588">
        <f t="shared" si="54"/>
        <v>0</v>
      </c>
      <c r="AQ96" s="339">
        <f t="shared" si="53"/>
        <v>450000</v>
      </c>
      <c r="AR96" s="339">
        <f t="shared" si="53"/>
        <v>0</v>
      </c>
      <c r="AS96" s="588">
        <f t="shared" si="53"/>
        <v>0</v>
      </c>
    </row>
    <row r="97" spans="1:47" s="264" customFormat="1">
      <c r="A97" s="586"/>
      <c r="B97" s="587"/>
      <c r="C97" s="587"/>
      <c r="D97" s="587"/>
      <c r="E97" s="578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39"/>
      <c r="AD97" s="344"/>
      <c r="AE97" s="344"/>
      <c r="AF97" s="344"/>
      <c r="AG97" s="339"/>
      <c r="AH97" s="339"/>
      <c r="AI97" s="339"/>
      <c r="AJ97" s="339"/>
      <c r="AK97" s="339"/>
      <c r="AL97" s="339"/>
      <c r="AM97" s="339"/>
      <c r="AN97" s="339"/>
      <c r="AO97" s="339"/>
      <c r="AP97" s="588"/>
      <c r="AQ97" s="339"/>
      <c r="AR97" s="339"/>
      <c r="AS97" s="588"/>
    </row>
    <row r="98" spans="1:47" s="264" customFormat="1">
      <c r="A98" s="258"/>
      <c r="B98" s="332"/>
      <c r="C98" s="332"/>
      <c r="D98" s="332"/>
      <c r="E98" s="578" t="s">
        <v>227</v>
      </c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2"/>
      <c r="R98" s="332"/>
      <c r="S98" s="332"/>
      <c r="T98" s="332"/>
      <c r="U98" s="332"/>
      <c r="V98" s="332"/>
      <c r="W98" s="332"/>
      <c r="X98" s="339"/>
      <c r="Y98" s="339"/>
      <c r="Z98" s="339"/>
      <c r="AA98" s="339"/>
      <c r="AB98" s="339"/>
      <c r="AC98" s="339"/>
      <c r="AD98" s="344"/>
      <c r="AE98" s="344"/>
      <c r="AF98" s="344"/>
      <c r="AG98" s="332"/>
      <c r="AH98" s="332"/>
      <c r="AI98" s="332"/>
      <c r="AJ98" s="332"/>
      <c r="AK98" s="332"/>
      <c r="AL98" s="332"/>
      <c r="AM98" s="332"/>
      <c r="AN98" s="332"/>
      <c r="AO98" s="332"/>
      <c r="AP98" s="579"/>
      <c r="AQ98" s="332"/>
      <c r="AR98" s="332"/>
      <c r="AS98" s="579"/>
    </row>
    <row r="99" spans="1:47" s="592" customFormat="1">
      <c r="A99" s="580" t="s">
        <v>848</v>
      </c>
      <c r="B99" s="589" t="s">
        <v>845</v>
      </c>
      <c r="C99" s="536">
        <v>1</v>
      </c>
      <c r="D99" s="536">
        <v>1986</v>
      </c>
      <c r="E99" s="505" t="s">
        <v>378</v>
      </c>
      <c r="F99" s="537">
        <v>10000000</v>
      </c>
      <c r="G99" s="537">
        <v>10000000</v>
      </c>
      <c r="H99" s="537">
        <f>F99-G99</f>
        <v>0</v>
      </c>
      <c r="I99" s="537"/>
      <c r="J99" s="537">
        <v>3900000</v>
      </c>
      <c r="K99" s="537">
        <f>F99-I99-J99</f>
        <v>6100000</v>
      </c>
      <c r="L99" s="537">
        <f>J99</f>
        <v>3900000</v>
      </c>
      <c r="M99" s="537">
        <v>4400000</v>
      </c>
      <c r="N99" s="537">
        <f>L99-M99</f>
        <v>-500000</v>
      </c>
      <c r="O99" s="336">
        <f>N99-P99-Q99</f>
        <v>-500000</v>
      </c>
      <c r="P99" s="537"/>
      <c r="Q99" s="537"/>
      <c r="R99" s="537"/>
      <c r="S99" s="537"/>
      <c r="T99" s="537"/>
      <c r="U99" s="537"/>
      <c r="V99" s="537"/>
      <c r="W99" s="537"/>
      <c r="X99" s="332"/>
      <c r="Y99" s="332"/>
      <c r="Z99" s="332"/>
      <c r="AA99" s="332"/>
      <c r="AB99" s="332"/>
      <c r="AC99" s="339"/>
      <c r="AD99" s="537"/>
      <c r="AE99" s="537"/>
      <c r="AF99" s="537"/>
      <c r="AG99" s="336">
        <f>SUM(R99:AF99)</f>
        <v>0</v>
      </c>
      <c r="AH99" s="336"/>
      <c r="AI99" s="336">
        <f>AG99+AH99</f>
        <v>0</v>
      </c>
      <c r="AJ99" s="336">
        <f>N99-AI99</f>
        <v>-500000</v>
      </c>
      <c r="AK99" s="336">
        <f>AI99-AL99-AM99</f>
        <v>0</v>
      </c>
      <c r="AL99" s="336"/>
      <c r="AM99" s="336"/>
      <c r="AN99" s="336">
        <f>AH99-AO99-AP99</f>
        <v>0</v>
      </c>
      <c r="AO99" s="336"/>
      <c r="AP99" s="585"/>
      <c r="AQ99" s="336">
        <f>AJ99-AR99-AS99</f>
        <v>-500000</v>
      </c>
      <c r="AR99" s="336"/>
      <c r="AS99" s="585"/>
    </row>
    <row r="100" spans="1:47" s="264" customFormat="1">
      <c r="A100" s="586"/>
      <c r="B100" s="587"/>
      <c r="C100" s="587">
        <f>COUNT(C99:C99)</f>
        <v>1</v>
      </c>
      <c r="D100" s="587"/>
      <c r="E100" s="578" t="s">
        <v>126</v>
      </c>
      <c r="F100" s="339">
        <f t="shared" ref="F100:AS100" si="55">SUM(F99:F99)</f>
        <v>10000000</v>
      </c>
      <c r="G100" s="339">
        <f t="shared" si="55"/>
        <v>10000000</v>
      </c>
      <c r="H100" s="339">
        <f t="shared" si="55"/>
        <v>0</v>
      </c>
      <c r="I100" s="339">
        <f t="shared" si="55"/>
        <v>0</v>
      </c>
      <c r="J100" s="339">
        <f t="shared" si="55"/>
        <v>3900000</v>
      </c>
      <c r="K100" s="339">
        <f t="shared" si="55"/>
        <v>6100000</v>
      </c>
      <c r="L100" s="339">
        <f t="shared" si="55"/>
        <v>3900000</v>
      </c>
      <c r="M100" s="339">
        <f t="shared" si="55"/>
        <v>4400000</v>
      </c>
      <c r="N100" s="339">
        <f t="shared" si="55"/>
        <v>-500000</v>
      </c>
      <c r="O100" s="339">
        <f t="shared" si="55"/>
        <v>-500000</v>
      </c>
      <c r="P100" s="339">
        <f t="shared" si="55"/>
        <v>0</v>
      </c>
      <c r="Q100" s="339">
        <f t="shared" si="55"/>
        <v>0</v>
      </c>
      <c r="R100" s="339">
        <f t="shared" si="55"/>
        <v>0</v>
      </c>
      <c r="S100" s="339">
        <f t="shared" si="55"/>
        <v>0</v>
      </c>
      <c r="T100" s="339">
        <f t="shared" si="55"/>
        <v>0</v>
      </c>
      <c r="U100" s="339">
        <f t="shared" si="55"/>
        <v>0</v>
      </c>
      <c r="V100" s="339">
        <f t="shared" si="55"/>
        <v>0</v>
      </c>
      <c r="W100" s="339">
        <f t="shared" si="55"/>
        <v>0</v>
      </c>
      <c r="X100" s="339">
        <f t="shared" si="55"/>
        <v>0</v>
      </c>
      <c r="Y100" s="339">
        <f t="shared" si="55"/>
        <v>0</v>
      </c>
      <c r="Z100" s="339">
        <f t="shared" si="55"/>
        <v>0</v>
      </c>
      <c r="AA100" s="339">
        <f t="shared" si="55"/>
        <v>0</v>
      </c>
      <c r="AB100" s="339">
        <f t="shared" si="55"/>
        <v>0</v>
      </c>
      <c r="AC100" s="339">
        <f t="shared" si="55"/>
        <v>0</v>
      </c>
      <c r="AD100" s="344">
        <f t="shared" si="55"/>
        <v>0</v>
      </c>
      <c r="AE100" s="344">
        <f t="shared" si="55"/>
        <v>0</v>
      </c>
      <c r="AF100" s="344">
        <f t="shared" si="55"/>
        <v>0</v>
      </c>
      <c r="AG100" s="339">
        <f t="shared" si="55"/>
        <v>0</v>
      </c>
      <c r="AH100" s="339">
        <f>SUM(AH99:AH99)</f>
        <v>0</v>
      </c>
      <c r="AI100" s="339">
        <f t="shared" si="55"/>
        <v>0</v>
      </c>
      <c r="AJ100" s="339">
        <f t="shared" ref="AJ100:AP100" si="56">SUM(AJ99:AJ99)</f>
        <v>-500000</v>
      </c>
      <c r="AK100" s="339">
        <f t="shared" si="56"/>
        <v>0</v>
      </c>
      <c r="AL100" s="339">
        <f t="shared" si="56"/>
        <v>0</v>
      </c>
      <c r="AM100" s="339">
        <f t="shared" si="56"/>
        <v>0</v>
      </c>
      <c r="AN100" s="339">
        <f t="shared" si="56"/>
        <v>0</v>
      </c>
      <c r="AO100" s="339">
        <f t="shared" si="56"/>
        <v>0</v>
      </c>
      <c r="AP100" s="588">
        <f t="shared" si="56"/>
        <v>0</v>
      </c>
      <c r="AQ100" s="339">
        <f t="shared" si="55"/>
        <v>-500000</v>
      </c>
      <c r="AR100" s="339">
        <f t="shared" si="55"/>
        <v>0</v>
      </c>
      <c r="AS100" s="588">
        <f t="shared" si="55"/>
        <v>0</v>
      </c>
    </row>
    <row r="101" spans="1:47" s="264" customFormat="1">
      <c r="A101" s="586"/>
      <c r="B101" s="587"/>
      <c r="C101" s="587"/>
      <c r="D101" s="587"/>
      <c r="E101" s="578"/>
      <c r="F101" s="339"/>
      <c r="G101" s="339"/>
      <c r="H101" s="339"/>
      <c r="I101" s="339"/>
      <c r="J101" s="339"/>
      <c r="K101" s="339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  <c r="AA101" s="339"/>
      <c r="AB101" s="339"/>
      <c r="AC101" s="339"/>
      <c r="AD101" s="344"/>
      <c r="AE101" s="344"/>
      <c r="AF101" s="344"/>
      <c r="AG101" s="339"/>
      <c r="AH101" s="339"/>
      <c r="AI101" s="339"/>
      <c r="AJ101" s="339"/>
      <c r="AK101" s="339"/>
      <c r="AL101" s="339"/>
      <c r="AM101" s="339"/>
      <c r="AN101" s="339"/>
      <c r="AO101" s="339"/>
      <c r="AP101" s="588"/>
      <c r="AQ101" s="339"/>
      <c r="AR101" s="339"/>
      <c r="AS101" s="588"/>
    </row>
    <row r="102" spans="1:47" s="601" customFormat="1" ht="37.5">
      <c r="A102" s="599" t="s">
        <v>670</v>
      </c>
      <c r="B102" s="600"/>
      <c r="C102" s="339">
        <f>C45+C56+C61+C74+C82+C88+C100+C96+C19+C92</f>
        <v>56</v>
      </c>
      <c r="D102" s="587"/>
      <c r="E102" s="600" t="s">
        <v>558</v>
      </c>
      <c r="F102" s="339">
        <f t="shared" ref="F102:AS102" si="57">F45+F56+F61+F74+F82+F88+F100+F96+F19+F92</f>
        <v>821148342</v>
      </c>
      <c r="G102" s="339">
        <f t="shared" si="57"/>
        <v>759059635</v>
      </c>
      <c r="H102" s="339">
        <f t="shared" si="57"/>
        <v>62088707</v>
      </c>
      <c r="I102" s="339">
        <f t="shared" si="57"/>
        <v>375145344</v>
      </c>
      <c r="J102" s="339">
        <f t="shared" si="57"/>
        <v>167680126</v>
      </c>
      <c r="K102" s="339">
        <f t="shared" si="57"/>
        <v>278322872</v>
      </c>
      <c r="L102" s="339">
        <f t="shared" si="57"/>
        <v>167680126</v>
      </c>
      <c r="M102" s="339">
        <f t="shared" si="57"/>
        <v>101793872</v>
      </c>
      <c r="N102" s="339">
        <f t="shared" si="57"/>
        <v>65886254</v>
      </c>
      <c r="O102" s="339">
        <f t="shared" si="57"/>
        <v>22526176</v>
      </c>
      <c r="P102" s="339">
        <f t="shared" si="57"/>
        <v>4466470</v>
      </c>
      <c r="Q102" s="339">
        <f t="shared" si="57"/>
        <v>38893608</v>
      </c>
      <c r="R102" s="339">
        <f t="shared" si="57"/>
        <v>1564013</v>
      </c>
      <c r="S102" s="339">
        <f t="shared" si="57"/>
        <v>0</v>
      </c>
      <c r="T102" s="339">
        <f t="shared" si="57"/>
        <v>2120000</v>
      </c>
      <c r="U102" s="339">
        <f t="shared" si="57"/>
        <v>4500000</v>
      </c>
      <c r="V102" s="339">
        <f t="shared" si="57"/>
        <v>16066039</v>
      </c>
      <c r="W102" s="339">
        <f t="shared" si="57"/>
        <v>28927730</v>
      </c>
      <c r="X102" s="339">
        <f t="shared" si="57"/>
        <v>0</v>
      </c>
      <c r="Y102" s="339">
        <f t="shared" si="57"/>
        <v>0</v>
      </c>
      <c r="Z102" s="339">
        <f t="shared" si="57"/>
        <v>0</v>
      </c>
      <c r="AA102" s="339">
        <f t="shared" si="57"/>
        <v>0</v>
      </c>
      <c r="AB102" s="339">
        <f t="shared" si="57"/>
        <v>0</v>
      </c>
      <c r="AC102" s="339">
        <f t="shared" si="57"/>
        <v>0</v>
      </c>
      <c r="AD102" s="339">
        <f t="shared" si="57"/>
        <v>0</v>
      </c>
      <c r="AE102" s="339">
        <f t="shared" si="57"/>
        <v>0</v>
      </c>
      <c r="AF102" s="339">
        <f t="shared" si="57"/>
        <v>0</v>
      </c>
      <c r="AG102" s="339">
        <f t="shared" si="57"/>
        <v>53177782</v>
      </c>
      <c r="AH102" s="339">
        <f t="shared" si="57"/>
        <v>1780000</v>
      </c>
      <c r="AI102" s="339">
        <f t="shared" si="57"/>
        <v>54957782</v>
      </c>
      <c r="AJ102" s="339">
        <f t="shared" si="57"/>
        <v>10928472</v>
      </c>
      <c r="AK102" s="339">
        <f t="shared" si="57"/>
        <v>25356844</v>
      </c>
      <c r="AL102" s="339">
        <f t="shared" si="57"/>
        <v>3276470</v>
      </c>
      <c r="AM102" s="339">
        <f t="shared" si="57"/>
        <v>26324468</v>
      </c>
      <c r="AN102" s="339">
        <f t="shared" si="57"/>
        <v>1780000</v>
      </c>
      <c r="AO102" s="339">
        <f t="shared" si="57"/>
        <v>0</v>
      </c>
      <c r="AP102" s="339">
        <f t="shared" si="57"/>
        <v>0</v>
      </c>
      <c r="AQ102" s="339">
        <f t="shared" si="57"/>
        <v>3859332</v>
      </c>
      <c r="AR102" s="339">
        <f t="shared" si="57"/>
        <v>0</v>
      </c>
      <c r="AS102" s="339">
        <f t="shared" si="57"/>
        <v>7069140</v>
      </c>
    </row>
    <row r="103" spans="1:47" s="264" customFormat="1" ht="16.5" thickBot="1">
      <c r="A103" s="602"/>
      <c r="B103" s="603"/>
      <c r="C103" s="587"/>
      <c r="D103" s="587"/>
      <c r="E103" s="578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332"/>
      <c r="Y103" s="332"/>
      <c r="Z103" s="332"/>
      <c r="AA103" s="332"/>
      <c r="AB103" s="332"/>
      <c r="AC103" s="332"/>
      <c r="AD103" s="536"/>
      <c r="AE103" s="536"/>
      <c r="AF103" s="536"/>
      <c r="AG103" s="266"/>
      <c r="AH103" s="266"/>
      <c r="AI103" s="266"/>
      <c r="AJ103" s="266"/>
      <c r="AK103" s="266"/>
      <c r="AL103" s="266"/>
      <c r="AM103" s="266"/>
      <c r="AN103" s="272"/>
      <c r="AO103" s="272"/>
      <c r="AP103" s="273"/>
      <c r="AQ103" s="272"/>
      <c r="AR103" s="272"/>
      <c r="AS103" s="273"/>
    </row>
    <row r="104" spans="1:47" s="264" customFormat="1">
      <c r="A104" s="604"/>
      <c r="B104" s="604"/>
      <c r="C104" s="604"/>
      <c r="D104" s="604"/>
      <c r="E104" s="605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  <c r="W104" s="606"/>
      <c r="X104" s="606"/>
      <c r="Y104" s="606"/>
      <c r="Z104" s="606"/>
      <c r="AA104" s="606"/>
      <c r="AB104" s="606"/>
      <c r="AC104" s="606"/>
      <c r="AD104" s="606"/>
      <c r="AE104" s="606"/>
      <c r="AF104" s="606"/>
      <c r="AG104" s="606"/>
      <c r="AH104" s="606"/>
      <c r="AI104" s="606"/>
      <c r="AJ104" s="255"/>
      <c r="AK104" s="606"/>
      <c r="AL104" s="255"/>
      <c r="AM104" s="606"/>
      <c r="AN104" s="255"/>
      <c r="AO104" s="606"/>
      <c r="AP104" s="606"/>
      <c r="AQ104" s="255"/>
      <c r="AR104" s="606"/>
      <c r="AS104" s="606"/>
    </row>
    <row r="105" spans="1:47">
      <c r="T105" s="607"/>
      <c r="W105" s="255"/>
      <c r="AD105" s="253"/>
      <c r="AE105" s="253"/>
      <c r="AF105" s="253"/>
      <c r="AG105" s="339">
        <v>53177782</v>
      </c>
      <c r="AH105" s="255"/>
      <c r="AI105" s="255"/>
      <c r="AJ105" s="255"/>
      <c r="AL105" s="255"/>
      <c r="AN105" s="255"/>
      <c r="AQ105" s="255"/>
      <c r="AU105" s="264"/>
    </row>
    <row r="106" spans="1:47" ht="18.75">
      <c r="A106" s="608"/>
      <c r="B106" s="608"/>
      <c r="C106" s="346"/>
      <c r="E106" s="609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T106" s="607"/>
      <c r="W106" s="255"/>
      <c r="AH106" s="559"/>
      <c r="AI106" s="559"/>
      <c r="AU106" s="264"/>
    </row>
    <row r="107" spans="1:47" ht="18.75">
      <c r="A107" s="608"/>
      <c r="B107" s="608"/>
      <c r="C107" s="346"/>
      <c r="F107" s="346"/>
      <c r="G107" s="346"/>
      <c r="H107" s="346"/>
      <c r="I107" s="346"/>
      <c r="J107" s="346"/>
      <c r="K107" s="346"/>
      <c r="L107" s="597" t="s">
        <v>877</v>
      </c>
      <c r="M107" s="610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U107" s="264"/>
    </row>
    <row r="108" spans="1:47" ht="18.75">
      <c r="A108" s="608"/>
      <c r="B108" s="608"/>
      <c r="C108" s="346"/>
      <c r="F108" s="346"/>
      <c r="G108" s="346"/>
      <c r="H108" s="346"/>
      <c r="I108" s="346"/>
      <c r="J108" s="346"/>
      <c r="K108" s="346"/>
      <c r="L108" s="597" t="s">
        <v>878</v>
      </c>
      <c r="M108" s="611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U108" s="264"/>
    </row>
    <row r="109" spans="1:47" ht="18.75">
      <c r="A109" s="608"/>
      <c r="B109" s="608"/>
      <c r="C109" s="346"/>
      <c r="E109" s="609"/>
      <c r="F109" s="346"/>
      <c r="G109" s="346"/>
      <c r="H109" s="346"/>
      <c r="I109" s="346"/>
      <c r="J109" s="346"/>
      <c r="K109" s="346"/>
      <c r="L109" s="597" t="s">
        <v>208</v>
      </c>
      <c r="M109" s="611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U109" s="264"/>
    </row>
    <row r="110" spans="1:47" ht="18.75">
      <c r="A110" s="608"/>
      <c r="B110" s="608"/>
      <c r="C110" s="346"/>
      <c r="E110" s="608"/>
      <c r="F110" s="346"/>
      <c r="G110" s="346"/>
      <c r="H110" s="346"/>
      <c r="I110" s="346"/>
      <c r="J110" s="346"/>
      <c r="K110" s="346"/>
      <c r="L110" s="612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U110" s="264"/>
    </row>
    <row r="111" spans="1:47">
      <c r="L111" s="339" t="s">
        <v>879</v>
      </c>
      <c r="M111" s="332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</row>
    <row r="112" spans="1:47">
      <c r="L112" s="332" t="s">
        <v>880</v>
      </c>
      <c r="M112" s="332" t="s">
        <v>692</v>
      </c>
      <c r="N112" s="346"/>
      <c r="O112" s="346"/>
      <c r="P112" s="346"/>
      <c r="Q112" s="346"/>
      <c r="R112" s="346"/>
      <c r="S112" s="346"/>
      <c r="T112" s="346"/>
      <c r="U112" s="346"/>
      <c r="V112" s="346"/>
      <c r="W112" s="346" t="s">
        <v>881</v>
      </c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</row>
    <row r="113" spans="10:36">
      <c r="L113" s="332" t="s">
        <v>882</v>
      </c>
      <c r="M113" s="332">
        <v>1435</v>
      </c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</row>
    <row r="114" spans="10:36">
      <c r="L114" s="332" t="s">
        <v>302</v>
      </c>
      <c r="M114" s="332">
        <v>1976</v>
      </c>
      <c r="N114" s="346"/>
      <c r="O114" s="346"/>
      <c r="P114" s="346"/>
      <c r="Q114" s="346"/>
      <c r="R114" s="346"/>
      <c r="S114" s="346"/>
      <c r="T114" s="346"/>
      <c r="U114" s="346"/>
      <c r="V114" s="346"/>
      <c r="W114" s="346">
        <v>18837228</v>
      </c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</row>
    <row r="115" spans="10:36">
      <c r="L115" s="332" t="s">
        <v>714</v>
      </c>
      <c r="M115" s="332">
        <v>1966</v>
      </c>
      <c r="N115" s="346"/>
      <c r="O115" s="346"/>
      <c r="P115" s="346"/>
      <c r="Q115" s="346"/>
      <c r="R115" s="346"/>
      <c r="S115" s="346"/>
      <c r="T115" s="346"/>
      <c r="U115" s="346"/>
      <c r="V115" s="346"/>
      <c r="W115" s="346">
        <v>10090502</v>
      </c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</row>
    <row r="116" spans="10:36">
      <c r="L116" s="332" t="s">
        <v>714</v>
      </c>
      <c r="M116" s="332">
        <v>1968</v>
      </c>
      <c r="N116" s="346"/>
      <c r="O116" s="346"/>
      <c r="P116" s="346"/>
      <c r="Q116" s="346"/>
      <c r="R116" s="346"/>
      <c r="S116" s="346"/>
      <c r="T116" s="346"/>
      <c r="U116" s="346"/>
      <c r="V116" s="346"/>
      <c r="W116" s="346">
        <f>SUM(W114:W115)</f>
        <v>28927730</v>
      </c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</row>
    <row r="117" spans="10:36">
      <c r="N117" s="559"/>
      <c r="O117" s="559"/>
      <c r="P117" s="559"/>
      <c r="Q117" s="559"/>
    </row>
    <row r="118" spans="10:36">
      <c r="N118" s="559"/>
      <c r="O118" s="559"/>
      <c r="P118" s="559"/>
      <c r="Q118" s="559"/>
    </row>
    <row r="119" spans="10:36">
      <c r="M119" s="613"/>
      <c r="N119" s="559"/>
      <c r="O119" s="559"/>
      <c r="P119" s="559"/>
      <c r="Q119" s="559"/>
      <c r="W119" s="255"/>
    </row>
    <row r="120" spans="10:36">
      <c r="N120" s="559"/>
      <c r="O120" s="559"/>
      <c r="P120" s="559"/>
      <c r="Q120" s="559"/>
      <c r="W120" s="255"/>
    </row>
    <row r="121" spans="10:36">
      <c r="M121" s="613"/>
      <c r="N121" s="559"/>
      <c r="O121" s="559"/>
      <c r="P121" s="559"/>
      <c r="Q121" s="559"/>
      <c r="W121" s="255"/>
    </row>
    <row r="122" spans="10:36">
      <c r="N122" s="559"/>
      <c r="O122" s="559"/>
      <c r="P122" s="559"/>
      <c r="Q122" s="559"/>
    </row>
    <row r="123" spans="10:36">
      <c r="N123" s="559"/>
      <c r="O123" s="559"/>
      <c r="P123" s="559"/>
      <c r="Q123" s="559"/>
    </row>
    <row r="124" spans="10:36">
      <c r="J124" s="614"/>
      <c r="K124" s="613"/>
      <c r="L124" s="615"/>
      <c r="M124" s="615"/>
      <c r="N124" s="559"/>
      <c r="O124" s="559"/>
      <c r="P124" s="559"/>
      <c r="Q124" s="559"/>
    </row>
    <row r="125" spans="10:36">
      <c r="N125" s="559"/>
      <c r="O125" s="559"/>
      <c r="P125" s="559"/>
      <c r="Q125" s="559"/>
    </row>
    <row r="126" spans="10:36">
      <c r="M126" s="616"/>
      <c r="N126" s="616"/>
      <c r="O126" s="616"/>
      <c r="P126" s="616"/>
      <c r="Q126" s="616"/>
    </row>
  </sheetData>
  <mergeCells count="4">
    <mergeCell ref="F3:K3"/>
    <mergeCell ref="M3:Q3"/>
    <mergeCell ref="AQ3:AS3"/>
    <mergeCell ref="AG3:AI3"/>
  </mergeCells>
  <printOptions horizontalCentered="1"/>
  <pageMargins left="0" right="0" top="1.3779527559055118" bottom="0.55118110236220474" header="0.9055118110236221" footer="0.31496062992125984"/>
  <pageSetup paperSize="9" scale="85" fitToWidth="0" fitToHeight="0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3"/>
  <sheetViews>
    <sheetView rightToLeft="1" topLeftCell="A16" workbookViewId="0">
      <selection activeCell="T10" sqref="T10"/>
    </sheetView>
  </sheetViews>
  <sheetFormatPr defaultRowHeight="15"/>
  <cols>
    <col min="1" max="1" width="9" style="11" customWidth="1"/>
    <col min="2" max="2" width="46.28515625" style="11" customWidth="1"/>
    <col min="3" max="3" width="26.5703125" style="47" customWidth="1"/>
    <col min="4" max="4" width="6.7109375" style="640" customWidth="1"/>
    <col min="5" max="5" width="55.42578125" style="640" customWidth="1"/>
    <col min="6" max="6" width="21.5703125" style="640" customWidth="1"/>
    <col min="7" max="7" width="5" style="640" customWidth="1"/>
    <col min="8" max="8" width="29.42578125" style="640" customWidth="1"/>
    <col min="9" max="9" width="12.7109375" style="640" customWidth="1"/>
    <col min="10" max="16384" width="9.140625" style="674"/>
  </cols>
  <sheetData>
    <row r="1" spans="1:3" ht="18.75">
      <c r="A1" s="654" t="s">
        <v>1120</v>
      </c>
      <c r="B1" s="630"/>
      <c r="C1" s="630"/>
    </row>
    <row r="2" spans="1:3" ht="18.75">
      <c r="A2" s="654" t="s">
        <v>1119</v>
      </c>
      <c r="C2" s="640"/>
    </row>
    <row r="4" spans="1:3">
      <c r="A4" s="32" t="s">
        <v>1</v>
      </c>
      <c r="B4" s="32" t="s">
        <v>2</v>
      </c>
      <c r="C4" s="32" t="s">
        <v>3</v>
      </c>
    </row>
    <row r="5" spans="1:3" ht="15" customHeight="1">
      <c r="A5" s="1">
        <v>1547</v>
      </c>
      <c r="B5" s="1" t="s">
        <v>216</v>
      </c>
      <c r="C5" s="2">
        <f>131000000+11000000+2000000</f>
        <v>144000000</v>
      </c>
    </row>
    <row r="6" spans="1:3" ht="15" customHeight="1">
      <c r="A6" s="8">
        <v>1919</v>
      </c>
      <c r="B6" s="1" t="s">
        <v>273</v>
      </c>
      <c r="C6" s="2">
        <v>135100000</v>
      </c>
    </row>
    <row r="7" spans="1:3">
      <c r="A7" s="1">
        <v>1312</v>
      </c>
      <c r="B7" s="1" t="s">
        <v>46</v>
      </c>
      <c r="C7" s="2">
        <f>115000000+6000000</f>
        <v>121000000</v>
      </c>
    </row>
    <row r="8" spans="1:3">
      <c r="A8" s="1">
        <v>1625</v>
      </c>
      <c r="B8" s="1" t="s">
        <v>265</v>
      </c>
      <c r="C8" s="2">
        <v>100000000</v>
      </c>
    </row>
    <row r="9" spans="1:3" ht="15" customHeight="1">
      <c r="A9" s="8">
        <v>1827</v>
      </c>
      <c r="B9" s="1" t="s">
        <v>266</v>
      </c>
      <c r="C9" s="2">
        <f>100000000</f>
        <v>100000000</v>
      </c>
    </row>
    <row r="10" spans="1:3" ht="15" customHeight="1">
      <c r="A10" s="8">
        <v>1912</v>
      </c>
      <c r="B10" s="1" t="s">
        <v>1073</v>
      </c>
      <c r="C10" s="2">
        <v>100000000</v>
      </c>
    </row>
    <row r="11" spans="1:3">
      <c r="A11" s="1">
        <v>532</v>
      </c>
      <c r="B11" s="1" t="s">
        <v>166</v>
      </c>
      <c r="C11" s="2">
        <v>80090000</v>
      </c>
    </row>
    <row r="12" spans="1:3">
      <c r="A12" s="1">
        <v>1443</v>
      </c>
      <c r="B12" s="1" t="s">
        <v>176</v>
      </c>
      <c r="C12" s="2">
        <v>78500000</v>
      </c>
    </row>
    <row r="13" spans="1:3">
      <c r="A13" s="1">
        <v>1657</v>
      </c>
      <c r="B13" s="1" t="s">
        <v>38</v>
      </c>
      <c r="C13" s="2">
        <v>60000000</v>
      </c>
    </row>
    <row r="14" spans="1:3">
      <c r="A14" s="1">
        <v>1834</v>
      </c>
      <c r="B14" s="1" t="s">
        <v>248</v>
      </c>
      <c r="C14" s="2">
        <f>40000000+20000000</f>
        <v>60000000</v>
      </c>
    </row>
    <row r="15" spans="1:3" ht="15" customHeight="1">
      <c r="A15" s="8">
        <v>1957</v>
      </c>
      <c r="B15" s="1" t="s">
        <v>403</v>
      </c>
      <c r="C15" s="2">
        <v>60000000</v>
      </c>
    </row>
    <row r="16" spans="1:3">
      <c r="A16" s="1">
        <v>1835</v>
      </c>
      <c r="B16" s="1" t="s">
        <v>249</v>
      </c>
      <c r="C16" s="2">
        <f>30000000+28000000</f>
        <v>58000000</v>
      </c>
    </row>
    <row r="17" spans="1:3" ht="15" customHeight="1">
      <c r="A17" s="1">
        <v>634</v>
      </c>
      <c r="B17" s="1" t="s">
        <v>168</v>
      </c>
      <c r="C17" s="2">
        <v>57250000</v>
      </c>
    </row>
    <row r="18" spans="1:3">
      <c r="A18" s="1">
        <v>576</v>
      </c>
      <c r="B18" s="1" t="s">
        <v>167</v>
      </c>
      <c r="C18" s="2">
        <v>55113000</v>
      </c>
    </row>
    <row r="19" spans="1:3" ht="15" customHeight="1">
      <c r="A19" s="1">
        <v>1207</v>
      </c>
      <c r="B19" s="1" t="s">
        <v>171</v>
      </c>
      <c r="C19" s="2">
        <f>32500000+20000000-1850000</f>
        <v>50650000</v>
      </c>
    </row>
    <row r="20" spans="1:3">
      <c r="A20" s="1">
        <v>1588</v>
      </c>
      <c r="B20" s="1" t="s">
        <v>36</v>
      </c>
      <c r="C20" s="2">
        <v>50500000</v>
      </c>
    </row>
    <row r="21" spans="1:3">
      <c r="A21" s="1">
        <v>382</v>
      </c>
      <c r="B21" s="1" t="s">
        <v>163</v>
      </c>
      <c r="C21" s="2">
        <f>45781930+3800000</f>
        <v>49581930</v>
      </c>
    </row>
    <row r="22" spans="1:3">
      <c r="A22" s="1">
        <v>1375</v>
      </c>
      <c r="B22" s="1" t="s">
        <v>173</v>
      </c>
      <c r="C22" s="2">
        <v>39800000</v>
      </c>
    </row>
    <row r="23" spans="1:3" ht="15" customHeight="1">
      <c r="A23" s="1">
        <v>1825</v>
      </c>
      <c r="B23" s="1" t="s">
        <v>926</v>
      </c>
      <c r="C23" s="2">
        <f>35000000+1000000</f>
        <v>36000000</v>
      </c>
    </row>
    <row r="24" spans="1:3">
      <c r="A24" s="8">
        <v>1959</v>
      </c>
      <c r="B24" s="780" t="s">
        <v>1005</v>
      </c>
      <c r="C24" s="2">
        <v>35000000</v>
      </c>
    </row>
    <row r="25" spans="1:3">
      <c r="A25" s="1">
        <v>1965</v>
      </c>
      <c r="B25" s="1" t="s">
        <v>1163</v>
      </c>
      <c r="C25" s="2">
        <v>35000000</v>
      </c>
    </row>
    <row r="26" spans="1:3" ht="15" customHeight="1">
      <c r="A26" s="1">
        <v>1238</v>
      </c>
      <c r="B26" s="1" t="s">
        <v>172</v>
      </c>
      <c r="C26" s="2">
        <v>32940000</v>
      </c>
    </row>
    <row r="27" spans="1:3" ht="15" customHeight="1">
      <c r="A27" s="1">
        <v>1403</v>
      </c>
      <c r="B27" s="1" t="s">
        <v>175</v>
      </c>
      <c r="C27" s="2">
        <f>26050000+3700000</f>
        <v>29750000</v>
      </c>
    </row>
    <row r="28" spans="1:3">
      <c r="A28" s="1">
        <v>1615</v>
      </c>
      <c r="B28" s="1" t="s">
        <v>258</v>
      </c>
      <c r="C28" s="2">
        <v>27700000</v>
      </c>
    </row>
    <row r="29" spans="1:3" ht="15" customHeight="1">
      <c r="A29" s="8">
        <v>1911</v>
      </c>
      <c r="B29" s="780" t="s">
        <v>1004</v>
      </c>
      <c r="C29" s="2">
        <f>23500000+4000000</f>
        <v>27500000</v>
      </c>
    </row>
    <row r="30" spans="1:3" ht="15" customHeight="1">
      <c r="A30" s="8">
        <v>1833</v>
      </c>
      <c r="B30" s="1" t="s">
        <v>267</v>
      </c>
      <c r="C30" s="2">
        <f>20000000+4000000</f>
        <v>24000000</v>
      </c>
    </row>
    <row r="31" spans="1:3">
      <c r="A31" s="69">
        <v>2002</v>
      </c>
      <c r="B31" s="1" t="s">
        <v>460</v>
      </c>
      <c r="C31" s="2">
        <v>20000000</v>
      </c>
    </row>
    <row r="32" spans="1:3" ht="15" customHeight="1">
      <c r="A32" s="8">
        <v>1962</v>
      </c>
      <c r="B32" s="1" t="s">
        <v>385</v>
      </c>
      <c r="C32" s="2">
        <v>20000000</v>
      </c>
    </row>
    <row r="33" spans="1:3" ht="15" customHeight="1">
      <c r="A33" s="8">
        <v>1896</v>
      </c>
      <c r="B33" s="1" t="s">
        <v>297</v>
      </c>
      <c r="C33" s="2">
        <v>18560000</v>
      </c>
    </row>
    <row r="34" spans="1:3">
      <c r="A34" s="8">
        <v>1819</v>
      </c>
      <c r="B34" s="1" t="s">
        <v>238</v>
      </c>
      <c r="C34" s="2">
        <v>18000000</v>
      </c>
    </row>
    <row r="35" spans="1:3">
      <c r="A35" s="1">
        <v>1723</v>
      </c>
      <c r="B35" s="1" t="s">
        <v>39</v>
      </c>
      <c r="C35" s="2">
        <f>12000000+5500000</f>
        <v>17500000</v>
      </c>
    </row>
    <row r="36" spans="1:3">
      <c r="A36" s="1">
        <v>439</v>
      </c>
      <c r="B36" s="1" t="s">
        <v>165</v>
      </c>
      <c r="C36" s="2">
        <v>17090803</v>
      </c>
    </row>
    <row r="37" spans="1:3">
      <c r="A37" s="1">
        <v>1908</v>
      </c>
      <c r="B37" s="1" t="s">
        <v>335</v>
      </c>
      <c r="C37" s="2">
        <v>16900000</v>
      </c>
    </row>
    <row r="38" spans="1:3">
      <c r="A38" s="1">
        <v>1539</v>
      </c>
      <c r="B38" s="1" t="s">
        <v>52</v>
      </c>
      <c r="C38" s="2">
        <v>16300000</v>
      </c>
    </row>
    <row r="39" spans="1:3">
      <c r="A39" s="1">
        <v>642</v>
      </c>
      <c r="B39" s="1" t="s">
        <v>169</v>
      </c>
      <c r="C39" s="2">
        <v>15780000</v>
      </c>
    </row>
    <row r="40" spans="1:3">
      <c r="A40" s="1">
        <v>1446</v>
      </c>
      <c r="B40" s="1" t="s">
        <v>426</v>
      </c>
      <c r="C40" s="2">
        <v>14250000</v>
      </c>
    </row>
    <row r="41" spans="1:3" hidden="1">
      <c r="A41" s="1">
        <v>1718</v>
      </c>
      <c r="B41" s="1" t="s">
        <v>74</v>
      </c>
      <c r="C41" s="2">
        <v>13200000</v>
      </c>
    </row>
    <row r="42" spans="1:3" ht="15" hidden="1" customHeight="1">
      <c r="A42" s="8">
        <v>1909</v>
      </c>
      <c r="B42" s="152" t="s">
        <v>906</v>
      </c>
      <c r="C42" s="2">
        <v>12500000</v>
      </c>
    </row>
    <row r="43" spans="1:3" hidden="1">
      <c r="A43" s="1">
        <v>437</v>
      </c>
      <c r="B43" s="1" t="s">
        <v>164</v>
      </c>
      <c r="C43" s="2">
        <v>11000000</v>
      </c>
    </row>
    <row r="44" spans="1:3" hidden="1">
      <c r="A44" s="1">
        <v>1656</v>
      </c>
      <c r="B44" s="1" t="s">
        <v>54</v>
      </c>
      <c r="C44" s="2">
        <v>10800000</v>
      </c>
    </row>
    <row r="45" spans="1:3" hidden="1">
      <c r="A45" s="69">
        <v>2015</v>
      </c>
      <c r="B45" s="1" t="s">
        <v>929</v>
      </c>
      <c r="C45" s="2">
        <v>10500000</v>
      </c>
    </row>
    <row r="46" spans="1:3" hidden="1">
      <c r="A46" s="69">
        <v>2018</v>
      </c>
      <c r="B46" s="1" t="s">
        <v>458</v>
      </c>
      <c r="C46" s="2">
        <v>10000000</v>
      </c>
    </row>
    <row r="47" spans="1:3" hidden="1">
      <c r="A47" s="1">
        <v>1906</v>
      </c>
      <c r="B47" s="1" t="s">
        <v>704</v>
      </c>
      <c r="C47" s="2">
        <v>10000000</v>
      </c>
    </row>
    <row r="48" spans="1:3" hidden="1">
      <c r="A48" s="1">
        <v>1907</v>
      </c>
      <c r="B48" s="1" t="s">
        <v>261</v>
      </c>
      <c r="C48" s="2">
        <v>10000000</v>
      </c>
    </row>
    <row r="49" spans="1:3" hidden="1">
      <c r="A49" s="1">
        <v>1402</v>
      </c>
      <c r="B49" s="1" t="s">
        <v>174</v>
      </c>
      <c r="C49" s="2">
        <v>7700000</v>
      </c>
    </row>
    <row r="50" spans="1:3" hidden="1">
      <c r="A50" s="8">
        <v>1914</v>
      </c>
      <c r="B50" s="1" t="s">
        <v>333</v>
      </c>
      <c r="C50" s="2">
        <f>7500000+200000</f>
        <v>7700000</v>
      </c>
    </row>
    <row r="51" spans="1:3" hidden="1">
      <c r="A51" s="8">
        <v>1960</v>
      </c>
      <c r="B51" s="1" t="s">
        <v>1006</v>
      </c>
      <c r="C51" s="2">
        <f>7500000+200000</f>
        <v>7700000</v>
      </c>
    </row>
    <row r="52" spans="1:3" hidden="1">
      <c r="A52" s="1">
        <v>1462</v>
      </c>
      <c r="B52" s="1" t="s">
        <v>964</v>
      </c>
      <c r="C52" s="2">
        <v>7500000</v>
      </c>
    </row>
    <row r="53" spans="1:3" hidden="1">
      <c r="A53" s="8">
        <v>1847</v>
      </c>
      <c r="B53" s="1" t="s">
        <v>927</v>
      </c>
      <c r="C53" s="2">
        <v>7340000</v>
      </c>
    </row>
    <row r="54" spans="1:3" hidden="1">
      <c r="A54" s="69">
        <v>2016</v>
      </c>
      <c r="B54" s="1" t="s">
        <v>456</v>
      </c>
      <c r="C54" s="2">
        <v>7340000</v>
      </c>
    </row>
    <row r="55" spans="1:3" hidden="1">
      <c r="A55" s="69">
        <v>2023</v>
      </c>
      <c r="B55" s="1" t="s">
        <v>1029</v>
      </c>
      <c r="C55" s="2">
        <v>7340000</v>
      </c>
    </row>
    <row r="56" spans="1:3" hidden="1">
      <c r="A56" s="69">
        <v>2024</v>
      </c>
      <c r="B56" s="1" t="s">
        <v>1030</v>
      </c>
      <c r="C56" s="2">
        <v>7340000</v>
      </c>
    </row>
    <row r="57" spans="1:3" ht="15" hidden="1" customHeight="1">
      <c r="A57" s="69">
        <v>2026</v>
      </c>
      <c r="B57" s="1" t="s">
        <v>1032</v>
      </c>
      <c r="C57" s="2">
        <v>7340000</v>
      </c>
    </row>
    <row r="58" spans="1:3" ht="15" hidden="1" customHeight="1">
      <c r="A58" s="1">
        <v>1614</v>
      </c>
      <c r="B58" s="1" t="s">
        <v>1060</v>
      </c>
      <c r="C58" s="2">
        <v>7200000</v>
      </c>
    </row>
    <row r="59" spans="1:3" hidden="1">
      <c r="A59" s="8">
        <v>1894</v>
      </c>
      <c r="B59" s="1" t="s">
        <v>928</v>
      </c>
      <c r="C59" s="2">
        <v>7100000</v>
      </c>
    </row>
    <row r="60" spans="1:3" hidden="1">
      <c r="A60" s="8">
        <v>1921</v>
      </c>
      <c r="B60" s="1" t="s">
        <v>274</v>
      </c>
      <c r="C60" s="2">
        <f>4500000+1700000+620000</f>
        <v>6820000</v>
      </c>
    </row>
    <row r="61" spans="1:3" hidden="1">
      <c r="A61" s="1">
        <v>1739</v>
      </c>
      <c r="B61" s="1" t="s">
        <v>224</v>
      </c>
      <c r="C61" s="2">
        <v>6550000</v>
      </c>
    </row>
    <row r="62" spans="1:3" ht="15" hidden="1" customHeight="1">
      <c r="A62" s="1">
        <v>1396</v>
      </c>
      <c r="B62" s="1" t="s">
        <v>277</v>
      </c>
      <c r="C62" s="2">
        <v>6280000</v>
      </c>
    </row>
    <row r="63" spans="1:3" hidden="1">
      <c r="A63" s="8">
        <v>1936</v>
      </c>
      <c r="B63" s="1" t="s">
        <v>428</v>
      </c>
      <c r="C63" s="2">
        <v>6082795</v>
      </c>
    </row>
    <row r="64" spans="1:3" ht="15" hidden="1" customHeight="1">
      <c r="A64" s="1">
        <v>1448</v>
      </c>
      <c r="B64" s="1" t="s">
        <v>177</v>
      </c>
      <c r="C64" s="2">
        <v>6002877</v>
      </c>
    </row>
    <row r="65" spans="1:3" hidden="1">
      <c r="A65" s="1">
        <v>1764</v>
      </c>
      <c r="B65" s="1" t="s">
        <v>220</v>
      </c>
      <c r="C65" s="2">
        <f>4800000+1200000</f>
        <v>6000000</v>
      </c>
    </row>
    <row r="66" spans="1:3" ht="15" hidden="1" customHeight="1">
      <c r="A66" s="1">
        <v>1904</v>
      </c>
      <c r="B66" s="1" t="s">
        <v>257</v>
      </c>
      <c r="C66" s="2">
        <v>5700000</v>
      </c>
    </row>
    <row r="67" spans="1:3" ht="15" hidden="1" customHeight="1">
      <c r="A67" s="1">
        <v>1854</v>
      </c>
      <c r="B67" s="1" t="s">
        <v>427</v>
      </c>
      <c r="C67" s="2">
        <v>5600000</v>
      </c>
    </row>
    <row r="68" spans="1:3" hidden="1">
      <c r="A68" s="8">
        <v>1953</v>
      </c>
      <c r="B68" s="1" t="s">
        <v>336</v>
      </c>
      <c r="C68" s="2">
        <v>5300000</v>
      </c>
    </row>
    <row r="69" spans="1:3" ht="15" hidden="1" customHeight="1">
      <c r="A69" s="1">
        <v>1749</v>
      </c>
      <c r="B69" s="1" t="s">
        <v>59</v>
      </c>
      <c r="C69" s="2">
        <v>5000000</v>
      </c>
    </row>
    <row r="70" spans="1:3" ht="15" hidden="1" customHeight="1">
      <c r="A70" s="1">
        <v>1750</v>
      </c>
      <c r="B70" s="1" t="s">
        <v>925</v>
      </c>
      <c r="C70" s="2">
        <v>5000000</v>
      </c>
    </row>
    <row r="71" spans="1:3" hidden="1">
      <c r="A71" s="1">
        <v>1751</v>
      </c>
      <c r="B71" s="1" t="s">
        <v>221</v>
      </c>
      <c r="C71" s="2">
        <v>4800000</v>
      </c>
    </row>
    <row r="72" spans="1:3" hidden="1">
      <c r="A72" s="1">
        <v>1455</v>
      </c>
      <c r="B72" s="1" t="s">
        <v>50</v>
      </c>
      <c r="C72" s="2">
        <v>4500000</v>
      </c>
    </row>
    <row r="73" spans="1:3" ht="15" hidden="1" customHeight="1">
      <c r="A73" s="1">
        <v>1555</v>
      </c>
      <c r="B73" s="1" t="s">
        <v>178</v>
      </c>
      <c r="C73" s="2">
        <v>4250000</v>
      </c>
    </row>
    <row r="74" spans="1:3" ht="15" hidden="1" customHeight="1">
      <c r="A74" s="1">
        <v>1763</v>
      </c>
      <c r="B74" s="1" t="s">
        <v>229</v>
      </c>
      <c r="C74" s="2">
        <v>4200000</v>
      </c>
    </row>
    <row r="75" spans="1:3" ht="15" hidden="1" customHeight="1">
      <c r="A75" s="1">
        <v>1298</v>
      </c>
      <c r="B75" s="1" t="s">
        <v>45</v>
      </c>
      <c r="C75" s="2">
        <f>3600000+500000</f>
        <v>4100000</v>
      </c>
    </row>
    <row r="76" spans="1:3" ht="15" hidden="1" customHeight="1">
      <c r="A76" s="1">
        <v>1067</v>
      </c>
      <c r="B76" s="1" t="s">
        <v>170</v>
      </c>
      <c r="C76" s="2">
        <f>3575000+150000</f>
        <v>3725000</v>
      </c>
    </row>
    <row r="77" spans="1:3" ht="15" hidden="1" customHeight="1">
      <c r="A77" s="1">
        <v>1905</v>
      </c>
      <c r="B77" s="1" t="s">
        <v>263</v>
      </c>
      <c r="C77" s="2">
        <v>3366000</v>
      </c>
    </row>
    <row r="78" spans="1:3" ht="30" hidden="1">
      <c r="A78" s="1">
        <v>1772</v>
      </c>
      <c r="B78" s="1" t="s">
        <v>1003</v>
      </c>
      <c r="C78" s="2">
        <v>3210000</v>
      </c>
    </row>
    <row r="79" spans="1:3" ht="15" hidden="1" customHeight="1">
      <c r="A79" s="8">
        <v>1837</v>
      </c>
      <c r="B79" s="1" t="s">
        <v>268</v>
      </c>
      <c r="C79" s="2">
        <f>3000000+200000</f>
        <v>3200000</v>
      </c>
    </row>
    <row r="80" spans="1:3" hidden="1">
      <c r="A80" s="1">
        <v>1797</v>
      </c>
      <c r="B80" s="1" t="s">
        <v>232</v>
      </c>
      <c r="C80" s="2">
        <v>3000000</v>
      </c>
    </row>
    <row r="81" spans="1:3" ht="15" hidden="1" customHeight="1">
      <c r="A81" s="8">
        <v>1961</v>
      </c>
      <c r="B81" s="1" t="s">
        <v>384</v>
      </c>
      <c r="C81" s="2">
        <v>3000000</v>
      </c>
    </row>
    <row r="82" spans="1:3" hidden="1">
      <c r="A82" s="1">
        <v>1765</v>
      </c>
      <c r="B82" s="1" t="s">
        <v>219</v>
      </c>
      <c r="C82" s="2">
        <v>2800000</v>
      </c>
    </row>
    <row r="83" spans="1:3" ht="15" hidden="1" customHeight="1">
      <c r="A83" s="8">
        <v>1963</v>
      </c>
      <c r="B83" s="1" t="s">
        <v>404</v>
      </c>
      <c r="C83" s="2">
        <v>2800000</v>
      </c>
    </row>
    <row r="84" spans="1:3" hidden="1">
      <c r="A84" s="1">
        <v>1807</v>
      </c>
      <c r="B84" s="1" t="s">
        <v>239</v>
      </c>
      <c r="C84" s="2">
        <v>2700000</v>
      </c>
    </row>
    <row r="85" spans="1:3" hidden="1">
      <c r="A85" s="1">
        <v>1541</v>
      </c>
      <c r="B85" s="1" t="s">
        <v>264</v>
      </c>
      <c r="C85" s="2">
        <v>2650000</v>
      </c>
    </row>
    <row r="86" spans="1:3" hidden="1">
      <c r="A86" s="69">
        <v>2025</v>
      </c>
      <c r="B86" s="1" t="s">
        <v>1031</v>
      </c>
      <c r="C86" s="2">
        <v>2600000</v>
      </c>
    </row>
    <row r="87" spans="1:3" ht="15" hidden="1" customHeight="1">
      <c r="A87" s="8">
        <v>1846</v>
      </c>
      <c r="B87" s="1" t="s">
        <v>270</v>
      </c>
      <c r="C87" s="2">
        <v>2500000</v>
      </c>
    </row>
    <row r="88" spans="1:3" hidden="1">
      <c r="A88" s="1">
        <v>1954</v>
      </c>
      <c r="B88" s="1" t="s">
        <v>337</v>
      </c>
      <c r="C88" s="2">
        <v>2000000</v>
      </c>
    </row>
    <row r="89" spans="1:3" ht="15" hidden="1" customHeight="1">
      <c r="A89" s="8">
        <v>1991</v>
      </c>
      <c r="B89" s="1" t="s">
        <v>430</v>
      </c>
      <c r="C89" s="2">
        <v>2000000</v>
      </c>
    </row>
    <row r="90" spans="1:3" ht="15" hidden="1" customHeight="1">
      <c r="A90" s="69">
        <v>2017</v>
      </c>
      <c r="B90" s="1" t="s">
        <v>457</v>
      </c>
      <c r="C90" s="2">
        <v>2000000</v>
      </c>
    </row>
    <row r="91" spans="1:3" ht="15" hidden="1" customHeight="1">
      <c r="A91" s="1">
        <v>1808</v>
      </c>
      <c r="B91" s="1" t="s">
        <v>240</v>
      </c>
      <c r="C91" s="2">
        <f>1400000+400000</f>
        <v>1800000</v>
      </c>
    </row>
    <row r="92" spans="1:3" hidden="1">
      <c r="A92" s="8">
        <v>1924</v>
      </c>
      <c r="B92" s="1" t="s">
        <v>275</v>
      </c>
      <c r="C92" s="2">
        <v>1800000</v>
      </c>
    </row>
    <row r="93" spans="1:3" ht="15" hidden="1" customHeight="1">
      <c r="A93" s="8">
        <v>1903</v>
      </c>
      <c r="B93" s="1" t="s">
        <v>271</v>
      </c>
      <c r="C93" s="2">
        <v>1700000</v>
      </c>
    </row>
    <row r="94" spans="1:3" hidden="1">
      <c r="A94" s="1">
        <v>1798</v>
      </c>
      <c r="B94" s="1" t="s">
        <v>233</v>
      </c>
      <c r="C94" s="2">
        <v>1600000</v>
      </c>
    </row>
    <row r="95" spans="1:3" ht="15" hidden="1" customHeight="1">
      <c r="A95" s="1">
        <v>1720</v>
      </c>
      <c r="B95" s="1" t="s">
        <v>76</v>
      </c>
      <c r="C95" s="2">
        <v>1500000</v>
      </c>
    </row>
    <row r="96" spans="1:3" ht="15" hidden="1" customHeight="1">
      <c r="A96" s="8">
        <v>1845</v>
      </c>
      <c r="B96" s="1" t="s">
        <v>269</v>
      </c>
      <c r="C96" s="2">
        <v>1500000</v>
      </c>
    </row>
    <row r="97" spans="1:3" ht="15" hidden="1" customHeight="1">
      <c r="A97" s="8">
        <v>1956</v>
      </c>
      <c r="B97" s="1" t="s">
        <v>387</v>
      </c>
      <c r="C97" s="2">
        <v>1500000</v>
      </c>
    </row>
    <row r="98" spans="1:3" hidden="1">
      <c r="A98" s="1">
        <v>1616</v>
      </c>
      <c r="B98" s="1" t="s">
        <v>179</v>
      </c>
      <c r="C98" s="2">
        <v>1275000</v>
      </c>
    </row>
    <row r="99" spans="1:3" hidden="1">
      <c r="A99" s="69">
        <v>2019</v>
      </c>
      <c r="B99" s="1" t="s">
        <v>459</v>
      </c>
      <c r="C99" s="2">
        <v>1200000</v>
      </c>
    </row>
    <row r="100" spans="1:3" hidden="1">
      <c r="A100" s="8">
        <v>1927</v>
      </c>
      <c r="B100" s="1" t="s">
        <v>276</v>
      </c>
      <c r="C100" s="2">
        <v>860000</v>
      </c>
    </row>
    <row r="101" spans="1:3" hidden="1">
      <c r="A101" s="8">
        <v>1958</v>
      </c>
      <c r="B101" s="1" t="s">
        <v>398</v>
      </c>
      <c r="C101" s="2">
        <v>850000</v>
      </c>
    </row>
    <row r="102" spans="1:3" hidden="1">
      <c r="A102" s="1">
        <v>1721</v>
      </c>
      <c r="B102" s="1" t="s">
        <v>77</v>
      </c>
      <c r="C102" s="2">
        <v>700000</v>
      </c>
    </row>
    <row r="103" spans="1:3" hidden="1">
      <c r="A103" s="75">
        <v>1809</v>
      </c>
      <c r="B103" s="1" t="s">
        <v>241</v>
      </c>
      <c r="C103" s="2">
        <v>680000</v>
      </c>
    </row>
    <row r="104" spans="1:3" hidden="1">
      <c r="A104" s="8">
        <v>1910</v>
      </c>
      <c r="B104" s="1" t="s">
        <v>272</v>
      </c>
      <c r="C104" s="2">
        <v>650000</v>
      </c>
    </row>
    <row r="105" spans="1:3" ht="15" hidden="1" customHeight="1">
      <c r="A105" s="1">
        <v>1806</v>
      </c>
      <c r="B105" s="1" t="s">
        <v>278</v>
      </c>
      <c r="C105" s="2">
        <v>500000</v>
      </c>
    </row>
    <row r="106" spans="1:3" ht="15" hidden="1" customHeight="1">
      <c r="A106" s="1">
        <v>1836</v>
      </c>
      <c r="B106" s="1" t="s">
        <v>250</v>
      </c>
      <c r="C106" s="2">
        <v>500000</v>
      </c>
    </row>
    <row r="107" spans="1:3" hidden="1">
      <c r="A107" s="69">
        <v>2020</v>
      </c>
      <c r="B107" s="1" t="s">
        <v>930</v>
      </c>
      <c r="C107" s="2">
        <v>500000</v>
      </c>
    </row>
    <row r="108" spans="1:3" ht="15" hidden="1" customHeight="1">
      <c r="A108" s="69">
        <v>2011</v>
      </c>
      <c r="B108" s="1" t="s">
        <v>931</v>
      </c>
      <c r="C108" s="2">
        <v>500000</v>
      </c>
    </row>
    <row r="109" spans="1:3" ht="15" hidden="1" customHeight="1">
      <c r="A109" s="1">
        <v>1727</v>
      </c>
      <c r="B109" s="1" t="s">
        <v>78</v>
      </c>
      <c r="C109" s="2">
        <v>400000</v>
      </c>
    </row>
    <row r="110" spans="1:3" ht="30" hidden="1">
      <c r="A110" s="8">
        <v>1913</v>
      </c>
      <c r="B110" s="1" t="s">
        <v>1007</v>
      </c>
      <c r="C110" s="2">
        <v>400000</v>
      </c>
    </row>
    <row r="111" spans="1:3" hidden="1">
      <c r="A111" s="8">
        <v>1955</v>
      </c>
      <c r="B111" s="1" t="s">
        <v>338</v>
      </c>
      <c r="C111" s="2">
        <v>250000</v>
      </c>
    </row>
    <row r="112" spans="1:3" hidden="1">
      <c r="A112" s="8">
        <v>1940</v>
      </c>
      <c r="B112" s="1" t="s">
        <v>339</v>
      </c>
      <c r="C112" s="2">
        <v>186000</v>
      </c>
    </row>
    <row r="113" spans="1:3" hidden="1">
      <c r="A113" s="76"/>
      <c r="B113" s="48"/>
      <c r="C113" s="33"/>
    </row>
    <row r="114" spans="1:3" ht="15.75" hidden="1">
      <c r="A114" s="76"/>
      <c r="B114" s="49" t="s">
        <v>180</v>
      </c>
      <c r="C114" s="33">
        <f>SUM(C5:C113)</f>
        <v>2140043405</v>
      </c>
    </row>
    <row r="115" spans="1:3" hidden="1">
      <c r="A115" s="76"/>
      <c r="B115" s="48"/>
      <c r="C115" s="33"/>
    </row>
    <row r="116" spans="1:3" ht="15.75" hidden="1">
      <c r="A116" s="49"/>
      <c r="B116" s="49"/>
      <c r="C116" s="34"/>
    </row>
    <row r="117" spans="1:3">
      <c r="A117" s="10"/>
      <c r="B117" s="10"/>
      <c r="C117" s="46"/>
    </row>
    <row r="118" spans="1:3">
      <c r="A118" s="10"/>
      <c r="B118" s="10"/>
      <c r="C118" s="46"/>
    </row>
    <row r="119" spans="1:3">
      <c r="B119" s="71"/>
      <c r="C119" s="70"/>
    </row>
    <row r="120" spans="1:3">
      <c r="B120" s="71"/>
      <c r="C120" s="70"/>
    </row>
    <row r="121" spans="1:3">
      <c r="B121" s="71"/>
      <c r="C121" s="70"/>
    </row>
    <row r="122" spans="1:3">
      <c r="B122" s="71"/>
      <c r="C122" s="70"/>
    </row>
    <row r="123" spans="1:3">
      <c r="B123" s="71"/>
      <c r="C123" s="70"/>
    </row>
    <row r="124" spans="1:3">
      <c r="B124" s="71"/>
      <c r="C124" s="70"/>
    </row>
    <row r="125" spans="1:3">
      <c r="B125" s="71"/>
      <c r="C125" s="70"/>
    </row>
    <row r="126" spans="1:3">
      <c r="B126" s="71"/>
      <c r="C126" s="70"/>
    </row>
    <row r="127" spans="1:3">
      <c r="B127" s="71"/>
      <c r="C127" s="70"/>
    </row>
    <row r="128" spans="1:3">
      <c r="B128" s="71"/>
      <c r="C128" s="70"/>
    </row>
    <row r="129" spans="2:3">
      <c r="B129" s="71"/>
      <c r="C129" s="70"/>
    </row>
    <row r="130" spans="2:3">
      <c r="B130" s="71"/>
      <c r="C130" s="70"/>
    </row>
    <row r="131" spans="2:3">
      <c r="B131" s="71"/>
      <c r="C131" s="70"/>
    </row>
    <row r="132" spans="2:3">
      <c r="B132" s="71"/>
      <c r="C132" s="70"/>
    </row>
    <row r="133" spans="2:3">
      <c r="B133" s="71"/>
      <c r="C133" s="70"/>
    </row>
  </sheetData>
  <sortState ref="A8:M121">
    <sortCondition descending="1" ref="C8:C121"/>
  </sortState>
  <printOptions horizontalCentered="1"/>
  <pageMargins left="0" right="0" top="1.3779527559055118" bottom="0.55118110236220474" header="0.9055118110236221" footer="0.31496062992125984"/>
  <pageSetup paperSize="9" scale="7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20"/>
  <sheetViews>
    <sheetView rightToLeft="1" workbookViewId="0">
      <selection activeCell="T10" sqref="T10"/>
    </sheetView>
  </sheetViews>
  <sheetFormatPr defaultRowHeight="14.25"/>
  <cols>
    <col min="1" max="3" width="4.140625" style="274" customWidth="1"/>
    <col min="4" max="4" width="33" style="274" customWidth="1"/>
    <col min="5" max="8" width="12.140625" style="274" customWidth="1"/>
    <col min="9" max="9" width="7.85546875" style="274" customWidth="1"/>
    <col min="10" max="10" width="9.140625" style="274" hidden="1" customWidth="1"/>
    <col min="11" max="16384" width="9.140625" style="274"/>
  </cols>
  <sheetData>
    <row r="4" spans="1:16" ht="12.75" customHeight="1">
      <c r="A4" s="276"/>
      <c r="C4" s="319"/>
      <c r="D4" s="281"/>
      <c r="E4" s="320"/>
      <c r="F4" s="321"/>
      <c r="G4" s="321"/>
      <c r="N4" s="276"/>
      <c r="O4" s="276"/>
      <c r="P4" s="276"/>
    </row>
    <row r="5" spans="1:16" ht="15.75">
      <c r="A5" s="276">
        <v>3.5</v>
      </c>
      <c r="C5" s="276" t="s">
        <v>576</v>
      </c>
    </row>
    <row r="6" spans="1:16" ht="16.5" thickBot="1">
      <c r="A6" s="276"/>
      <c r="H6" s="276"/>
      <c r="I6" s="276"/>
      <c r="J6" s="276"/>
      <c r="K6" s="276"/>
      <c r="N6" s="276"/>
      <c r="O6" s="276"/>
      <c r="P6" s="276"/>
    </row>
    <row r="7" spans="1:16" ht="20.100000000000001" customHeight="1">
      <c r="A7" s="276"/>
      <c r="C7" s="297" t="s">
        <v>577</v>
      </c>
      <c r="D7" s="636"/>
      <c r="E7" s="299"/>
      <c r="F7" s="300" t="s">
        <v>804</v>
      </c>
      <c r="G7" s="322" t="s">
        <v>571</v>
      </c>
      <c r="J7" s="307"/>
      <c r="M7" s="276"/>
      <c r="N7" s="276"/>
      <c r="O7" s="276"/>
    </row>
    <row r="8" spans="1:16" ht="20.100000000000001" customHeight="1">
      <c r="A8" s="276"/>
      <c r="C8" s="302" t="s">
        <v>578</v>
      </c>
      <c r="D8" s="302"/>
      <c r="E8" s="304"/>
      <c r="F8" s="305">
        <f>'תקציב 2018 קרנות הרשות'!C20</f>
        <v>237740</v>
      </c>
      <c r="G8" s="306">
        <v>163255</v>
      </c>
      <c r="J8" s="778">
        <f>F8/$F$13</f>
        <v>0.44263971905161054</v>
      </c>
      <c r="M8" s="276"/>
      <c r="N8" s="276"/>
      <c r="O8" s="276"/>
    </row>
    <row r="9" spans="1:16" ht="20.100000000000001" customHeight="1">
      <c r="A9" s="276"/>
      <c r="C9" s="302" t="s">
        <v>14</v>
      </c>
      <c r="D9" s="302"/>
      <c r="E9" s="304"/>
      <c r="F9" s="305">
        <f>'תקציב 2018 קרנות הרשות'!D20</f>
        <v>27000</v>
      </c>
      <c r="G9" s="306">
        <v>35000</v>
      </c>
      <c r="J9" s="778">
        <f>F9/$F$13</f>
        <v>5.0270347498921022E-2</v>
      </c>
      <c r="M9" s="276"/>
      <c r="N9" s="276"/>
      <c r="O9" s="276"/>
    </row>
    <row r="10" spans="1:16" ht="20.100000000000001" customHeight="1">
      <c r="A10" s="276"/>
      <c r="C10" s="302" t="s">
        <v>15</v>
      </c>
      <c r="D10" s="302"/>
      <c r="E10" s="304"/>
      <c r="F10" s="305">
        <v>1250</v>
      </c>
      <c r="G10" s="306"/>
      <c r="J10" s="778">
        <f>F10/$F$13</f>
        <v>2.3273309027278251E-3</v>
      </c>
      <c r="M10" s="276"/>
      <c r="N10" s="276"/>
      <c r="O10" s="276"/>
    </row>
    <row r="11" spans="1:16" ht="20.100000000000001" customHeight="1">
      <c r="A11" s="276"/>
      <c r="C11" s="302" t="s">
        <v>915</v>
      </c>
      <c r="D11" s="309"/>
      <c r="E11" s="311"/>
      <c r="F11" s="305">
        <f>'החברה לפיתוח'!Y117/1000</f>
        <v>48962.5</v>
      </c>
      <c r="G11" s="306"/>
      <c r="J11" s="778">
        <f>F11/$F$13</f>
        <v>9.1161551459848916E-2</v>
      </c>
      <c r="M11" s="276"/>
      <c r="N11" s="276"/>
      <c r="O11" s="276"/>
    </row>
    <row r="12" spans="1:16" ht="20.100000000000001" customHeight="1">
      <c r="A12" s="276"/>
      <c r="C12" s="302" t="s">
        <v>579</v>
      </c>
      <c r="D12" s="679"/>
      <c r="E12" s="324"/>
      <c r="F12" s="305">
        <f>'תקציב 2018 מקורות אחרים'!F14</f>
        <v>222143.44906976743</v>
      </c>
      <c r="G12" s="306">
        <v>236366</v>
      </c>
      <c r="J12" s="778">
        <f>F12/$F$13</f>
        <v>0.4136010510868916</v>
      </c>
      <c r="L12" s="313"/>
      <c r="M12" s="276"/>
      <c r="N12" s="276"/>
      <c r="O12" s="276"/>
    </row>
    <row r="13" spans="1:16" ht="20.100000000000001" customHeight="1" thickBot="1">
      <c r="A13" s="276"/>
      <c r="C13" s="635" t="s">
        <v>208</v>
      </c>
      <c r="D13" s="637"/>
      <c r="E13" s="316"/>
      <c r="F13" s="633">
        <f>SUM(F8:F12)</f>
        <v>537095.94906976749</v>
      </c>
      <c r="G13" s="634">
        <f>SUM(G8:G12)</f>
        <v>434621</v>
      </c>
      <c r="J13" s="779">
        <f>SUM(J8:J12)</f>
        <v>0.99999999999999989</v>
      </c>
      <c r="M13" s="276"/>
      <c r="N13" s="276"/>
      <c r="O13" s="276"/>
    </row>
    <row r="14" spans="1:16" ht="18">
      <c r="A14" s="276"/>
      <c r="C14" s="277"/>
      <c r="D14" s="276"/>
      <c r="F14" s="289"/>
      <c r="G14" s="289"/>
      <c r="N14" s="276"/>
      <c r="O14" s="276"/>
      <c r="P14" s="276"/>
    </row>
    <row r="15" spans="1:16" ht="15.75">
      <c r="A15" s="276"/>
      <c r="M15" s="276"/>
      <c r="N15" s="276"/>
      <c r="O15" s="276"/>
      <c r="P15" s="276"/>
    </row>
    <row r="16" spans="1:16" ht="15.75">
      <c r="A16" s="276"/>
      <c r="M16" s="276"/>
      <c r="N16" s="276"/>
      <c r="O16" s="276"/>
      <c r="P16" s="276"/>
    </row>
    <row r="17" spans="1:16" ht="15.75">
      <c r="A17" s="276"/>
      <c r="B17" s="283"/>
      <c r="C17" s="283"/>
      <c r="D17" s="283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</row>
    <row r="18" spans="1:16" ht="15.75">
      <c r="A18" s="283"/>
      <c r="B18" s="283"/>
      <c r="C18" s="283"/>
      <c r="D18" s="283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6" ht="15.75"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</row>
    <row r="20" spans="1:16" ht="15.75"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"/>
  <sheetViews>
    <sheetView showZeros="0" rightToLeft="1" workbookViewId="0">
      <selection activeCell="E9" sqref="E9:E15"/>
    </sheetView>
  </sheetViews>
  <sheetFormatPr defaultRowHeight="15.75"/>
  <cols>
    <col min="1" max="1" width="3.42578125" style="253" customWidth="1"/>
    <col min="2" max="2" width="37.28515625" style="253" bestFit="1" customWidth="1"/>
    <col min="3" max="3" width="16.42578125" style="255" bestFit="1" customWidth="1"/>
    <col min="4" max="4" width="19.85546875" style="255" bestFit="1" customWidth="1"/>
    <col min="5" max="5" width="13.42578125" style="255" customWidth="1"/>
    <col min="6" max="6" width="16.42578125" style="255" bestFit="1" customWidth="1"/>
    <col min="7" max="7" width="19.85546875" style="255" bestFit="1" customWidth="1"/>
    <col min="8" max="8" width="12.42578125" style="255" customWidth="1"/>
    <col min="9" max="10" width="9.140625" style="253"/>
    <col min="11" max="15" width="0" style="253" hidden="1" customWidth="1"/>
    <col min="16" max="256" width="9.140625" style="253"/>
    <col min="257" max="257" width="3.42578125" style="253" customWidth="1"/>
    <col min="258" max="258" width="37.28515625" style="253" bestFit="1" customWidth="1"/>
    <col min="259" max="259" width="16.42578125" style="253" bestFit="1" customWidth="1"/>
    <col min="260" max="260" width="19.85546875" style="253" bestFit="1" customWidth="1"/>
    <col min="261" max="261" width="13.42578125" style="253" customWidth="1"/>
    <col min="262" max="262" width="16.42578125" style="253" bestFit="1" customWidth="1"/>
    <col min="263" max="263" width="19.85546875" style="253" bestFit="1" customWidth="1"/>
    <col min="264" max="264" width="12.42578125" style="253" customWidth="1"/>
    <col min="265" max="512" width="9.140625" style="253"/>
    <col min="513" max="513" width="3.42578125" style="253" customWidth="1"/>
    <col min="514" max="514" width="37.28515625" style="253" bestFit="1" customWidth="1"/>
    <col min="515" max="515" width="16.42578125" style="253" bestFit="1" customWidth="1"/>
    <col min="516" max="516" width="19.85546875" style="253" bestFit="1" customWidth="1"/>
    <col min="517" max="517" width="13.42578125" style="253" customWidth="1"/>
    <col min="518" max="518" width="16.42578125" style="253" bestFit="1" customWidth="1"/>
    <col min="519" max="519" width="19.85546875" style="253" bestFit="1" customWidth="1"/>
    <col min="520" max="520" width="12.42578125" style="253" customWidth="1"/>
    <col min="521" max="768" width="9.140625" style="253"/>
    <col min="769" max="769" width="3.42578125" style="253" customWidth="1"/>
    <col min="770" max="770" width="37.28515625" style="253" bestFit="1" customWidth="1"/>
    <col min="771" max="771" width="16.42578125" style="253" bestFit="1" customWidth="1"/>
    <col min="772" max="772" width="19.85546875" style="253" bestFit="1" customWidth="1"/>
    <col min="773" max="773" width="13.42578125" style="253" customWidth="1"/>
    <col min="774" max="774" width="16.42578125" style="253" bestFit="1" customWidth="1"/>
    <col min="775" max="775" width="19.85546875" style="253" bestFit="1" customWidth="1"/>
    <col min="776" max="776" width="12.42578125" style="253" customWidth="1"/>
    <col min="777" max="1024" width="9.140625" style="253"/>
    <col min="1025" max="1025" width="3.42578125" style="253" customWidth="1"/>
    <col min="1026" max="1026" width="37.28515625" style="253" bestFit="1" customWidth="1"/>
    <col min="1027" max="1027" width="16.42578125" style="253" bestFit="1" customWidth="1"/>
    <col min="1028" max="1028" width="19.85546875" style="253" bestFit="1" customWidth="1"/>
    <col min="1029" max="1029" width="13.42578125" style="253" customWidth="1"/>
    <col min="1030" max="1030" width="16.42578125" style="253" bestFit="1" customWidth="1"/>
    <col min="1031" max="1031" width="19.85546875" style="253" bestFit="1" customWidth="1"/>
    <col min="1032" max="1032" width="12.42578125" style="253" customWidth="1"/>
    <col min="1033" max="1280" width="9.140625" style="253"/>
    <col min="1281" max="1281" width="3.42578125" style="253" customWidth="1"/>
    <col min="1282" max="1282" width="37.28515625" style="253" bestFit="1" customWidth="1"/>
    <col min="1283" max="1283" width="16.42578125" style="253" bestFit="1" customWidth="1"/>
    <col min="1284" max="1284" width="19.85546875" style="253" bestFit="1" customWidth="1"/>
    <col min="1285" max="1285" width="13.42578125" style="253" customWidth="1"/>
    <col min="1286" max="1286" width="16.42578125" style="253" bestFit="1" customWidth="1"/>
    <col min="1287" max="1287" width="19.85546875" style="253" bestFit="1" customWidth="1"/>
    <col min="1288" max="1288" width="12.42578125" style="253" customWidth="1"/>
    <col min="1289" max="1536" width="9.140625" style="253"/>
    <col min="1537" max="1537" width="3.42578125" style="253" customWidth="1"/>
    <col min="1538" max="1538" width="37.28515625" style="253" bestFit="1" customWidth="1"/>
    <col min="1539" max="1539" width="16.42578125" style="253" bestFit="1" customWidth="1"/>
    <col min="1540" max="1540" width="19.85546875" style="253" bestFit="1" customWidth="1"/>
    <col min="1541" max="1541" width="13.42578125" style="253" customWidth="1"/>
    <col min="1542" max="1542" width="16.42578125" style="253" bestFit="1" customWidth="1"/>
    <col min="1543" max="1543" width="19.85546875" style="253" bestFit="1" customWidth="1"/>
    <col min="1544" max="1544" width="12.42578125" style="253" customWidth="1"/>
    <col min="1545" max="1792" width="9.140625" style="253"/>
    <col min="1793" max="1793" width="3.42578125" style="253" customWidth="1"/>
    <col min="1794" max="1794" width="37.28515625" style="253" bestFit="1" customWidth="1"/>
    <col min="1795" max="1795" width="16.42578125" style="253" bestFit="1" customWidth="1"/>
    <col min="1796" max="1796" width="19.85546875" style="253" bestFit="1" customWidth="1"/>
    <col min="1797" max="1797" width="13.42578125" style="253" customWidth="1"/>
    <col min="1798" max="1798" width="16.42578125" style="253" bestFit="1" customWidth="1"/>
    <col min="1799" max="1799" width="19.85546875" style="253" bestFit="1" customWidth="1"/>
    <col min="1800" max="1800" width="12.42578125" style="253" customWidth="1"/>
    <col min="1801" max="2048" width="9.140625" style="253"/>
    <col min="2049" max="2049" width="3.42578125" style="253" customWidth="1"/>
    <col min="2050" max="2050" width="37.28515625" style="253" bestFit="1" customWidth="1"/>
    <col min="2051" max="2051" width="16.42578125" style="253" bestFit="1" customWidth="1"/>
    <col min="2052" max="2052" width="19.85546875" style="253" bestFit="1" customWidth="1"/>
    <col min="2053" max="2053" width="13.42578125" style="253" customWidth="1"/>
    <col min="2054" max="2054" width="16.42578125" style="253" bestFit="1" customWidth="1"/>
    <col min="2055" max="2055" width="19.85546875" style="253" bestFit="1" customWidth="1"/>
    <col min="2056" max="2056" width="12.42578125" style="253" customWidth="1"/>
    <col min="2057" max="2304" width="9.140625" style="253"/>
    <col min="2305" max="2305" width="3.42578125" style="253" customWidth="1"/>
    <col min="2306" max="2306" width="37.28515625" style="253" bestFit="1" customWidth="1"/>
    <col min="2307" max="2307" width="16.42578125" style="253" bestFit="1" customWidth="1"/>
    <col min="2308" max="2308" width="19.85546875" style="253" bestFit="1" customWidth="1"/>
    <col min="2309" max="2309" width="13.42578125" style="253" customWidth="1"/>
    <col min="2310" max="2310" width="16.42578125" style="253" bestFit="1" customWidth="1"/>
    <col min="2311" max="2311" width="19.85546875" style="253" bestFit="1" customWidth="1"/>
    <col min="2312" max="2312" width="12.42578125" style="253" customWidth="1"/>
    <col min="2313" max="2560" width="9.140625" style="253"/>
    <col min="2561" max="2561" width="3.42578125" style="253" customWidth="1"/>
    <col min="2562" max="2562" width="37.28515625" style="253" bestFit="1" customWidth="1"/>
    <col min="2563" max="2563" width="16.42578125" style="253" bestFit="1" customWidth="1"/>
    <col min="2564" max="2564" width="19.85546875" style="253" bestFit="1" customWidth="1"/>
    <col min="2565" max="2565" width="13.42578125" style="253" customWidth="1"/>
    <col min="2566" max="2566" width="16.42578125" style="253" bestFit="1" customWidth="1"/>
    <col min="2567" max="2567" width="19.85546875" style="253" bestFit="1" customWidth="1"/>
    <col min="2568" max="2568" width="12.42578125" style="253" customWidth="1"/>
    <col min="2569" max="2816" width="9.140625" style="253"/>
    <col min="2817" max="2817" width="3.42578125" style="253" customWidth="1"/>
    <col min="2818" max="2818" width="37.28515625" style="253" bestFit="1" customWidth="1"/>
    <col min="2819" max="2819" width="16.42578125" style="253" bestFit="1" customWidth="1"/>
    <col min="2820" max="2820" width="19.85546875" style="253" bestFit="1" customWidth="1"/>
    <col min="2821" max="2821" width="13.42578125" style="253" customWidth="1"/>
    <col min="2822" max="2822" width="16.42578125" style="253" bestFit="1" customWidth="1"/>
    <col min="2823" max="2823" width="19.85546875" style="253" bestFit="1" customWidth="1"/>
    <col min="2824" max="2824" width="12.42578125" style="253" customWidth="1"/>
    <col min="2825" max="3072" width="9.140625" style="253"/>
    <col min="3073" max="3073" width="3.42578125" style="253" customWidth="1"/>
    <col min="3074" max="3074" width="37.28515625" style="253" bestFit="1" customWidth="1"/>
    <col min="3075" max="3075" width="16.42578125" style="253" bestFit="1" customWidth="1"/>
    <col min="3076" max="3076" width="19.85546875" style="253" bestFit="1" customWidth="1"/>
    <col min="3077" max="3077" width="13.42578125" style="253" customWidth="1"/>
    <col min="3078" max="3078" width="16.42578125" style="253" bestFit="1" customWidth="1"/>
    <col min="3079" max="3079" width="19.85546875" style="253" bestFit="1" customWidth="1"/>
    <col min="3080" max="3080" width="12.42578125" style="253" customWidth="1"/>
    <col min="3081" max="3328" width="9.140625" style="253"/>
    <col min="3329" max="3329" width="3.42578125" style="253" customWidth="1"/>
    <col min="3330" max="3330" width="37.28515625" style="253" bestFit="1" customWidth="1"/>
    <col min="3331" max="3331" width="16.42578125" style="253" bestFit="1" customWidth="1"/>
    <col min="3332" max="3332" width="19.85546875" style="253" bestFit="1" customWidth="1"/>
    <col min="3333" max="3333" width="13.42578125" style="253" customWidth="1"/>
    <col min="3334" max="3334" width="16.42578125" style="253" bestFit="1" customWidth="1"/>
    <col min="3335" max="3335" width="19.85546875" style="253" bestFit="1" customWidth="1"/>
    <col min="3336" max="3336" width="12.42578125" style="253" customWidth="1"/>
    <col min="3337" max="3584" width="9.140625" style="253"/>
    <col min="3585" max="3585" width="3.42578125" style="253" customWidth="1"/>
    <col min="3586" max="3586" width="37.28515625" style="253" bestFit="1" customWidth="1"/>
    <col min="3587" max="3587" width="16.42578125" style="253" bestFit="1" customWidth="1"/>
    <col min="3588" max="3588" width="19.85546875" style="253" bestFit="1" customWidth="1"/>
    <col min="3589" max="3589" width="13.42578125" style="253" customWidth="1"/>
    <col min="3590" max="3590" width="16.42578125" style="253" bestFit="1" customWidth="1"/>
    <col min="3591" max="3591" width="19.85546875" style="253" bestFit="1" customWidth="1"/>
    <col min="3592" max="3592" width="12.42578125" style="253" customWidth="1"/>
    <col min="3593" max="3840" width="9.140625" style="253"/>
    <col min="3841" max="3841" width="3.42578125" style="253" customWidth="1"/>
    <col min="3842" max="3842" width="37.28515625" style="253" bestFit="1" customWidth="1"/>
    <col min="3843" max="3843" width="16.42578125" style="253" bestFit="1" customWidth="1"/>
    <col min="3844" max="3844" width="19.85546875" style="253" bestFit="1" customWidth="1"/>
    <col min="3845" max="3845" width="13.42578125" style="253" customWidth="1"/>
    <col min="3846" max="3846" width="16.42578125" style="253" bestFit="1" customWidth="1"/>
    <col min="3847" max="3847" width="19.85546875" style="253" bestFit="1" customWidth="1"/>
    <col min="3848" max="3848" width="12.42578125" style="253" customWidth="1"/>
    <col min="3849" max="4096" width="9.140625" style="253"/>
    <col min="4097" max="4097" width="3.42578125" style="253" customWidth="1"/>
    <col min="4098" max="4098" width="37.28515625" style="253" bestFit="1" customWidth="1"/>
    <col min="4099" max="4099" width="16.42578125" style="253" bestFit="1" customWidth="1"/>
    <col min="4100" max="4100" width="19.85546875" style="253" bestFit="1" customWidth="1"/>
    <col min="4101" max="4101" width="13.42578125" style="253" customWidth="1"/>
    <col min="4102" max="4102" width="16.42578125" style="253" bestFit="1" customWidth="1"/>
    <col min="4103" max="4103" width="19.85546875" style="253" bestFit="1" customWidth="1"/>
    <col min="4104" max="4104" width="12.42578125" style="253" customWidth="1"/>
    <col min="4105" max="4352" width="9.140625" style="253"/>
    <col min="4353" max="4353" width="3.42578125" style="253" customWidth="1"/>
    <col min="4354" max="4354" width="37.28515625" style="253" bestFit="1" customWidth="1"/>
    <col min="4355" max="4355" width="16.42578125" style="253" bestFit="1" customWidth="1"/>
    <col min="4356" max="4356" width="19.85546875" style="253" bestFit="1" customWidth="1"/>
    <col min="4357" max="4357" width="13.42578125" style="253" customWidth="1"/>
    <col min="4358" max="4358" width="16.42578125" style="253" bestFit="1" customWidth="1"/>
    <col min="4359" max="4359" width="19.85546875" style="253" bestFit="1" customWidth="1"/>
    <col min="4360" max="4360" width="12.42578125" style="253" customWidth="1"/>
    <col min="4361" max="4608" width="9.140625" style="253"/>
    <col min="4609" max="4609" width="3.42578125" style="253" customWidth="1"/>
    <col min="4610" max="4610" width="37.28515625" style="253" bestFit="1" customWidth="1"/>
    <col min="4611" max="4611" width="16.42578125" style="253" bestFit="1" customWidth="1"/>
    <col min="4612" max="4612" width="19.85546875" style="253" bestFit="1" customWidth="1"/>
    <col min="4613" max="4613" width="13.42578125" style="253" customWidth="1"/>
    <col min="4614" max="4614" width="16.42578125" style="253" bestFit="1" customWidth="1"/>
    <col min="4615" max="4615" width="19.85546875" style="253" bestFit="1" customWidth="1"/>
    <col min="4616" max="4616" width="12.42578125" style="253" customWidth="1"/>
    <col min="4617" max="4864" width="9.140625" style="253"/>
    <col min="4865" max="4865" width="3.42578125" style="253" customWidth="1"/>
    <col min="4866" max="4866" width="37.28515625" style="253" bestFit="1" customWidth="1"/>
    <col min="4867" max="4867" width="16.42578125" style="253" bestFit="1" customWidth="1"/>
    <col min="4868" max="4868" width="19.85546875" style="253" bestFit="1" customWidth="1"/>
    <col min="4869" max="4869" width="13.42578125" style="253" customWidth="1"/>
    <col min="4870" max="4870" width="16.42578125" style="253" bestFit="1" customWidth="1"/>
    <col min="4871" max="4871" width="19.85546875" style="253" bestFit="1" customWidth="1"/>
    <col min="4872" max="4872" width="12.42578125" style="253" customWidth="1"/>
    <col min="4873" max="5120" width="9.140625" style="253"/>
    <col min="5121" max="5121" width="3.42578125" style="253" customWidth="1"/>
    <col min="5122" max="5122" width="37.28515625" style="253" bestFit="1" customWidth="1"/>
    <col min="5123" max="5123" width="16.42578125" style="253" bestFit="1" customWidth="1"/>
    <col min="5124" max="5124" width="19.85546875" style="253" bestFit="1" customWidth="1"/>
    <col min="5125" max="5125" width="13.42578125" style="253" customWidth="1"/>
    <col min="5126" max="5126" width="16.42578125" style="253" bestFit="1" customWidth="1"/>
    <col min="5127" max="5127" width="19.85546875" style="253" bestFit="1" customWidth="1"/>
    <col min="5128" max="5128" width="12.42578125" style="253" customWidth="1"/>
    <col min="5129" max="5376" width="9.140625" style="253"/>
    <col min="5377" max="5377" width="3.42578125" style="253" customWidth="1"/>
    <col min="5378" max="5378" width="37.28515625" style="253" bestFit="1" customWidth="1"/>
    <col min="5379" max="5379" width="16.42578125" style="253" bestFit="1" customWidth="1"/>
    <col min="5380" max="5380" width="19.85546875" style="253" bestFit="1" customWidth="1"/>
    <col min="5381" max="5381" width="13.42578125" style="253" customWidth="1"/>
    <col min="5382" max="5382" width="16.42578125" style="253" bestFit="1" customWidth="1"/>
    <col min="5383" max="5383" width="19.85546875" style="253" bestFit="1" customWidth="1"/>
    <col min="5384" max="5384" width="12.42578125" style="253" customWidth="1"/>
    <col min="5385" max="5632" width="9.140625" style="253"/>
    <col min="5633" max="5633" width="3.42578125" style="253" customWidth="1"/>
    <col min="5634" max="5634" width="37.28515625" style="253" bestFit="1" customWidth="1"/>
    <col min="5635" max="5635" width="16.42578125" style="253" bestFit="1" customWidth="1"/>
    <col min="5636" max="5636" width="19.85546875" style="253" bestFit="1" customWidth="1"/>
    <col min="5637" max="5637" width="13.42578125" style="253" customWidth="1"/>
    <col min="5638" max="5638" width="16.42578125" style="253" bestFit="1" customWidth="1"/>
    <col min="5639" max="5639" width="19.85546875" style="253" bestFit="1" customWidth="1"/>
    <col min="5640" max="5640" width="12.42578125" style="253" customWidth="1"/>
    <col min="5641" max="5888" width="9.140625" style="253"/>
    <col min="5889" max="5889" width="3.42578125" style="253" customWidth="1"/>
    <col min="5890" max="5890" width="37.28515625" style="253" bestFit="1" customWidth="1"/>
    <col min="5891" max="5891" width="16.42578125" style="253" bestFit="1" customWidth="1"/>
    <col min="5892" max="5892" width="19.85546875" style="253" bestFit="1" customWidth="1"/>
    <col min="5893" max="5893" width="13.42578125" style="253" customWidth="1"/>
    <col min="5894" max="5894" width="16.42578125" style="253" bestFit="1" customWidth="1"/>
    <col min="5895" max="5895" width="19.85546875" style="253" bestFit="1" customWidth="1"/>
    <col min="5896" max="5896" width="12.42578125" style="253" customWidth="1"/>
    <col min="5897" max="6144" width="9.140625" style="253"/>
    <col min="6145" max="6145" width="3.42578125" style="253" customWidth="1"/>
    <col min="6146" max="6146" width="37.28515625" style="253" bestFit="1" customWidth="1"/>
    <col min="6147" max="6147" width="16.42578125" style="253" bestFit="1" customWidth="1"/>
    <col min="6148" max="6148" width="19.85546875" style="253" bestFit="1" customWidth="1"/>
    <col min="6149" max="6149" width="13.42578125" style="253" customWidth="1"/>
    <col min="6150" max="6150" width="16.42578125" style="253" bestFit="1" customWidth="1"/>
    <col min="6151" max="6151" width="19.85546875" style="253" bestFit="1" customWidth="1"/>
    <col min="6152" max="6152" width="12.42578125" style="253" customWidth="1"/>
    <col min="6153" max="6400" width="9.140625" style="253"/>
    <col min="6401" max="6401" width="3.42578125" style="253" customWidth="1"/>
    <col min="6402" max="6402" width="37.28515625" style="253" bestFit="1" customWidth="1"/>
    <col min="6403" max="6403" width="16.42578125" style="253" bestFit="1" customWidth="1"/>
    <col min="6404" max="6404" width="19.85546875" style="253" bestFit="1" customWidth="1"/>
    <col min="6405" max="6405" width="13.42578125" style="253" customWidth="1"/>
    <col min="6406" max="6406" width="16.42578125" style="253" bestFit="1" customWidth="1"/>
    <col min="6407" max="6407" width="19.85546875" style="253" bestFit="1" customWidth="1"/>
    <col min="6408" max="6408" width="12.42578125" style="253" customWidth="1"/>
    <col min="6409" max="6656" width="9.140625" style="253"/>
    <col min="6657" max="6657" width="3.42578125" style="253" customWidth="1"/>
    <col min="6658" max="6658" width="37.28515625" style="253" bestFit="1" customWidth="1"/>
    <col min="6659" max="6659" width="16.42578125" style="253" bestFit="1" customWidth="1"/>
    <col min="6660" max="6660" width="19.85546875" style="253" bestFit="1" customWidth="1"/>
    <col min="6661" max="6661" width="13.42578125" style="253" customWidth="1"/>
    <col min="6662" max="6662" width="16.42578125" style="253" bestFit="1" customWidth="1"/>
    <col min="6663" max="6663" width="19.85546875" style="253" bestFit="1" customWidth="1"/>
    <col min="6664" max="6664" width="12.42578125" style="253" customWidth="1"/>
    <col min="6665" max="6912" width="9.140625" style="253"/>
    <col min="6913" max="6913" width="3.42578125" style="253" customWidth="1"/>
    <col min="6914" max="6914" width="37.28515625" style="253" bestFit="1" customWidth="1"/>
    <col min="6915" max="6915" width="16.42578125" style="253" bestFit="1" customWidth="1"/>
    <col min="6916" max="6916" width="19.85546875" style="253" bestFit="1" customWidth="1"/>
    <col min="6917" max="6917" width="13.42578125" style="253" customWidth="1"/>
    <col min="6918" max="6918" width="16.42578125" style="253" bestFit="1" customWidth="1"/>
    <col min="6919" max="6919" width="19.85546875" style="253" bestFit="1" customWidth="1"/>
    <col min="6920" max="6920" width="12.42578125" style="253" customWidth="1"/>
    <col min="6921" max="7168" width="9.140625" style="253"/>
    <col min="7169" max="7169" width="3.42578125" style="253" customWidth="1"/>
    <col min="7170" max="7170" width="37.28515625" style="253" bestFit="1" customWidth="1"/>
    <col min="7171" max="7171" width="16.42578125" style="253" bestFit="1" customWidth="1"/>
    <col min="7172" max="7172" width="19.85546875" style="253" bestFit="1" customWidth="1"/>
    <col min="7173" max="7173" width="13.42578125" style="253" customWidth="1"/>
    <col min="7174" max="7174" width="16.42578125" style="253" bestFit="1" customWidth="1"/>
    <col min="7175" max="7175" width="19.85546875" style="253" bestFit="1" customWidth="1"/>
    <col min="7176" max="7176" width="12.42578125" style="253" customWidth="1"/>
    <col min="7177" max="7424" width="9.140625" style="253"/>
    <col min="7425" max="7425" width="3.42578125" style="253" customWidth="1"/>
    <col min="7426" max="7426" width="37.28515625" style="253" bestFit="1" customWidth="1"/>
    <col min="7427" max="7427" width="16.42578125" style="253" bestFit="1" customWidth="1"/>
    <col min="7428" max="7428" width="19.85546875" style="253" bestFit="1" customWidth="1"/>
    <col min="7429" max="7429" width="13.42578125" style="253" customWidth="1"/>
    <col min="7430" max="7430" width="16.42578125" style="253" bestFit="1" customWidth="1"/>
    <col min="7431" max="7431" width="19.85546875" style="253" bestFit="1" customWidth="1"/>
    <col min="7432" max="7432" width="12.42578125" style="253" customWidth="1"/>
    <col min="7433" max="7680" width="9.140625" style="253"/>
    <col min="7681" max="7681" width="3.42578125" style="253" customWidth="1"/>
    <col min="7682" max="7682" width="37.28515625" style="253" bestFit="1" customWidth="1"/>
    <col min="7683" max="7683" width="16.42578125" style="253" bestFit="1" customWidth="1"/>
    <col min="7684" max="7684" width="19.85546875" style="253" bestFit="1" customWidth="1"/>
    <col min="7685" max="7685" width="13.42578125" style="253" customWidth="1"/>
    <col min="7686" max="7686" width="16.42578125" style="253" bestFit="1" customWidth="1"/>
    <col min="7687" max="7687" width="19.85546875" style="253" bestFit="1" customWidth="1"/>
    <col min="7688" max="7688" width="12.42578125" style="253" customWidth="1"/>
    <col min="7689" max="7936" width="9.140625" style="253"/>
    <col min="7937" max="7937" width="3.42578125" style="253" customWidth="1"/>
    <col min="7938" max="7938" width="37.28515625" style="253" bestFit="1" customWidth="1"/>
    <col min="7939" max="7939" width="16.42578125" style="253" bestFit="1" customWidth="1"/>
    <col min="7940" max="7940" width="19.85546875" style="253" bestFit="1" customWidth="1"/>
    <col min="7941" max="7941" width="13.42578125" style="253" customWidth="1"/>
    <col min="7942" max="7942" width="16.42578125" style="253" bestFit="1" customWidth="1"/>
    <col min="7943" max="7943" width="19.85546875" style="253" bestFit="1" customWidth="1"/>
    <col min="7944" max="7944" width="12.42578125" style="253" customWidth="1"/>
    <col min="7945" max="8192" width="9.140625" style="253"/>
    <col min="8193" max="8193" width="3.42578125" style="253" customWidth="1"/>
    <col min="8194" max="8194" width="37.28515625" style="253" bestFit="1" customWidth="1"/>
    <col min="8195" max="8195" width="16.42578125" style="253" bestFit="1" customWidth="1"/>
    <col min="8196" max="8196" width="19.85546875" style="253" bestFit="1" customWidth="1"/>
    <col min="8197" max="8197" width="13.42578125" style="253" customWidth="1"/>
    <col min="8198" max="8198" width="16.42578125" style="253" bestFit="1" customWidth="1"/>
    <col min="8199" max="8199" width="19.85546875" style="253" bestFit="1" customWidth="1"/>
    <col min="8200" max="8200" width="12.42578125" style="253" customWidth="1"/>
    <col min="8201" max="8448" width="9.140625" style="253"/>
    <col min="8449" max="8449" width="3.42578125" style="253" customWidth="1"/>
    <col min="8450" max="8450" width="37.28515625" style="253" bestFit="1" customWidth="1"/>
    <col min="8451" max="8451" width="16.42578125" style="253" bestFit="1" customWidth="1"/>
    <col min="8452" max="8452" width="19.85546875" style="253" bestFit="1" customWidth="1"/>
    <col min="8453" max="8453" width="13.42578125" style="253" customWidth="1"/>
    <col min="8454" max="8454" width="16.42578125" style="253" bestFit="1" customWidth="1"/>
    <col min="8455" max="8455" width="19.85546875" style="253" bestFit="1" customWidth="1"/>
    <col min="8456" max="8456" width="12.42578125" style="253" customWidth="1"/>
    <col min="8457" max="8704" width="9.140625" style="253"/>
    <col min="8705" max="8705" width="3.42578125" style="253" customWidth="1"/>
    <col min="8706" max="8706" width="37.28515625" style="253" bestFit="1" customWidth="1"/>
    <col min="8707" max="8707" width="16.42578125" style="253" bestFit="1" customWidth="1"/>
    <col min="8708" max="8708" width="19.85546875" style="253" bestFit="1" customWidth="1"/>
    <col min="8709" max="8709" width="13.42578125" style="253" customWidth="1"/>
    <col min="8710" max="8710" width="16.42578125" style="253" bestFit="1" customWidth="1"/>
    <col min="8711" max="8711" width="19.85546875" style="253" bestFit="1" customWidth="1"/>
    <col min="8712" max="8712" width="12.42578125" style="253" customWidth="1"/>
    <col min="8713" max="8960" width="9.140625" style="253"/>
    <col min="8961" max="8961" width="3.42578125" style="253" customWidth="1"/>
    <col min="8962" max="8962" width="37.28515625" style="253" bestFit="1" customWidth="1"/>
    <col min="8963" max="8963" width="16.42578125" style="253" bestFit="1" customWidth="1"/>
    <col min="8964" max="8964" width="19.85546875" style="253" bestFit="1" customWidth="1"/>
    <col min="8965" max="8965" width="13.42578125" style="253" customWidth="1"/>
    <col min="8966" max="8966" width="16.42578125" style="253" bestFit="1" customWidth="1"/>
    <col min="8967" max="8967" width="19.85546875" style="253" bestFit="1" customWidth="1"/>
    <col min="8968" max="8968" width="12.42578125" style="253" customWidth="1"/>
    <col min="8969" max="9216" width="9.140625" style="253"/>
    <col min="9217" max="9217" width="3.42578125" style="253" customWidth="1"/>
    <col min="9218" max="9218" width="37.28515625" style="253" bestFit="1" customWidth="1"/>
    <col min="9219" max="9219" width="16.42578125" style="253" bestFit="1" customWidth="1"/>
    <col min="9220" max="9220" width="19.85546875" style="253" bestFit="1" customWidth="1"/>
    <col min="9221" max="9221" width="13.42578125" style="253" customWidth="1"/>
    <col min="9222" max="9222" width="16.42578125" style="253" bestFit="1" customWidth="1"/>
    <col min="9223" max="9223" width="19.85546875" style="253" bestFit="1" customWidth="1"/>
    <col min="9224" max="9224" width="12.42578125" style="253" customWidth="1"/>
    <col min="9225" max="9472" width="9.140625" style="253"/>
    <col min="9473" max="9473" width="3.42578125" style="253" customWidth="1"/>
    <col min="9474" max="9474" width="37.28515625" style="253" bestFit="1" customWidth="1"/>
    <col min="9475" max="9475" width="16.42578125" style="253" bestFit="1" customWidth="1"/>
    <col min="9476" max="9476" width="19.85546875" style="253" bestFit="1" customWidth="1"/>
    <col min="9477" max="9477" width="13.42578125" style="253" customWidth="1"/>
    <col min="9478" max="9478" width="16.42578125" style="253" bestFit="1" customWidth="1"/>
    <col min="9479" max="9479" width="19.85546875" style="253" bestFit="1" customWidth="1"/>
    <col min="9480" max="9480" width="12.42578125" style="253" customWidth="1"/>
    <col min="9481" max="9728" width="9.140625" style="253"/>
    <col min="9729" max="9729" width="3.42578125" style="253" customWidth="1"/>
    <col min="9730" max="9730" width="37.28515625" style="253" bestFit="1" customWidth="1"/>
    <col min="9731" max="9731" width="16.42578125" style="253" bestFit="1" customWidth="1"/>
    <col min="9732" max="9732" width="19.85546875" style="253" bestFit="1" customWidth="1"/>
    <col min="9733" max="9733" width="13.42578125" style="253" customWidth="1"/>
    <col min="9734" max="9734" width="16.42578125" style="253" bestFit="1" customWidth="1"/>
    <col min="9735" max="9735" width="19.85546875" style="253" bestFit="1" customWidth="1"/>
    <col min="9736" max="9736" width="12.42578125" style="253" customWidth="1"/>
    <col min="9737" max="9984" width="9.140625" style="253"/>
    <col min="9985" max="9985" width="3.42578125" style="253" customWidth="1"/>
    <col min="9986" max="9986" width="37.28515625" style="253" bestFit="1" customWidth="1"/>
    <col min="9987" max="9987" width="16.42578125" style="253" bestFit="1" customWidth="1"/>
    <col min="9988" max="9988" width="19.85546875" style="253" bestFit="1" customWidth="1"/>
    <col min="9989" max="9989" width="13.42578125" style="253" customWidth="1"/>
    <col min="9990" max="9990" width="16.42578125" style="253" bestFit="1" customWidth="1"/>
    <col min="9991" max="9991" width="19.85546875" style="253" bestFit="1" customWidth="1"/>
    <col min="9992" max="9992" width="12.42578125" style="253" customWidth="1"/>
    <col min="9993" max="10240" width="9.140625" style="253"/>
    <col min="10241" max="10241" width="3.42578125" style="253" customWidth="1"/>
    <col min="10242" max="10242" width="37.28515625" style="253" bestFit="1" customWidth="1"/>
    <col min="10243" max="10243" width="16.42578125" style="253" bestFit="1" customWidth="1"/>
    <col min="10244" max="10244" width="19.85546875" style="253" bestFit="1" customWidth="1"/>
    <col min="10245" max="10245" width="13.42578125" style="253" customWidth="1"/>
    <col min="10246" max="10246" width="16.42578125" style="253" bestFit="1" customWidth="1"/>
    <col min="10247" max="10247" width="19.85546875" style="253" bestFit="1" customWidth="1"/>
    <col min="10248" max="10248" width="12.42578125" style="253" customWidth="1"/>
    <col min="10249" max="10496" width="9.140625" style="253"/>
    <col min="10497" max="10497" width="3.42578125" style="253" customWidth="1"/>
    <col min="10498" max="10498" width="37.28515625" style="253" bestFit="1" customWidth="1"/>
    <col min="10499" max="10499" width="16.42578125" style="253" bestFit="1" customWidth="1"/>
    <col min="10500" max="10500" width="19.85546875" style="253" bestFit="1" customWidth="1"/>
    <col min="10501" max="10501" width="13.42578125" style="253" customWidth="1"/>
    <col min="10502" max="10502" width="16.42578125" style="253" bestFit="1" customWidth="1"/>
    <col min="10503" max="10503" width="19.85546875" style="253" bestFit="1" customWidth="1"/>
    <col min="10504" max="10504" width="12.42578125" style="253" customWidth="1"/>
    <col min="10505" max="10752" width="9.140625" style="253"/>
    <col min="10753" max="10753" width="3.42578125" style="253" customWidth="1"/>
    <col min="10754" max="10754" width="37.28515625" style="253" bestFit="1" customWidth="1"/>
    <col min="10755" max="10755" width="16.42578125" style="253" bestFit="1" customWidth="1"/>
    <col min="10756" max="10756" width="19.85546875" style="253" bestFit="1" customWidth="1"/>
    <col min="10757" max="10757" width="13.42578125" style="253" customWidth="1"/>
    <col min="10758" max="10758" width="16.42578125" style="253" bestFit="1" customWidth="1"/>
    <col min="10759" max="10759" width="19.85546875" style="253" bestFit="1" customWidth="1"/>
    <col min="10760" max="10760" width="12.42578125" style="253" customWidth="1"/>
    <col min="10761" max="11008" width="9.140625" style="253"/>
    <col min="11009" max="11009" width="3.42578125" style="253" customWidth="1"/>
    <col min="11010" max="11010" width="37.28515625" style="253" bestFit="1" customWidth="1"/>
    <col min="11011" max="11011" width="16.42578125" style="253" bestFit="1" customWidth="1"/>
    <col min="11012" max="11012" width="19.85546875" style="253" bestFit="1" customWidth="1"/>
    <col min="11013" max="11013" width="13.42578125" style="253" customWidth="1"/>
    <col min="11014" max="11014" width="16.42578125" style="253" bestFit="1" customWidth="1"/>
    <col min="11015" max="11015" width="19.85546875" style="253" bestFit="1" customWidth="1"/>
    <col min="11016" max="11016" width="12.42578125" style="253" customWidth="1"/>
    <col min="11017" max="11264" width="9.140625" style="253"/>
    <col min="11265" max="11265" width="3.42578125" style="253" customWidth="1"/>
    <col min="11266" max="11266" width="37.28515625" style="253" bestFit="1" customWidth="1"/>
    <col min="11267" max="11267" width="16.42578125" style="253" bestFit="1" customWidth="1"/>
    <col min="11268" max="11268" width="19.85546875" style="253" bestFit="1" customWidth="1"/>
    <col min="11269" max="11269" width="13.42578125" style="253" customWidth="1"/>
    <col min="11270" max="11270" width="16.42578125" style="253" bestFit="1" customWidth="1"/>
    <col min="11271" max="11271" width="19.85546875" style="253" bestFit="1" customWidth="1"/>
    <col min="11272" max="11272" width="12.42578125" style="253" customWidth="1"/>
    <col min="11273" max="11520" width="9.140625" style="253"/>
    <col min="11521" max="11521" width="3.42578125" style="253" customWidth="1"/>
    <col min="11522" max="11522" width="37.28515625" style="253" bestFit="1" customWidth="1"/>
    <col min="11523" max="11523" width="16.42578125" style="253" bestFit="1" customWidth="1"/>
    <col min="11524" max="11524" width="19.85546875" style="253" bestFit="1" customWidth="1"/>
    <col min="11525" max="11525" width="13.42578125" style="253" customWidth="1"/>
    <col min="11526" max="11526" width="16.42578125" style="253" bestFit="1" customWidth="1"/>
    <col min="11527" max="11527" width="19.85546875" style="253" bestFit="1" customWidth="1"/>
    <col min="11528" max="11528" width="12.42578125" style="253" customWidth="1"/>
    <col min="11529" max="11776" width="9.140625" style="253"/>
    <col min="11777" max="11777" width="3.42578125" style="253" customWidth="1"/>
    <col min="11778" max="11778" width="37.28515625" style="253" bestFit="1" customWidth="1"/>
    <col min="11779" max="11779" width="16.42578125" style="253" bestFit="1" customWidth="1"/>
    <col min="11780" max="11780" width="19.85546875" style="253" bestFit="1" customWidth="1"/>
    <col min="11781" max="11781" width="13.42578125" style="253" customWidth="1"/>
    <col min="11782" max="11782" width="16.42578125" style="253" bestFit="1" customWidth="1"/>
    <col min="11783" max="11783" width="19.85546875" style="253" bestFit="1" customWidth="1"/>
    <col min="11784" max="11784" width="12.42578125" style="253" customWidth="1"/>
    <col min="11785" max="12032" width="9.140625" style="253"/>
    <col min="12033" max="12033" width="3.42578125" style="253" customWidth="1"/>
    <col min="12034" max="12034" width="37.28515625" style="253" bestFit="1" customWidth="1"/>
    <col min="12035" max="12035" width="16.42578125" style="253" bestFit="1" customWidth="1"/>
    <col min="12036" max="12036" width="19.85546875" style="253" bestFit="1" customWidth="1"/>
    <col min="12037" max="12037" width="13.42578125" style="253" customWidth="1"/>
    <col min="12038" max="12038" width="16.42578125" style="253" bestFit="1" customWidth="1"/>
    <col min="12039" max="12039" width="19.85546875" style="253" bestFit="1" customWidth="1"/>
    <col min="12040" max="12040" width="12.42578125" style="253" customWidth="1"/>
    <col min="12041" max="12288" width="9.140625" style="253"/>
    <col min="12289" max="12289" width="3.42578125" style="253" customWidth="1"/>
    <col min="12290" max="12290" width="37.28515625" style="253" bestFit="1" customWidth="1"/>
    <col min="12291" max="12291" width="16.42578125" style="253" bestFit="1" customWidth="1"/>
    <col min="12292" max="12292" width="19.85546875" style="253" bestFit="1" customWidth="1"/>
    <col min="12293" max="12293" width="13.42578125" style="253" customWidth="1"/>
    <col min="12294" max="12294" width="16.42578125" style="253" bestFit="1" customWidth="1"/>
    <col min="12295" max="12295" width="19.85546875" style="253" bestFit="1" customWidth="1"/>
    <col min="12296" max="12296" width="12.42578125" style="253" customWidth="1"/>
    <col min="12297" max="12544" width="9.140625" style="253"/>
    <col min="12545" max="12545" width="3.42578125" style="253" customWidth="1"/>
    <col min="12546" max="12546" width="37.28515625" style="253" bestFit="1" customWidth="1"/>
    <col min="12547" max="12547" width="16.42578125" style="253" bestFit="1" customWidth="1"/>
    <col min="12548" max="12548" width="19.85546875" style="253" bestFit="1" customWidth="1"/>
    <col min="12549" max="12549" width="13.42578125" style="253" customWidth="1"/>
    <col min="12550" max="12550" width="16.42578125" style="253" bestFit="1" customWidth="1"/>
    <col min="12551" max="12551" width="19.85546875" style="253" bestFit="1" customWidth="1"/>
    <col min="12552" max="12552" width="12.42578125" style="253" customWidth="1"/>
    <col min="12553" max="12800" width="9.140625" style="253"/>
    <col min="12801" max="12801" width="3.42578125" style="253" customWidth="1"/>
    <col min="12802" max="12802" width="37.28515625" style="253" bestFit="1" customWidth="1"/>
    <col min="12803" max="12803" width="16.42578125" style="253" bestFit="1" customWidth="1"/>
    <col min="12804" max="12804" width="19.85546875" style="253" bestFit="1" customWidth="1"/>
    <col min="12805" max="12805" width="13.42578125" style="253" customWidth="1"/>
    <col min="12806" max="12806" width="16.42578125" style="253" bestFit="1" customWidth="1"/>
    <col min="12807" max="12807" width="19.85546875" style="253" bestFit="1" customWidth="1"/>
    <col min="12808" max="12808" width="12.42578125" style="253" customWidth="1"/>
    <col min="12809" max="13056" width="9.140625" style="253"/>
    <col min="13057" max="13057" width="3.42578125" style="253" customWidth="1"/>
    <col min="13058" max="13058" width="37.28515625" style="253" bestFit="1" customWidth="1"/>
    <col min="13059" max="13059" width="16.42578125" style="253" bestFit="1" customWidth="1"/>
    <col min="13060" max="13060" width="19.85546875" style="253" bestFit="1" customWidth="1"/>
    <col min="13061" max="13061" width="13.42578125" style="253" customWidth="1"/>
    <col min="13062" max="13062" width="16.42578125" style="253" bestFit="1" customWidth="1"/>
    <col min="13063" max="13063" width="19.85546875" style="253" bestFit="1" customWidth="1"/>
    <col min="13064" max="13064" width="12.42578125" style="253" customWidth="1"/>
    <col min="13065" max="13312" width="9.140625" style="253"/>
    <col min="13313" max="13313" width="3.42578125" style="253" customWidth="1"/>
    <col min="13314" max="13314" width="37.28515625" style="253" bestFit="1" customWidth="1"/>
    <col min="13315" max="13315" width="16.42578125" style="253" bestFit="1" customWidth="1"/>
    <col min="13316" max="13316" width="19.85546875" style="253" bestFit="1" customWidth="1"/>
    <col min="13317" max="13317" width="13.42578125" style="253" customWidth="1"/>
    <col min="13318" max="13318" width="16.42578125" style="253" bestFit="1" customWidth="1"/>
    <col min="13319" max="13319" width="19.85546875" style="253" bestFit="1" customWidth="1"/>
    <col min="13320" max="13320" width="12.42578125" style="253" customWidth="1"/>
    <col min="13321" max="13568" width="9.140625" style="253"/>
    <col min="13569" max="13569" width="3.42578125" style="253" customWidth="1"/>
    <col min="13570" max="13570" width="37.28515625" style="253" bestFit="1" customWidth="1"/>
    <col min="13571" max="13571" width="16.42578125" style="253" bestFit="1" customWidth="1"/>
    <col min="13572" max="13572" width="19.85546875" style="253" bestFit="1" customWidth="1"/>
    <col min="13573" max="13573" width="13.42578125" style="253" customWidth="1"/>
    <col min="13574" max="13574" width="16.42578125" style="253" bestFit="1" customWidth="1"/>
    <col min="13575" max="13575" width="19.85546875" style="253" bestFit="1" customWidth="1"/>
    <col min="13576" max="13576" width="12.42578125" style="253" customWidth="1"/>
    <col min="13577" max="13824" width="9.140625" style="253"/>
    <col min="13825" max="13825" width="3.42578125" style="253" customWidth="1"/>
    <col min="13826" max="13826" width="37.28515625" style="253" bestFit="1" customWidth="1"/>
    <col min="13827" max="13827" width="16.42578125" style="253" bestFit="1" customWidth="1"/>
    <col min="13828" max="13828" width="19.85546875" style="253" bestFit="1" customWidth="1"/>
    <col min="13829" max="13829" width="13.42578125" style="253" customWidth="1"/>
    <col min="13830" max="13830" width="16.42578125" style="253" bestFit="1" customWidth="1"/>
    <col min="13831" max="13831" width="19.85546875" style="253" bestFit="1" customWidth="1"/>
    <col min="13832" max="13832" width="12.42578125" style="253" customWidth="1"/>
    <col min="13833" max="14080" width="9.140625" style="253"/>
    <col min="14081" max="14081" width="3.42578125" style="253" customWidth="1"/>
    <col min="14082" max="14082" width="37.28515625" style="253" bestFit="1" customWidth="1"/>
    <col min="14083" max="14083" width="16.42578125" style="253" bestFit="1" customWidth="1"/>
    <col min="14084" max="14084" width="19.85546875" style="253" bestFit="1" customWidth="1"/>
    <col min="14085" max="14085" width="13.42578125" style="253" customWidth="1"/>
    <col min="14086" max="14086" width="16.42578125" style="253" bestFit="1" customWidth="1"/>
    <col min="14087" max="14087" width="19.85546875" style="253" bestFit="1" customWidth="1"/>
    <col min="14088" max="14088" width="12.42578125" style="253" customWidth="1"/>
    <col min="14089" max="14336" width="9.140625" style="253"/>
    <col min="14337" max="14337" width="3.42578125" style="253" customWidth="1"/>
    <col min="14338" max="14338" width="37.28515625" style="253" bestFit="1" customWidth="1"/>
    <col min="14339" max="14339" width="16.42578125" style="253" bestFit="1" customWidth="1"/>
    <col min="14340" max="14340" width="19.85546875" style="253" bestFit="1" customWidth="1"/>
    <col min="14341" max="14341" width="13.42578125" style="253" customWidth="1"/>
    <col min="14342" max="14342" width="16.42578125" style="253" bestFit="1" customWidth="1"/>
    <col min="14343" max="14343" width="19.85546875" style="253" bestFit="1" customWidth="1"/>
    <col min="14344" max="14344" width="12.42578125" style="253" customWidth="1"/>
    <col min="14345" max="14592" width="9.140625" style="253"/>
    <col min="14593" max="14593" width="3.42578125" style="253" customWidth="1"/>
    <col min="14594" max="14594" width="37.28515625" style="253" bestFit="1" customWidth="1"/>
    <col min="14595" max="14595" width="16.42578125" style="253" bestFit="1" customWidth="1"/>
    <col min="14596" max="14596" width="19.85546875" style="253" bestFit="1" customWidth="1"/>
    <col min="14597" max="14597" width="13.42578125" style="253" customWidth="1"/>
    <col min="14598" max="14598" width="16.42578125" style="253" bestFit="1" customWidth="1"/>
    <col min="14599" max="14599" width="19.85546875" style="253" bestFit="1" customWidth="1"/>
    <col min="14600" max="14600" width="12.42578125" style="253" customWidth="1"/>
    <col min="14601" max="14848" width="9.140625" style="253"/>
    <col min="14849" max="14849" width="3.42578125" style="253" customWidth="1"/>
    <col min="14850" max="14850" width="37.28515625" style="253" bestFit="1" customWidth="1"/>
    <col min="14851" max="14851" width="16.42578125" style="253" bestFit="1" customWidth="1"/>
    <col min="14852" max="14852" width="19.85546875" style="253" bestFit="1" customWidth="1"/>
    <col min="14853" max="14853" width="13.42578125" style="253" customWidth="1"/>
    <col min="14854" max="14854" width="16.42578125" style="253" bestFit="1" customWidth="1"/>
    <col min="14855" max="14855" width="19.85546875" style="253" bestFit="1" customWidth="1"/>
    <col min="14856" max="14856" width="12.42578125" style="253" customWidth="1"/>
    <col min="14857" max="15104" width="9.140625" style="253"/>
    <col min="15105" max="15105" width="3.42578125" style="253" customWidth="1"/>
    <col min="15106" max="15106" width="37.28515625" style="253" bestFit="1" customWidth="1"/>
    <col min="15107" max="15107" width="16.42578125" style="253" bestFit="1" customWidth="1"/>
    <col min="15108" max="15108" width="19.85546875" style="253" bestFit="1" customWidth="1"/>
    <col min="15109" max="15109" width="13.42578125" style="253" customWidth="1"/>
    <col min="15110" max="15110" width="16.42578125" style="253" bestFit="1" customWidth="1"/>
    <col min="15111" max="15111" width="19.85546875" style="253" bestFit="1" customWidth="1"/>
    <col min="15112" max="15112" width="12.42578125" style="253" customWidth="1"/>
    <col min="15113" max="15360" width="9.140625" style="253"/>
    <col min="15361" max="15361" width="3.42578125" style="253" customWidth="1"/>
    <col min="15362" max="15362" width="37.28515625" style="253" bestFit="1" customWidth="1"/>
    <col min="15363" max="15363" width="16.42578125" style="253" bestFit="1" customWidth="1"/>
    <col min="15364" max="15364" width="19.85546875" style="253" bestFit="1" customWidth="1"/>
    <col min="15365" max="15365" width="13.42578125" style="253" customWidth="1"/>
    <col min="15366" max="15366" width="16.42578125" style="253" bestFit="1" customWidth="1"/>
    <col min="15367" max="15367" width="19.85546875" style="253" bestFit="1" customWidth="1"/>
    <col min="15368" max="15368" width="12.42578125" style="253" customWidth="1"/>
    <col min="15369" max="15616" width="9.140625" style="253"/>
    <col min="15617" max="15617" width="3.42578125" style="253" customWidth="1"/>
    <col min="15618" max="15618" width="37.28515625" style="253" bestFit="1" customWidth="1"/>
    <col min="15619" max="15619" width="16.42578125" style="253" bestFit="1" customWidth="1"/>
    <col min="15620" max="15620" width="19.85546875" style="253" bestFit="1" customWidth="1"/>
    <col min="15621" max="15621" width="13.42578125" style="253" customWidth="1"/>
    <col min="15622" max="15622" width="16.42578125" style="253" bestFit="1" customWidth="1"/>
    <col min="15623" max="15623" width="19.85546875" style="253" bestFit="1" customWidth="1"/>
    <col min="15624" max="15624" width="12.42578125" style="253" customWidth="1"/>
    <col min="15625" max="15872" width="9.140625" style="253"/>
    <col min="15873" max="15873" width="3.42578125" style="253" customWidth="1"/>
    <col min="15874" max="15874" width="37.28515625" style="253" bestFit="1" customWidth="1"/>
    <col min="15875" max="15875" width="16.42578125" style="253" bestFit="1" customWidth="1"/>
    <col min="15876" max="15876" width="19.85546875" style="253" bestFit="1" customWidth="1"/>
    <col min="15877" max="15877" width="13.42578125" style="253" customWidth="1"/>
    <col min="15878" max="15878" width="16.42578125" style="253" bestFit="1" customWidth="1"/>
    <col min="15879" max="15879" width="19.85546875" style="253" bestFit="1" customWidth="1"/>
    <col min="15880" max="15880" width="12.42578125" style="253" customWidth="1"/>
    <col min="15881" max="16128" width="9.140625" style="253"/>
    <col min="16129" max="16129" width="3.42578125" style="253" customWidth="1"/>
    <col min="16130" max="16130" width="37.28515625" style="253" bestFit="1" customWidth="1"/>
    <col min="16131" max="16131" width="16.42578125" style="253" bestFit="1" customWidth="1"/>
    <col min="16132" max="16132" width="19.85546875" style="253" bestFit="1" customWidth="1"/>
    <col min="16133" max="16133" width="13.42578125" style="253" customWidth="1"/>
    <col min="16134" max="16134" width="16.42578125" style="253" bestFit="1" customWidth="1"/>
    <col min="16135" max="16135" width="19.85546875" style="253" bestFit="1" customWidth="1"/>
    <col min="16136" max="16136" width="12.42578125" style="253" customWidth="1"/>
    <col min="16137" max="16384" width="9.140625" style="253"/>
  </cols>
  <sheetData>
    <row r="1" spans="1:11" ht="20.25">
      <c r="B1" s="786"/>
      <c r="C1" s="786"/>
      <c r="D1" s="786"/>
      <c r="E1" s="786"/>
      <c r="F1" s="786"/>
      <c r="G1" s="786"/>
      <c r="H1" s="786"/>
    </row>
    <row r="2" spans="1:11" ht="20.25">
      <c r="B2" s="786"/>
      <c r="C2" s="786"/>
      <c r="D2" s="786"/>
      <c r="E2" s="786"/>
      <c r="F2" s="786"/>
      <c r="G2" s="786"/>
      <c r="H2" s="786"/>
    </row>
    <row r="3" spans="1:11" ht="20.25">
      <c r="A3" s="254" t="s">
        <v>511</v>
      </c>
      <c r="B3" s="654" t="s">
        <v>512</v>
      </c>
      <c r="C3" s="774"/>
      <c r="D3" s="774"/>
      <c r="E3" s="774"/>
      <c r="F3" s="774"/>
      <c r="G3" s="774"/>
      <c r="H3" s="774"/>
    </row>
    <row r="5" spans="1:11" ht="16.5" thickBot="1"/>
    <row r="6" spans="1:11">
      <c r="B6" s="256"/>
      <c r="C6" s="787" t="s">
        <v>603</v>
      </c>
      <c r="D6" s="788"/>
      <c r="E6" s="789"/>
      <c r="F6" s="787" t="s">
        <v>513</v>
      </c>
      <c r="G6" s="788"/>
      <c r="H6" s="789"/>
    </row>
    <row r="7" spans="1:11">
      <c r="B7" s="257" t="s">
        <v>514</v>
      </c>
      <c r="C7" s="258" t="s">
        <v>13</v>
      </c>
      <c r="D7" s="259" t="s">
        <v>14</v>
      </c>
      <c r="E7" s="260" t="s">
        <v>208</v>
      </c>
      <c r="F7" s="258" t="s">
        <v>13</v>
      </c>
      <c r="G7" s="259" t="s">
        <v>14</v>
      </c>
      <c r="H7" s="260" t="s">
        <v>208</v>
      </c>
    </row>
    <row r="8" spans="1:11">
      <c r="B8" s="261" t="s">
        <v>515</v>
      </c>
      <c r="C8" s="258"/>
      <c r="D8" s="259"/>
      <c r="E8" s="260"/>
      <c r="F8" s="258"/>
      <c r="G8" s="259"/>
      <c r="H8" s="260"/>
    </row>
    <row r="9" spans="1:11">
      <c r="B9" s="257" t="s">
        <v>516</v>
      </c>
      <c r="C9" s="262">
        <f>40000+14000+12000+5000-5000-1066-5000+229-163+280</f>
        <v>60280</v>
      </c>
      <c r="D9" s="259">
        <f>5000+2000+200-200</f>
        <v>7000</v>
      </c>
      <c r="E9" s="260">
        <f t="shared" ref="E9:E16" si="0">SUM(C9:D9)</f>
        <v>67280</v>
      </c>
      <c r="F9" s="262">
        <v>7000</v>
      </c>
      <c r="G9" s="259"/>
      <c r="H9" s="260">
        <f t="shared" ref="H9:H20" si="1">SUM(F9:G9)</f>
        <v>7000</v>
      </c>
    </row>
    <row r="10" spans="1:11">
      <c r="B10" s="257" t="s">
        <v>517</v>
      </c>
      <c r="C10" s="262">
        <f>182000+11000</f>
        <v>193000</v>
      </c>
      <c r="D10" s="259"/>
      <c r="E10" s="260">
        <f t="shared" si="0"/>
        <v>193000</v>
      </c>
      <c r="F10" s="262">
        <v>172000</v>
      </c>
      <c r="G10" s="259"/>
      <c r="H10" s="260">
        <f t="shared" si="1"/>
        <v>172000</v>
      </c>
    </row>
    <row r="11" spans="1:11">
      <c r="B11" s="257" t="s">
        <v>518</v>
      </c>
      <c r="C11" s="262"/>
      <c r="D11" s="259"/>
      <c r="E11" s="260">
        <f t="shared" si="0"/>
        <v>0</v>
      </c>
      <c r="F11" s="262"/>
      <c r="G11" s="259">
        <v>25000</v>
      </c>
      <c r="H11" s="260">
        <f t="shared" si="1"/>
        <v>25000</v>
      </c>
    </row>
    <row r="12" spans="1:11">
      <c r="B12" s="257" t="s">
        <v>604</v>
      </c>
      <c r="C12" s="262"/>
      <c r="D12" s="259">
        <f>10000+5000</f>
        <v>15000</v>
      </c>
      <c r="E12" s="260">
        <f>SUM(C12:D12)</f>
        <v>15000</v>
      </c>
      <c r="F12" s="262"/>
      <c r="G12" s="259"/>
      <c r="H12" s="260">
        <f>SUM(F12:G12)</f>
        <v>0</v>
      </c>
      <c r="K12" s="253">
        <f>140000+31553</f>
        <v>171553</v>
      </c>
    </row>
    <row r="13" spans="1:11">
      <c r="B13" s="257" t="s">
        <v>1058</v>
      </c>
      <c r="C13" s="262"/>
      <c r="D13" s="259">
        <v>5000</v>
      </c>
      <c r="E13" s="260">
        <f>SUM(C13:D13)</f>
        <v>5000</v>
      </c>
      <c r="F13" s="262"/>
      <c r="G13" s="259"/>
      <c r="H13" s="260"/>
    </row>
    <row r="14" spans="1:11">
      <c r="B14" s="257" t="s">
        <v>519</v>
      </c>
      <c r="C14" s="263"/>
      <c r="D14" s="259"/>
      <c r="E14" s="260">
        <f t="shared" si="0"/>
        <v>0</v>
      </c>
      <c r="F14" s="262"/>
      <c r="G14" s="259">
        <v>10000</v>
      </c>
      <c r="H14" s="260">
        <f t="shared" si="1"/>
        <v>10000</v>
      </c>
    </row>
    <row r="15" spans="1:11">
      <c r="B15" s="257" t="s">
        <v>520</v>
      </c>
      <c r="C15" s="262">
        <v>10000</v>
      </c>
      <c r="D15" s="259"/>
      <c r="E15" s="260">
        <f t="shared" si="0"/>
        <v>10000</v>
      </c>
      <c r="F15" s="262">
        <v>10000</v>
      </c>
      <c r="G15" s="259"/>
      <c r="H15" s="260">
        <f t="shared" si="1"/>
        <v>10000</v>
      </c>
    </row>
    <row r="16" spans="1:11" s="264" customFormat="1">
      <c r="B16" s="261" t="s">
        <v>521</v>
      </c>
      <c r="C16" s="265">
        <f>SUM(C9:C15)</f>
        <v>263280</v>
      </c>
      <c r="D16" s="266">
        <f>SUM(D9:D15)</f>
        <v>27000</v>
      </c>
      <c r="E16" s="267">
        <f t="shared" si="0"/>
        <v>290280</v>
      </c>
      <c r="F16" s="265">
        <f>SUM(F9:F15)</f>
        <v>189000</v>
      </c>
      <c r="G16" s="266">
        <f>SUM(G9:G15)</f>
        <v>35000</v>
      </c>
      <c r="H16" s="267">
        <f>SUM(H9:H15)</f>
        <v>224000</v>
      </c>
    </row>
    <row r="17" spans="2:12">
      <c r="B17" s="261" t="s">
        <v>522</v>
      </c>
      <c r="C17" s="262"/>
      <c r="D17" s="259"/>
      <c r="E17" s="260"/>
      <c r="F17" s="262"/>
      <c r="G17" s="259"/>
      <c r="H17" s="268">
        <f t="shared" si="1"/>
        <v>0</v>
      </c>
    </row>
    <row r="18" spans="2:12">
      <c r="B18" s="257" t="s">
        <v>523</v>
      </c>
      <c r="C18" s="262">
        <f>3027+3850+5350</f>
        <v>12227</v>
      </c>
      <c r="D18" s="259"/>
      <c r="E18" s="260">
        <f>SUM(C18:D18)</f>
        <v>12227</v>
      </c>
      <c r="F18" s="262">
        <v>11766</v>
      </c>
      <c r="G18" s="259"/>
      <c r="H18" s="260">
        <f t="shared" si="1"/>
        <v>11766</v>
      </c>
      <c r="K18" s="259">
        <f>C19</f>
        <v>13313</v>
      </c>
    </row>
    <row r="19" spans="2:12">
      <c r="B19" s="257" t="s">
        <v>524</v>
      </c>
      <c r="C19" s="262">
        <f>8133+3000+1900+280</f>
        <v>13313</v>
      </c>
      <c r="D19" s="259"/>
      <c r="E19" s="260">
        <f>SUM(C19:D19)</f>
        <v>13313</v>
      </c>
      <c r="F19" s="262">
        <v>13979</v>
      </c>
      <c r="G19" s="259"/>
      <c r="H19" s="260">
        <f t="shared" si="1"/>
        <v>13979</v>
      </c>
      <c r="K19" s="253" t="s">
        <v>525</v>
      </c>
    </row>
    <row r="20" spans="2:12">
      <c r="B20" s="257" t="s">
        <v>526</v>
      </c>
      <c r="C20" s="262">
        <f>C16-C18-C19</f>
        <v>237740</v>
      </c>
      <c r="D20" s="269">
        <f>D16-D18-D19</f>
        <v>27000</v>
      </c>
      <c r="E20" s="260">
        <f>SUM(C20:D20)</f>
        <v>264740</v>
      </c>
      <c r="F20" s="262">
        <f>F16-F18-F19</f>
        <v>163255</v>
      </c>
      <c r="G20" s="269">
        <f>G16-G18-G19</f>
        <v>35000</v>
      </c>
      <c r="H20" s="260">
        <f t="shared" si="1"/>
        <v>198255</v>
      </c>
    </row>
    <row r="21" spans="2:12" s="264" customFormat="1" ht="16.5" thickBot="1">
      <c r="B21" s="270" t="s">
        <v>527</v>
      </c>
      <c r="C21" s="271">
        <f>C16</f>
        <v>263280</v>
      </c>
      <c r="D21" s="272">
        <f>D16</f>
        <v>27000</v>
      </c>
      <c r="E21" s="273">
        <f>SUM(C21:D21)</f>
        <v>290280</v>
      </c>
      <c r="F21" s="271">
        <f>SUM(F18:F20)</f>
        <v>189000</v>
      </c>
      <c r="G21" s="272">
        <f>SUM(G18:G20)</f>
        <v>35000</v>
      </c>
      <c r="H21" s="273">
        <f>SUM(H18:H20)</f>
        <v>224000</v>
      </c>
    </row>
    <row r="22" spans="2:12">
      <c r="K22" s="253" t="s">
        <v>528</v>
      </c>
      <c r="L22" s="253" t="s">
        <v>529</v>
      </c>
    </row>
    <row r="23" spans="2:12">
      <c r="K23" s="255"/>
    </row>
    <row r="24" spans="2:12">
      <c r="K24" s="255"/>
    </row>
  </sheetData>
  <mergeCells count="4">
    <mergeCell ref="B1:H1"/>
    <mergeCell ref="B2:H2"/>
    <mergeCell ref="C6:E6"/>
    <mergeCell ref="F6:H6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
לשנת 2018</oddHeader>
    <oddFooter>&amp;L&amp;D&amp;Cעמוד &amp;P מתוך &amp;N&amp;R&amp;A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74</vt:i4>
      </vt:variant>
      <vt:variant>
        <vt:lpstr>טווחים בעלי שם</vt:lpstr>
      </vt:variant>
      <vt:variant>
        <vt:i4>94</vt:i4>
      </vt:variant>
    </vt:vector>
  </HeadingPairs>
  <TitlesOfParts>
    <vt:vector size="168" baseType="lpstr">
      <vt:lpstr>תקציב 2018</vt:lpstr>
      <vt:lpstr>תוכן ענינים</vt:lpstr>
      <vt:lpstr>מבוא</vt:lpstr>
      <vt:lpstr>תקציב 2017</vt:lpstr>
      <vt:lpstr>תקציב 2018 </vt:lpstr>
      <vt:lpstr>תקציב 2018 פרקים</vt:lpstr>
      <vt:lpstr>תקציב 2018  אגפים </vt:lpstr>
      <vt:lpstr>תקציב 2018  מקורות </vt:lpstr>
      <vt:lpstr>תקציב 2018 קרנות הרשות</vt:lpstr>
      <vt:lpstr>תקציב 2018 מקורות אחרים</vt:lpstr>
      <vt:lpstr>תרשים אגפים</vt:lpstr>
      <vt:lpstr>ריכוז אגפים</vt:lpstr>
      <vt:lpstr>תרשים פרקים</vt:lpstr>
      <vt:lpstr>ריכוז פרקים</vt:lpstr>
      <vt:lpstr>פרוט מקורות אחרים</vt:lpstr>
      <vt:lpstr>תרשים מקורות מימון</vt:lpstr>
      <vt:lpstr>תקציב 2018  הנדסה </vt:lpstr>
      <vt:lpstr>הנדסה </vt:lpstr>
      <vt:lpstr>הנדסה פרקים</vt:lpstr>
      <vt:lpstr>תקציב 2018 הח.לפיתוח  </vt:lpstr>
      <vt:lpstr>תקציב 2018 החב.לפיתוח </vt:lpstr>
      <vt:lpstr>החברה לפיתוח</vt:lpstr>
      <vt:lpstr>תקציב 2018 תבל</vt:lpstr>
      <vt:lpstr>החברה לפיתוח פרקים</vt:lpstr>
      <vt:lpstr>תבל  </vt:lpstr>
      <vt:lpstr>תבל   פרקים</vt:lpstr>
      <vt:lpstr>תקציב 2018 בטחון פיקוח </vt:lpstr>
      <vt:lpstr>ביטחון פיקוח וסדר ציבורי</vt:lpstr>
      <vt:lpstr>ביטחון פיקוח וסדר ציבורי פרקים</vt:lpstr>
      <vt:lpstr>תקציב 2018 חינוך </vt:lpstr>
      <vt:lpstr>חינוך</vt:lpstr>
      <vt:lpstr>חינוך פרקים</vt:lpstr>
      <vt:lpstr>תקציב 2018 תנוס</vt:lpstr>
      <vt:lpstr> תנוס </vt:lpstr>
      <vt:lpstr> תנוס פרקים</vt:lpstr>
      <vt:lpstr>תקציב 2018 שאיפה </vt:lpstr>
      <vt:lpstr>שאיפה </vt:lpstr>
      <vt:lpstr>שאיפה  פרקים</vt:lpstr>
      <vt:lpstr>תקציב 2018 רשות החופים</vt:lpstr>
      <vt:lpstr>רשות החופים</vt:lpstr>
      <vt:lpstr>רשות החופים פרקים</vt:lpstr>
      <vt:lpstr>תקציב 2018 איכות הסביבה</vt:lpstr>
      <vt:lpstr>איכות הסביבה</vt:lpstr>
      <vt:lpstr>איכות הסביבה פרקים</vt:lpstr>
      <vt:lpstr>תקציב 2018 הח. לתיירות  </vt:lpstr>
      <vt:lpstr>החברה לתיירות </vt:lpstr>
      <vt:lpstr>החברה לתיירות  פרקים</vt:lpstr>
      <vt:lpstr>תקציב 2018 מיחשוב</vt:lpstr>
      <vt:lpstr> מחשוב  </vt:lpstr>
      <vt:lpstr> מחשוב  פרקים</vt:lpstr>
      <vt:lpstr>תקציב 2018 נכסים  </vt:lpstr>
      <vt:lpstr>נכסים </vt:lpstr>
      <vt:lpstr>נכסים פרקים</vt:lpstr>
      <vt:lpstr>תקציב 2018 שיפוץ חזיתות</vt:lpstr>
      <vt:lpstr>שיפוצי בתים עמידר</vt:lpstr>
      <vt:lpstr>שיפוצי בתים עמידר פרקים</vt:lpstr>
      <vt:lpstr>תקציב 2018 כללי</vt:lpstr>
      <vt:lpstr>כללי  </vt:lpstr>
      <vt:lpstr>תקציב 2017 - ביצוע</vt:lpstr>
      <vt:lpstr>כללי פרקים</vt:lpstr>
      <vt:lpstr>ריכוז אגפים תוכנית 2017</vt:lpstr>
      <vt:lpstr>פרוט הנדסה 2017</vt:lpstr>
      <vt:lpstr>פרוט החב. לפיתוח 2017</vt:lpstr>
      <vt:lpstr>פרוט תבל 2017</vt:lpstr>
      <vt:lpstr>פרוט בטחון פיקוח  2017</vt:lpstr>
      <vt:lpstr>פרוט חינוך תנוס  2017</vt:lpstr>
      <vt:lpstr>פרוט שאיפה 2017</vt:lpstr>
      <vt:lpstr>פרוט הח. לתיירות</vt:lpstr>
      <vt:lpstr>פרוט מחשוב </vt:lpstr>
      <vt:lpstr>פרוט נכסים</vt:lpstr>
      <vt:lpstr>פרוט שיפוצי בתים עמידר </vt:lpstr>
      <vt:lpstr>פרוט כללי </vt:lpstr>
      <vt:lpstr>ריכוז תקציבים מעבר לתוכנית 2017</vt:lpstr>
      <vt:lpstr>פרויקטים החב. לפיתוח</vt:lpstr>
      <vt:lpstr>'הנדסה '!Print_Area_0</vt:lpstr>
      <vt:lpstr>'הנדסה פרקים'!Print_Area_0</vt:lpstr>
      <vt:lpstr>'הנדסה '!Print_Area_0_0</vt:lpstr>
      <vt:lpstr>'הנדסה פרקים'!Print_Area_0_0</vt:lpstr>
      <vt:lpstr>'הנדסה '!Print_Titles_0</vt:lpstr>
      <vt:lpstr>'הנדסה פרקים'!Print_Titles_0</vt:lpstr>
      <vt:lpstr>'הנדסה '!Print_Titles_0_0</vt:lpstr>
      <vt:lpstr>'הנדסה פרקים'!Print_Titles_0_0</vt:lpstr>
      <vt:lpstr>' מחשוב  '!WPrint_Area_W</vt:lpstr>
      <vt:lpstr>' מחשוב  פרקים'!WPrint_Area_W</vt:lpstr>
      <vt:lpstr>' תנוס '!WPrint_Area_W</vt:lpstr>
      <vt:lpstr>' תנוס פרקים'!WPrint_Area_W</vt:lpstr>
      <vt:lpstr>'איכות הסביבה'!WPrint_Area_W</vt:lpstr>
      <vt:lpstr>'איכות הסביבה פרקים'!WPrint_Area_W</vt:lpstr>
      <vt:lpstr>'ביטחון פיקוח וסדר ציבורי'!WPrint_Area_W</vt:lpstr>
      <vt:lpstr>'ביטחון פיקוח וסדר ציבורי פרקים'!WPrint_Area_W</vt:lpstr>
      <vt:lpstr>'החברה לפיתוח'!WPrint_Area_W</vt:lpstr>
      <vt:lpstr>'החברה לפיתוח פרקים'!WPrint_Area_W</vt:lpstr>
      <vt:lpstr>'החברה לתיירות '!WPrint_Area_W</vt:lpstr>
      <vt:lpstr>'החברה לתיירות  פרקים'!WPrint_Area_W</vt:lpstr>
      <vt:lpstr>'הנדסה '!WPrint_Area_W</vt:lpstr>
      <vt:lpstr>'הנדסה פרקים'!WPrint_Area_W</vt:lpstr>
      <vt:lpstr>חינוך!WPrint_Area_W</vt:lpstr>
      <vt:lpstr>'חינוך פרקים'!WPrint_Area_W</vt:lpstr>
      <vt:lpstr>'כללי  '!WPrint_Area_W</vt:lpstr>
      <vt:lpstr>'כללי פרקים'!WPrint_Area_W</vt:lpstr>
      <vt:lpstr>'נכסים '!WPrint_Area_W</vt:lpstr>
      <vt:lpstr>'נכסים פרקים'!WPrint_Area_W</vt:lpstr>
      <vt:lpstr>'פרוט בטחון פיקוח  2017'!WPrint_Area_W</vt:lpstr>
      <vt:lpstr>'פרוט הח. לתיירות'!WPrint_Area_W</vt:lpstr>
      <vt:lpstr>'פרוט החב. לפיתוח 2017'!WPrint_Area_W</vt:lpstr>
      <vt:lpstr>'פרוט הנדסה 2017'!WPrint_Area_W</vt:lpstr>
      <vt:lpstr>'פרוט חינוך תנוס  2017'!WPrint_Area_W</vt:lpstr>
      <vt:lpstr>'פרוט כללי '!WPrint_Area_W</vt:lpstr>
      <vt:lpstr>'פרוט מחשוב '!WPrint_Area_W</vt:lpstr>
      <vt:lpstr>'פרוט מקורות אחרים'!WPrint_Area_W</vt:lpstr>
      <vt:lpstr>'פרוט נכסים'!WPrint_Area_W</vt:lpstr>
      <vt:lpstr>'פרוט שאיפה 2017'!WPrint_Area_W</vt:lpstr>
      <vt:lpstr>'פרוט שיפוצי בתים עמידר '!WPrint_Area_W</vt:lpstr>
      <vt:lpstr>'פרוט תבל 2017'!WPrint_Area_W</vt:lpstr>
      <vt:lpstr>'פרויקטים החב. לפיתוח'!WPrint_Area_W</vt:lpstr>
      <vt:lpstr>'ריכוז אגפים'!WPrint_Area_W</vt:lpstr>
      <vt:lpstr>'ריכוז אגפים תוכנית 2017'!WPrint_Area_W</vt:lpstr>
      <vt:lpstr>'ריכוז פרקים'!WPrint_Area_W</vt:lpstr>
      <vt:lpstr>'ריכוז תקציבים מעבר לתוכנית 2017'!WPrint_Area_W</vt:lpstr>
      <vt:lpstr>'רשות החופים'!WPrint_Area_W</vt:lpstr>
      <vt:lpstr>'רשות החופים פרקים'!WPrint_Area_W</vt:lpstr>
      <vt:lpstr>'שאיפה '!WPrint_Area_W</vt:lpstr>
      <vt:lpstr>'שאיפה  פרקים'!WPrint_Area_W</vt:lpstr>
      <vt:lpstr>'שיפוצי בתים עמידר'!WPrint_Area_W</vt:lpstr>
      <vt:lpstr>'שיפוצי בתים עמידר פרקים'!WPrint_Area_W</vt:lpstr>
      <vt:lpstr>'תבל  '!WPrint_Area_W</vt:lpstr>
      <vt:lpstr>'תבל   פרקים'!WPrint_Area_W</vt:lpstr>
      <vt:lpstr>'תקציב 2018 קרנות הרשות'!WPrint_Area_W</vt:lpstr>
      <vt:lpstr>' תנוס '!WPrint_TitlesW</vt:lpstr>
      <vt:lpstr>' תנוס פרקים'!WPrint_TitlesW</vt:lpstr>
      <vt:lpstr>'איכות הסביבה'!WPrint_TitlesW</vt:lpstr>
      <vt:lpstr>'איכות הסביבה פרקים'!WPrint_TitlesW</vt:lpstr>
      <vt:lpstr>'ביטחון פיקוח וסדר ציבורי'!WPrint_TitlesW</vt:lpstr>
      <vt:lpstr>'ביטחון פיקוח וסדר ציבורי פרקים'!WPrint_TitlesW</vt:lpstr>
      <vt:lpstr>'החברה לפיתוח'!WPrint_TitlesW</vt:lpstr>
      <vt:lpstr>'החברה לפיתוח פרקים'!WPrint_TitlesW</vt:lpstr>
      <vt:lpstr>'החברה לתיירות '!WPrint_TitlesW</vt:lpstr>
      <vt:lpstr>'החברה לתיירות  פרקים'!WPrint_TitlesW</vt:lpstr>
      <vt:lpstr>'הנדסה '!WPrint_TitlesW</vt:lpstr>
      <vt:lpstr>'הנדסה פרקים'!WPrint_TitlesW</vt:lpstr>
      <vt:lpstr>חינוך!WPrint_TitlesW</vt:lpstr>
      <vt:lpstr>'חינוך פרקים'!WPrint_TitlesW</vt:lpstr>
      <vt:lpstr>'כללי  '!WPrint_TitlesW</vt:lpstr>
      <vt:lpstr>'כללי פרקים'!WPrint_TitlesW</vt:lpstr>
      <vt:lpstr>'נכסים '!WPrint_TitlesW</vt:lpstr>
      <vt:lpstr>'נכסים פרקים'!WPrint_TitlesW</vt:lpstr>
      <vt:lpstr>'פרוט בטחון פיקוח  2017'!WPrint_TitlesW</vt:lpstr>
      <vt:lpstr>'פרוט הח. לתיירות'!WPrint_TitlesW</vt:lpstr>
      <vt:lpstr>'פרוט החב. לפיתוח 2017'!WPrint_TitlesW</vt:lpstr>
      <vt:lpstr>'פרוט הנדסה 2017'!WPrint_TitlesW</vt:lpstr>
      <vt:lpstr>'פרוט חינוך תנוס  2017'!WPrint_TitlesW</vt:lpstr>
      <vt:lpstr>'פרוט כללי '!WPrint_TitlesW</vt:lpstr>
      <vt:lpstr>'פרוט נכסים'!WPrint_TitlesW</vt:lpstr>
      <vt:lpstr>'פרוט שאיפה 2017'!WPrint_TitlesW</vt:lpstr>
      <vt:lpstr>'פרוט שיפוצי בתים עמידר '!WPrint_TitlesW</vt:lpstr>
      <vt:lpstr>'פרוט תבל 2017'!WPrint_TitlesW</vt:lpstr>
      <vt:lpstr>'ריכוז אגפים'!WPrint_TitlesW</vt:lpstr>
      <vt:lpstr>'ריכוז אגפים תוכנית 2017'!WPrint_TitlesW</vt:lpstr>
      <vt:lpstr>'ריכוז פרקים'!WPrint_TitlesW</vt:lpstr>
      <vt:lpstr>'ריכוז תקציבים מעבר לתוכנית 2017'!WPrint_TitlesW</vt:lpstr>
      <vt:lpstr>'רשות החופים'!WPrint_TitlesW</vt:lpstr>
      <vt:lpstr>'רשות החופים פרקים'!WPrint_TitlesW</vt:lpstr>
      <vt:lpstr>'שאיפה '!WPrint_TitlesW</vt:lpstr>
      <vt:lpstr>'שאיפה  פרקים'!WPrint_TitlesW</vt:lpstr>
      <vt:lpstr>'שיפוצי בתים עמידר'!WPrint_TitlesW</vt:lpstr>
      <vt:lpstr>'שיפוצי בתים עמידר פרקים'!WPrint_TitlesW</vt:lpstr>
      <vt:lpstr>'תבל  '!WPrint_TitlesW</vt:lpstr>
      <vt:lpstr>'תבל   פרקים'!WPrint_TitlesW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Gizbarut-Orna Goldfriend</dc:creator>
  <cp:lastModifiedBy>Dover-Avner Perlmutter</cp:lastModifiedBy>
  <cp:lastPrinted>2017-10-24T09:50:25Z</cp:lastPrinted>
  <dcterms:created xsi:type="dcterms:W3CDTF">2014-10-19T04:47:46Z</dcterms:created>
  <dcterms:modified xsi:type="dcterms:W3CDTF">2018-05-31T12:40:13Z</dcterms:modified>
</cp:coreProperties>
</file>